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4.xml" ContentType="application/vnd.openxmlformats-officedocument.spreadsheetml.externalLink+xml"/>
  <Override PartName="/docProps/core.xml" ContentType="application/vnd.openxmlformats-package.core-properties+xml"/>
  <Override PartName="/customXml/itemProps15.xml" ContentType="application/vnd.openxmlformats-officedocument.customXmlProperties+xml"/>
  <Override PartName="/customXml/itemProps10.xml" ContentType="application/vnd.openxmlformats-officedocument.customXmlProperties+xml"/>
  <Override PartName="/customXml/itemProps9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4.xml" ContentType="application/vnd.openxmlformats-officedocument.customXmlProperties+xml"/>
  <Override PartName="/customXml/itemProps13.xml" ContentType="application/vnd.openxmlformats-officedocument.customXmlProperties+xml"/>
  <Override PartName="/xl/externalLinks/externalLink3.xml" ContentType="application/vnd.openxmlformats-officedocument.spreadsheetml.externalLink+xml"/>
  <Override PartName="/customXml/itemProps8.xml" ContentType="application/vnd.openxmlformats-officedocument.customXml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customXml/itemProps7.xml" ContentType="application/vnd.openxmlformats-officedocument.customXmlProperties+xml"/>
  <Override PartName="/xl/comments7.xml" ContentType="application/vnd.openxmlformats-officedocument.spreadsheetml.comments+xml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omments1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ustomProperty9.bin" ContentType="application/vnd.openxmlformats-officedocument.spreadsheetml.customProperty"/>
  <Override PartName="/xl/comments6.xml" ContentType="application/vnd.openxmlformats-officedocument.spreadsheetml.comments+xml"/>
  <Override PartName="/xl/customProperty2.bin" ContentType="application/vnd.openxmlformats-officedocument.spreadsheetml.customProperty"/>
  <Override PartName="/xl/comments2.xml" ContentType="application/vnd.openxmlformats-officedocument.spreadsheetml.comments+xml"/>
  <Override PartName="/xl/customProperty4.bin" ContentType="application/vnd.openxmlformats-officedocument.spreadsheetml.customProperty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ustomProperty5.bin" ContentType="application/vnd.openxmlformats-officedocument.spreadsheetml.customProperty"/>
  <Override PartName="/xl/comments5.xml" ContentType="application/vnd.openxmlformats-officedocument.spreadsheetml.comments+xml"/>
  <Override PartName="/xl/customProperty6.bin" ContentType="application/vnd.openxmlformats-officedocument.spreadsheetml.customProperty"/>
  <Override PartName="/xl/customProperty10.bin" ContentType="application/vnd.openxmlformats-officedocument.spreadsheetml.customProperty"/>
  <Override PartName="/xl/customProperty1.bin" ContentType="application/vnd.openxmlformats-officedocument.spreadsheetml.customProperty"/>
  <Override PartName="/xl/comments10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  <Override PartName="/xl/customProperty3.bin" ContentType="application/vnd.openxmlformats-officedocument.spreadsheetml.customProperty"/>
  <Override PartName="/customXml/itemProps6.xml" ContentType="application/vnd.openxmlformats-officedocument.customXmlProperties+xml"/>
  <Override PartName="/customXml/itemProps5.xml" ContentType="application/vnd.openxmlformats-officedocument.customXml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xl/comments11.xml" ContentType="application/vnd.openxmlformats-officedocument.spreadsheetml.comments+xml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omments12.xml" ContentType="application/vnd.openxmlformats-officedocument.spreadsheetml.comments+xml"/>
  <Override PartName="/xl/customProperty13.bin" ContentType="application/vnd.openxmlformats-officedocument.spreadsheetml.customProperty"/>
  <Override PartName="/xl/comments13.xml" ContentType="application/vnd.openxmlformats-officedocument.spreadsheetml.comments+xml"/>
  <Override PartName="/customXml/itemProps18.xml" ContentType="application/vnd.openxmlformats-officedocument.customXmlProperties+xml"/>
  <Override PartName="/customXml/itemProps17.xml" ContentType="application/vnd.openxmlformats-officedocument.customXmlProperties+xml"/>
  <Override PartName="/customXml/itemProps16.xml" ContentType="application/vnd.openxmlformats-officedocument.customXmlProperties+xml"/>
  <Override PartName="/customXml/itemProps19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M:\2018\2018 WA PGA\"/>
    </mc:Choice>
  </mc:AlternateContent>
  <bookViews>
    <workbookView xWindow="-180" yWindow="-30" windowWidth="9720" windowHeight="7005" tabRatio="772"/>
  </bookViews>
  <sheets>
    <sheet name="WA - Def-Amtz (current)" sheetId="16" r:id="rId1"/>
    <sheet name="Jul" sheetId="49" r:id="rId2"/>
    <sheet name="Aug" sheetId="48" r:id="rId3"/>
    <sheet name="Sep" sheetId="47" r:id="rId4"/>
    <sheet name="Oct" sheetId="46" r:id="rId5"/>
    <sheet name="Nov" sheetId="45" r:id="rId6"/>
    <sheet name="Dec" sheetId="44" r:id="rId7"/>
    <sheet name="Jan" sheetId="5" r:id="rId8"/>
    <sheet name="Feb" sheetId="19" r:id="rId9"/>
    <sheet name="Mar" sheetId="21" r:id="rId10"/>
    <sheet name="Apr" sheetId="20" r:id="rId11"/>
    <sheet name="May" sheetId="23" r:id="rId12"/>
    <sheet name="Jun" sheetId="22" r:id="rId13"/>
  </sheets>
  <externalReferences>
    <externalReference r:id="rId14"/>
    <externalReference r:id="rId15"/>
    <externalReference r:id="rId16"/>
    <externalReference r:id="rId17"/>
    <externalReference r:id="rId18"/>
  </externalReferences>
  <definedNames>
    <definedName name="Actual_Cost_Per_MMBtu">'[1]Oregon Gas Costs - 1999'!#REF!</definedName>
    <definedName name="Actual_Gas_Costs">#REF!</definedName>
    <definedName name="Actual_Volumes">#REF!</definedName>
    <definedName name="Analysis_of_Year_to_Date_Gas_Costs___WWP_System">#REF!</definedName>
    <definedName name="Balancing_Account_Summary">#REF!</definedName>
    <definedName name="Budgeted_Costs_Volumes">#REF!</definedName>
    <definedName name="Commodity_Costs">#REF!</definedName>
    <definedName name="_xlnm.Database">'[2]May 2000'!#REF!</definedName>
    <definedName name="EIA857_Report_Info">#REF!</definedName>
    <definedName name="InputMonth">[3]Start!$B$2</definedName>
    <definedName name="JanJunPretaxRate">[3]Start!$C$7</definedName>
    <definedName name="jj">'[1]Oregon Gas Costs - 1999'!#REF!</definedName>
    <definedName name="Journal_Entry_Dollars">#REF!</definedName>
    <definedName name="Journal_Entry_Volumes">#REF!</definedName>
    <definedName name="JournalEntryPrintArea">#REF!</definedName>
    <definedName name="JulDecPretaxRate">[3]Start!$C$8</definedName>
    <definedName name="Notes">#REF!</definedName>
    <definedName name="_xlnm.Print_Area" localSheetId="10">Apr!$A$1:$M$68</definedName>
    <definedName name="_xlnm.Print_Area" localSheetId="2">Aug!$A$1:$M$68</definedName>
    <definedName name="_xlnm.Print_Area" localSheetId="6">Dec!$A$1:$M$68</definedName>
    <definedName name="_xlnm.Print_Area" localSheetId="8">Feb!$A$1:$M$68</definedName>
    <definedName name="_xlnm.Print_Area" localSheetId="7">Jan!$A$1:$M$68</definedName>
    <definedName name="_xlnm.Print_Area" localSheetId="1">Jul!$A$1:$M$68</definedName>
    <definedName name="_xlnm.Print_Area" localSheetId="12">Jun!$A$1:$M$68</definedName>
    <definedName name="_xlnm.Print_Area" localSheetId="9">Mar!$A$1:$M$68</definedName>
    <definedName name="_xlnm.Print_Area" localSheetId="11">May!$A$1:$M$68</definedName>
    <definedName name="_xlnm.Print_Area" localSheetId="5">Nov!$A$1:$M$68</definedName>
    <definedName name="_xlnm.Print_Area" localSheetId="4">Oct!$A$1:$M$68</definedName>
    <definedName name="_xlnm.Print_Area" localSheetId="3">Sep!$A$1:$M$68</definedName>
    <definedName name="_xlnm.Print_Area" localSheetId="0">'WA - Def-Amtz (current)'!$A$1:$V$78</definedName>
    <definedName name="_xlnm.Print_Titles" localSheetId="10">Apr!$1:$2</definedName>
    <definedName name="_xlnm.Print_Titles" localSheetId="2">Aug!$1:$2</definedName>
    <definedName name="_xlnm.Print_Titles" localSheetId="6">Dec!$1:$2</definedName>
    <definedName name="_xlnm.Print_Titles" localSheetId="8">Feb!$1:$2</definedName>
    <definedName name="_xlnm.Print_Titles" localSheetId="7">Jan!$1:$2</definedName>
    <definedName name="_xlnm.Print_Titles" localSheetId="1">Jul!$1:$2</definedName>
    <definedName name="_xlnm.Print_Titles" localSheetId="12">Jun!$1:$2</definedName>
    <definedName name="_xlnm.Print_Titles" localSheetId="9">Mar!$1:$2</definedName>
    <definedName name="_xlnm.Print_Titles" localSheetId="11">May!$1:$2</definedName>
    <definedName name="_xlnm.Print_Titles" localSheetId="5">Nov!$1:$2</definedName>
    <definedName name="_xlnm.Print_Titles" localSheetId="4">Oct!$1:$2</definedName>
    <definedName name="_xlnm.Print_Titles" localSheetId="3">Sep!$1:$2</definedName>
    <definedName name="SPREADSHEET_DOCUMENTATION">#REF!</definedName>
    <definedName name="Summary_of_Off_system_Sales">'[1]Oregon Gas Costs - 1999'!#REF!</definedName>
    <definedName name="Transportation_Costs">#REF!</definedName>
  </definedNames>
  <calcPr calcId="152511" calcMode="manual"/>
</workbook>
</file>

<file path=xl/calcChain.xml><?xml version="1.0" encoding="utf-8"?>
<calcChain xmlns="http://schemas.openxmlformats.org/spreadsheetml/2006/main">
  <c r="C1485" i="49" l="1"/>
  <c r="G44" i="49"/>
  <c r="I44" i="49" s="1"/>
  <c r="C44" i="49"/>
  <c r="K43" i="49"/>
  <c r="K47" i="49" s="1"/>
  <c r="I43" i="49"/>
  <c r="G43" i="49"/>
  <c r="C43" i="49"/>
  <c r="M42" i="49"/>
  <c r="I42" i="49"/>
  <c r="G42" i="49"/>
  <c r="M41" i="49"/>
  <c r="G41" i="49"/>
  <c r="I41" i="49" s="1"/>
  <c r="K40" i="49"/>
  <c r="M40" i="49" s="1"/>
  <c r="G40" i="49"/>
  <c r="I40" i="49" s="1"/>
  <c r="K39" i="49"/>
  <c r="M39" i="49" s="1"/>
  <c r="G39" i="49"/>
  <c r="I39" i="49" s="1"/>
  <c r="K38" i="49"/>
  <c r="M38" i="49" s="1"/>
  <c r="G38" i="49"/>
  <c r="I38" i="49" s="1"/>
  <c r="K37" i="49"/>
  <c r="M37" i="49" s="1"/>
  <c r="G37" i="49"/>
  <c r="G45" i="49" s="1"/>
  <c r="K36" i="49"/>
  <c r="M36" i="49" s="1"/>
  <c r="M43" i="49" s="1"/>
  <c r="G32" i="49"/>
  <c r="G34" i="49" s="1"/>
  <c r="I31" i="49"/>
  <c r="K30" i="49"/>
  <c r="I30" i="49"/>
  <c r="I29" i="49"/>
  <c r="K28" i="49"/>
  <c r="I28" i="49"/>
  <c r="M27" i="49"/>
  <c r="I27" i="49"/>
  <c r="C27" i="49"/>
  <c r="M26" i="49"/>
  <c r="I26" i="49"/>
  <c r="M25" i="49"/>
  <c r="I25" i="49"/>
  <c r="M24" i="49"/>
  <c r="I24" i="49"/>
  <c r="I32" i="49" s="1"/>
  <c r="M23" i="49"/>
  <c r="M28" i="49" s="1"/>
  <c r="I23" i="49"/>
  <c r="C21" i="49"/>
  <c r="C22" i="49" s="1"/>
  <c r="C20" i="49"/>
  <c r="C19" i="49"/>
  <c r="C18" i="49"/>
  <c r="C15" i="49"/>
  <c r="C17" i="49" s="1"/>
  <c r="C12" i="49"/>
  <c r="C14" i="49" s="1"/>
  <c r="H11" i="49"/>
  <c r="L11" i="49" s="1"/>
  <c r="H10" i="49"/>
  <c r="K10" i="49" s="1"/>
  <c r="C10" i="49"/>
  <c r="C9" i="49"/>
  <c r="C8" i="49"/>
  <c r="C11" i="49" s="1"/>
  <c r="C6" i="49"/>
  <c r="C5" i="49"/>
  <c r="C33" i="49" s="1"/>
  <c r="C52" i="49" s="1"/>
  <c r="C56" i="49" s="1"/>
  <c r="C4" i="49"/>
  <c r="C1" i="49"/>
  <c r="F1" i="49" s="1"/>
  <c r="M29" i="49" l="1"/>
  <c r="K53" i="49"/>
  <c r="I53" i="49"/>
  <c r="I33" i="49"/>
  <c r="M44" i="49"/>
  <c r="J53" i="49"/>
  <c r="H9" i="49"/>
  <c r="C59" i="49"/>
  <c r="G47" i="49"/>
  <c r="K5" i="49"/>
  <c r="L5" i="49" s="1"/>
  <c r="C7" i="49"/>
  <c r="C30" i="49" s="1"/>
  <c r="C32" i="49" s="1"/>
  <c r="C34" i="49" s="1"/>
  <c r="H7" i="49" s="1"/>
  <c r="I37" i="49"/>
  <c r="I45" i="49" s="1"/>
  <c r="J7" i="49" l="1"/>
  <c r="I7" i="49"/>
  <c r="I14" i="49" s="1"/>
  <c r="I52" i="49" s="1"/>
  <c r="I55" i="49" s="1"/>
  <c r="K9" i="49"/>
  <c r="K12" i="49" s="1"/>
  <c r="H12" i="49"/>
  <c r="L9" i="49"/>
  <c r="L12" i="49" s="1"/>
  <c r="H53" i="49"/>
  <c r="I46" i="49"/>
  <c r="C61" i="49"/>
  <c r="C63" i="49" s="1"/>
  <c r="H14" i="49" l="1"/>
  <c r="H15" i="49" s="1"/>
  <c r="K14" i="49"/>
  <c r="L15" i="49" s="1"/>
  <c r="H52" i="49"/>
  <c r="J61" i="49"/>
  <c r="L53" i="49"/>
  <c r="J52" i="49"/>
  <c r="J55" i="49" s="1"/>
  <c r="K56" i="49" s="1"/>
  <c r="L14" i="49"/>
  <c r="J15" i="49"/>
  <c r="J14" i="49"/>
  <c r="K52" i="49" s="1"/>
  <c r="K55" i="49" s="1"/>
  <c r="L52" i="49" l="1"/>
  <c r="L54" i="49" s="1"/>
  <c r="H55" i="49"/>
  <c r="I56" i="49" l="1"/>
  <c r="G59" i="49" s="1"/>
  <c r="L55" i="49"/>
  <c r="L56" i="49" s="1"/>
  <c r="H41" i="16" l="1"/>
  <c r="Q10" i="16"/>
  <c r="R10" i="16"/>
  <c r="S10" i="16"/>
  <c r="T10" i="16"/>
  <c r="C1485" i="48"/>
  <c r="C54" i="48"/>
  <c r="C53" i="48"/>
  <c r="G44" i="48"/>
  <c r="I44" i="48" s="1"/>
  <c r="C44" i="48"/>
  <c r="K43" i="48"/>
  <c r="K47" i="48" s="1"/>
  <c r="I43" i="48"/>
  <c r="G43" i="48"/>
  <c r="C43" i="48"/>
  <c r="M42" i="48"/>
  <c r="I42" i="48"/>
  <c r="G42" i="48"/>
  <c r="M41" i="48"/>
  <c r="G41" i="48"/>
  <c r="I41" i="48" s="1"/>
  <c r="M40" i="48"/>
  <c r="K40" i="48"/>
  <c r="G40" i="48"/>
  <c r="I40" i="48" s="1"/>
  <c r="M39" i="48"/>
  <c r="K39" i="48"/>
  <c r="G39" i="48"/>
  <c r="I39" i="48" s="1"/>
  <c r="M38" i="48"/>
  <c r="K38" i="48"/>
  <c r="G38" i="48"/>
  <c r="I38" i="48" s="1"/>
  <c r="M37" i="48"/>
  <c r="K37" i="48"/>
  <c r="G37" i="48"/>
  <c r="G45" i="48" s="1"/>
  <c r="M36" i="48"/>
  <c r="M43" i="48" s="1"/>
  <c r="K36" i="48"/>
  <c r="G32" i="48"/>
  <c r="G34" i="48" s="1"/>
  <c r="I31" i="48"/>
  <c r="K30" i="48"/>
  <c r="I30" i="48"/>
  <c r="I29" i="48"/>
  <c r="K28" i="48"/>
  <c r="I28" i="48"/>
  <c r="M27" i="48"/>
  <c r="I27" i="48"/>
  <c r="C27" i="48"/>
  <c r="M26" i="48"/>
  <c r="I26" i="48"/>
  <c r="M25" i="48"/>
  <c r="I25" i="48"/>
  <c r="M24" i="48"/>
  <c r="I24" i="48"/>
  <c r="I32" i="48" s="1"/>
  <c r="M23" i="48"/>
  <c r="M28" i="48" s="1"/>
  <c r="I23" i="48"/>
  <c r="C21" i="48"/>
  <c r="C22" i="48" s="1"/>
  <c r="C20" i="48"/>
  <c r="C19" i="48"/>
  <c r="C18" i="48"/>
  <c r="C15" i="48"/>
  <c r="C17" i="48" s="1"/>
  <c r="C12" i="48"/>
  <c r="C14" i="48" s="1"/>
  <c r="H11" i="48"/>
  <c r="L11" i="48" s="1"/>
  <c r="C11" i="48"/>
  <c r="K10" i="48"/>
  <c r="H10" i="48"/>
  <c r="C6" i="48"/>
  <c r="C5" i="48"/>
  <c r="C7" i="48" s="1"/>
  <c r="C4" i="48"/>
  <c r="C1" i="48"/>
  <c r="F1" i="48" s="1"/>
  <c r="C1485" i="47"/>
  <c r="G44" i="47"/>
  <c r="I44" i="47" s="1"/>
  <c r="K43" i="47"/>
  <c r="K47" i="47" s="1"/>
  <c r="G43" i="47"/>
  <c r="I43" i="47" s="1"/>
  <c r="C43" i="47"/>
  <c r="M42" i="47"/>
  <c r="G42" i="47"/>
  <c r="I42" i="47" s="1"/>
  <c r="M41" i="47"/>
  <c r="I41" i="47"/>
  <c r="G41" i="47"/>
  <c r="M40" i="47"/>
  <c r="K40" i="47"/>
  <c r="I40" i="47"/>
  <c r="G40" i="47"/>
  <c r="M39" i="47"/>
  <c r="K39" i="47"/>
  <c r="I39" i="47"/>
  <c r="G39" i="47"/>
  <c r="M38" i="47"/>
  <c r="K38" i="47"/>
  <c r="I38" i="47"/>
  <c r="G38" i="47"/>
  <c r="M37" i="47"/>
  <c r="K37" i="47"/>
  <c r="I37" i="47"/>
  <c r="G37" i="47"/>
  <c r="G45" i="47" s="1"/>
  <c r="M36" i="47"/>
  <c r="M43" i="47" s="1"/>
  <c r="K36" i="47"/>
  <c r="G34" i="47"/>
  <c r="G32" i="47"/>
  <c r="I31" i="47"/>
  <c r="K30" i="47"/>
  <c r="I30" i="47"/>
  <c r="I29" i="47"/>
  <c r="K28" i="47"/>
  <c r="I28" i="47"/>
  <c r="M27" i="47"/>
  <c r="I27" i="47"/>
  <c r="C27" i="47"/>
  <c r="M26" i="47"/>
  <c r="I26" i="47"/>
  <c r="M25" i="47"/>
  <c r="I25" i="47"/>
  <c r="M24" i="47"/>
  <c r="I24" i="47"/>
  <c r="M23" i="47"/>
  <c r="M28" i="47" s="1"/>
  <c r="I23" i="47"/>
  <c r="I32" i="47" s="1"/>
  <c r="C21" i="47"/>
  <c r="C22" i="47" s="1"/>
  <c r="C18" i="47"/>
  <c r="C20" i="47" s="1"/>
  <c r="C15" i="47"/>
  <c r="C17" i="47" s="1"/>
  <c r="C12" i="47"/>
  <c r="C14" i="47" s="1"/>
  <c r="L11" i="47"/>
  <c r="H11" i="47"/>
  <c r="H10" i="47"/>
  <c r="K10" i="47" s="1"/>
  <c r="C9" i="47"/>
  <c r="C11" i="47" s="1"/>
  <c r="C6" i="47"/>
  <c r="C5" i="47"/>
  <c r="C7" i="47" s="1"/>
  <c r="C1" i="47"/>
  <c r="F1" i="47" s="1"/>
  <c r="C1485" i="46"/>
  <c r="C52" i="46"/>
  <c r="C56" i="46" s="1"/>
  <c r="G44" i="46"/>
  <c r="I44" i="46" s="1"/>
  <c r="C44" i="46"/>
  <c r="K43" i="46"/>
  <c r="K45" i="46" s="1"/>
  <c r="I43" i="46"/>
  <c r="G43" i="46"/>
  <c r="C43" i="46"/>
  <c r="M42" i="46"/>
  <c r="I42" i="46"/>
  <c r="G42" i="46"/>
  <c r="M41" i="46"/>
  <c r="G41" i="46"/>
  <c r="I41" i="46" s="1"/>
  <c r="K40" i="46"/>
  <c r="M40" i="46" s="1"/>
  <c r="G40" i="46"/>
  <c r="I40" i="46" s="1"/>
  <c r="K39" i="46"/>
  <c r="M39" i="46" s="1"/>
  <c r="G39" i="46"/>
  <c r="I39" i="46" s="1"/>
  <c r="K38" i="46"/>
  <c r="M38" i="46" s="1"/>
  <c r="G38" i="46"/>
  <c r="I38" i="46" s="1"/>
  <c r="K37" i="46"/>
  <c r="M37" i="46" s="1"/>
  <c r="G37" i="46"/>
  <c r="G45" i="46" s="1"/>
  <c r="K36" i="46"/>
  <c r="M36" i="46" s="1"/>
  <c r="M43" i="46" s="1"/>
  <c r="C33" i="46"/>
  <c r="G32" i="46"/>
  <c r="G34" i="46" s="1"/>
  <c r="I31" i="46"/>
  <c r="K30" i="46"/>
  <c r="I30" i="46"/>
  <c r="I29" i="46"/>
  <c r="K28" i="46"/>
  <c r="I28" i="46"/>
  <c r="M27" i="46"/>
  <c r="I27" i="46"/>
  <c r="C27" i="46"/>
  <c r="M26" i="46"/>
  <c r="I26" i="46"/>
  <c r="M25" i="46"/>
  <c r="I25" i="46"/>
  <c r="M24" i="46"/>
  <c r="I24" i="46"/>
  <c r="I32" i="46" s="1"/>
  <c r="M23" i="46"/>
  <c r="M28" i="46" s="1"/>
  <c r="I23" i="46"/>
  <c r="C21" i="46"/>
  <c r="C22" i="46" s="1"/>
  <c r="C20" i="46"/>
  <c r="C18" i="46"/>
  <c r="C15" i="46"/>
  <c r="C17" i="46" s="1"/>
  <c r="C12" i="46"/>
  <c r="C14" i="46" s="1"/>
  <c r="H11" i="46"/>
  <c r="L11" i="46" s="1"/>
  <c r="C11" i="46"/>
  <c r="K10" i="46"/>
  <c r="H10" i="46"/>
  <c r="C9" i="46"/>
  <c r="C6" i="46"/>
  <c r="C5" i="46"/>
  <c r="C7" i="46" s="1"/>
  <c r="C1" i="46"/>
  <c r="F1" i="46" s="1"/>
  <c r="C1485" i="45"/>
  <c r="C54" i="45"/>
  <c r="H53" i="45"/>
  <c r="I45" i="45"/>
  <c r="G44" i="45"/>
  <c r="C44" i="45"/>
  <c r="M43" i="45"/>
  <c r="N43" i="45" s="1"/>
  <c r="G43" i="45"/>
  <c r="C43" i="45"/>
  <c r="G42" i="45"/>
  <c r="G41" i="45"/>
  <c r="C41" i="45"/>
  <c r="K40" i="45"/>
  <c r="G40" i="45"/>
  <c r="K39" i="45"/>
  <c r="G39" i="45"/>
  <c r="K38" i="45"/>
  <c r="G38" i="45"/>
  <c r="G45" i="45" s="1"/>
  <c r="K37" i="45"/>
  <c r="G37" i="45"/>
  <c r="K36" i="45"/>
  <c r="K43" i="45" s="1"/>
  <c r="K45" i="45" s="1"/>
  <c r="G34" i="45"/>
  <c r="I32" i="45"/>
  <c r="I53" i="45" s="1"/>
  <c r="G32" i="45"/>
  <c r="M28" i="45"/>
  <c r="K53" i="45" s="1"/>
  <c r="K28" i="45"/>
  <c r="K30" i="45" s="1"/>
  <c r="M27" i="45"/>
  <c r="C27" i="45"/>
  <c r="C21" i="45"/>
  <c r="C22" i="45" s="1"/>
  <c r="C19" i="45"/>
  <c r="C18" i="45"/>
  <c r="C20" i="45" s="1"/>
  <c r="C15" i="45"/>
  <c r="C17" i="45" s="1"/>
  <c r="C12" i="45"/>
  <c r="C14" i="45" s="1"/>
  <c r="H11" i="45"/>
  <c r="L11" i="45" s="1"/>
  <c r="H10" i="45"/>
  <c r="K10" i="45" s="1"/>
  <c r="C9" i="45"/>
  <c r="C11" i="45" s="1"/>
  <c r="C6" i="45"/>
  <c r="C5" i="45"/>
  <c r="C33" i="45" s="1"/>
  <c r="C52" i="45" s="1"/>
  <c r="C56" i="45" s="1"/>
  <c r="C4" i="45"/>
  <c r="C7" i="45" s="1"/>
  <c r="C1" i="45"/>
  <c r="F1" i="45" s="1"/>
  <c r="C1485" i="44"/>
  <c r="C54" i="44"/>
  <c r="I53" i="44"/>
  <c r="H53" i="44"/>
  <c r="I45" i="44"/>
  <c r="G44" i="44"/>
  <c r="C44" i="44"/>
  <c r="M43" i="44"/>
  <c r="G43" i="44"/>
  <c r="C43" i="44"/>
  <c r="G42" i="44"/>
  <c r="G45" i="44" s="1"/>
  <c r="G41" i="44"/>
  <c r="K40" i="44"/>
  <c r="G40" i="44"/>
  <c r="K39" i="44"/>
  <c r="G39" i="44"/>
  <c r="K38" i="44"/>
  <c r="G38" i="44"/>
  <c r="K37" i="44"/>
  <c r="G37" i="44"/>
  <c r="K36" i="44"/>
  <c r="K43" i="44" s="1"/>
  <c r="K45" i="44" s="1"/>
  <c r="I32" i="44"/>
  <c r="I33" i="44" s="1"/>
  <c r="G32" i="44"/>
  <c r="G34" i="44" s="1"/>
  <c r="K28" i="44"/>
  <c r="K30" i="44" s="1"/>
  <c r="M27" i="44"/>
  <c r="M28" i="44" s="1"/>
  <c r="C27" i="44"/>
  <c r="C21" i="44"/>
  <c r="C22" i="44" s="1"/>
  <c r="C18" i="44"/>
  <c r="C20" i="44" s="1"/>
  <c r="C15" i="44"/>
  <c r="C17" i="44" s="1"/>
  <c r="C12" i="44"/>
  <c r="C14" i="44" s="1"/>
  <c r="L11" i="44"/>
  <c r="H11" i="44"/>
  <c r="H10" i="44"/>
  <c r="K10" i="44" s="1"/>
  <c r="C9" i="44"/>
  <c r="C33" i="44" s="1"/>
  <c r="C52" i="44" s="1"/>
  <c r="C8" i="44"/>
  <c r="C6" i="44"/>
  <c r="C5" i="44"/>
  <c r="C7" i="44" s="1"/>
  <c r="C1" i="44"/>
  <c r="F1" i="44" s="1"/>
  <c r="I33" i="48" l="1"/>
  <c r="I53" i="48"/>
  <c r="M44" i="48"/>
  <c r="J53" i="48"/>
  <c r="K53" i="48"/>
  <c r="M29" i="48"/>
  <c r="C30" i="48"/>
  <c r="C32" i="48" s="1"/>
  <c r="K5" i="48"/>
  <c r="L5" i="48" s="1"/>
  <c r="G47" i="48"/>
  <c r="I37" i="48"/>
  <c r="I45" i="48" s="1"/>
  <c r="C33" i="48"/>
  <c r="C52" i="48" s="1"/>
  <c r="C56" i="48" s="1"/>
  <c r="K53" i="47"/>
  <c r="M29" i="47"/>
  <c r="C30" i="47"/>
  <c r="C32" i="47" s="1"/>
  <c r="I45" i="47"/>
  <c r="K5" i="47"/>
  <c r="L5" i="47" s="1"/>
  <c r="G47" i="47"/>
  <c r="I33" i="47"/>
  <c r="I53" i="47"/>
  <c r="J53" i="47"/>
  <c r="M44" i="47"/>
  <c r="C33" i="47"/>
  <c r="C52" i="47" s="1"/>
  <c r="C56" i="47" s="1"/>
  <c r="M44" i="46"/>
  <c r="J53" i="46"/>
  <c r="C30" i="46"/>
  <c r="C32" i="46" s="1"/>
  <c r="C34" i="46" s="1"/>
  <c r="H7" i="46" s="1"/>
  <c r="G47" i="46"/>
  <c r="K5" i="46"/>
  <c r="L5" i="46" s="1"/>
  <c r="M29" i="46"/>
  <c r="K53" i="46"/>
  <c r="C59" i="46"/>
  <c r="C61" i="46" s="1"/>
  <c r="C63" i="46" s="1"/>
  <c r="H9" i="46"/>
  <c r="I53" i="46"/>
  <c r="I33" i="46"/>
  <c r="I37" i="46"/>
  <c r="I45" i="46" s="1"/>
  <c r="C30" i="45"/>
  <c r="C32" i="45" s="1"/>
  <c r="C34" i="45" s="1"/>
  <c r="H7" i="45" s="1"/>
  <c r="C59" i="45"/>
  <c r="C61" i="45" s="1"/>
  <c r="C63" i="45" s="1"/>
  <c r="H9" i="45"/>
  <c r="G47" i="45"/>
  <c r="I46" i="45"/>
  <c r="K5" i="45"/>
  <c r="L5" i="45" s="1"/>
  <c r="M44" i="45"/>
  <c r="N28" i="45"/>
  <c r="I33" i="45"/>
  <c r="J53" i="45"/>
  <c r="J61" i="45" s="1"/>
  <c r="M29" i="45"/>
  <c r="C56" i="44"/>
  <c r="K53" i="44"/>
  <c r="M29" i="44"/>
  <c r="M44" i="44"/>
  <c r="L53" i="44"/>
  <c r="I46" i="44"/>
  <c r="G47" i="44"/>
  <c r="K5" i="44"/>
  <c r="L5" i="44" s="1"/>
  <c r="J61" i="44"/>
  <c r="J53" i="44"/>
  <c r="C11" i="44"/>
  <c r="C30" i="44" s="1"/>
  <c r="C32" i="44" s="1"/>
  <c r="C34" i="44" s="1"/>
  <c r="H7" i="44" s="1"/>
  <c r="C59" i="48" l="1"/>
  <c r="C61" i="48" s="1"/>
  <c r="C63" i="48" s="1"/>
  <c r="H9" i="48"/>
  <c r="C34" i="48"/>
  <c r="H7" i="48" s="1"/>
  <c r="H53" i="48"/>
  <c r="I46" i="48"/>
  <c r="C59" i="47"/>
  <c r="H9" i="47"/>
  <c r="I46" i="47"/>
  <c r="H53" i="47"/>
  <c r="C34" i="47"/>
  <c r="H7" i="47" s="1"/>
  <c r="J7" i="46"/>
  <c r="I7" i="46"/>
  <c r="I14" i="46" s="1"/>
  <c r="I52" i="46" s="1"/>
  <c r="I55" i="46" s="1"/>
  <c r="H53" i="46"/>
  <c r="L53" i="46" s="1"/>
  <c r="I46" i="46"/>
  <c r="L9" i="46"/>
  <c r="L12" i="46" s="1"/>
  <c r="H12" i="46"/>
  <c r="K9" i="46"/>
  <c r="K12" i="46" s="1"/>
  <c r="H12" i="45"/>
  <c r="K9" i="45"/>
  <c r="K12" i="45" s="1"/>
  <c r="L9" i="45"/>
  <c r="L12" i="45" s="1"/>
  <c r="L53" i="45"/>
  <c r="I7" i="45"/>
  <c r="I14" i="45" s="1"/>
  <c r="I52" i="45" s="1"/>
  <c r="I55" i="45" s="1"/>
  <c r="J7" i="45"/>
  <c r="J7" i="44"/>
  <c r="I7" i="44"/>
  <c r="I14" i="44" s="1"/>
  <c r="I52" i="44" s="1"/>
  <c r="I55" i="44" s="1"/>
  <c r="C59" i="44"/>
  <c r="C61" i="44" s="1"/>
  <c r="C63" i="44" s="1"/>
  <c r="H9" i="44"/>
  <c r="L53" i="48" l="1"/>
  <c r="J61" i="48"/>
  <c r="J7" i="48"/>
  <c r="I7" i="48"/>
  <c r="I14" i="48" s="1"/>
  <c r="I52" i="48" s="1"/>
  <c r="I55" i="48" s="1"/>
  <c r="L9" i="48"/>
  <c r="L12" i="48" s="1"/>
  <c r="H12" i="48"/>
  <c r="K9" i="48"/>
  <c r="K12" i="48" s="1"/>
  <c r="J61" i="47"/>
  <c r="L53" i="47"/>
  <c r="L9" i="47"/>
  <c r="L12" i="47" s="1"/>
  <c r="H12" i="47"/>
  <c r="K9" i="47"/>
  <c r="K12" i="47" s="1"/>
  <c r="J7" i="47"/>
  <c r="I7" i="47"/>
  <c r="I14" i="47" s="1"/>
  <c r="I52" i="47" s="1"/>
  <c r="I55" i="47" s="1"/>
  <c r="C61" i="47"/>
  <c r="C63" i="47" s="1"/>
  <c r="H52" i="46"/>
  <c r="K14" i="46"/>
  <c r="L15" i="46"/>
  <c r="H14" i="46"/>
  <c r="H15" i="46" s="1"/>
  <c r="J52" i="46"/>
  <c r="J55" i="46" s="1"/>
  <c r="L14" i="46"/>
  <c r="J14" i="46"/>
  <c r="K52" i="46" s="1"/>
  <c r="K55" i="46" s="1"/>
  <c r="J15" i="46"/>
  <c r="L14" i="45"/>
  <c r="J52" i="45"/>
  <c r="J55" i="45" s="1"/>
  <c r="J15" i="45"/>
  <c r="J14" i="45"/>
  <c r="K52" i="45" s="1"/>
  <c r="K55" i="45" s="1"/>
  <c r="H52" i="45"/>
  <c r="K14" i="45"/>
  <c r="L15" i="45"/>
  <c r="H14" i="45"/>
  <c r="H15" i="45" s="1"/>
  <c r="L9" i="44"/>
  <c r="L12" i="44" s="1"/>
  <c r="H12" i="44"/>
  <c r="K9" i="44"/>
  <c r="K12" i="44" s="1"/>
  <c r="J15" i="44"/>
  <c r="J14" i="44"/>
  <c r="K52" i="44" s="1"/>
  <c r="K55" i="44" s="1"/>
  <c r="J15" i="48" l="1"/>
  <c r="J14" i="48"/>
  <c r="K52" i="48" s="1"/>
  <c r="K55" i="48" s="1"/>
  <c r="H14" i="48"/>
  <c r="H15" i="48" s="1"/>
  <c r="J52" i="48"/>
  <c r="J55" i="48" s="1"/>
  <c r="K56" i="48" s="1"/>
  <c r="L14" i="48"/>
  <c r="K14" i="48"/>
  <c r="L15" i="48" s="1"/>
  <c r="H52" i="48"/>
  <c r="H14" i="47"/>
  <c r="H15" i="47" s="1"/>
  <c r="J52" i="47"/>
  <c r="J55" i="47" s="1"/>
  <c r="K56" i="47" s="1"/>
  <c r="L14" i="47"/>
  <c r="J15" i="47"/>
  <c r="J14" i="47"/>
  <c r="K52" i="47" s="1"/>
  <c r="K55" i="47" s="1"/>
  <c r="H52" i="47"/>
  <c r="K14" i="47"/>
  <c r="L15" i="47" s="1"/>
  <c r="K56" i="46"/>
  <c r="L52" i="46"/>
  <c r="L54" i="46" s="1"/>
  <c r="H55" i="46"/>
  <c r="K56" i="45"/>
  <c r="H55" i="45"/>
  <c r="L52" i="45"/>
  <c r="L54" i="45" s="1"/>
  <c r="H52" i="44"/>
  <c r="K14" i="44"/>
  <c r="L15" i="44"/>
  <c r="H14" i="44"/>
  <c r="H15" i="44" s="1"/>
  <c r="L14" i="44"/>
  <c r="J52" i="44"/>
  <c r="J55" i="44" s="1"/>
  <c r="K56" i="44" s="1"/>
  <c r="L52" i="48" l="1"/>
  <c r="L54" i="48" s="1"/>
  <c r="H55" i="48"/>
  <c r="L52" i="47"/>
  <c r="L54" i="47" s="1"/>
  <c r="H55" i="47"/>
  <c r="I56" i="46"/>
  <c r="L55" i="46"/>
  <c r="L56" i="46"/>
  <c r="L55" i="45"/>
  <c r="L56" i="45" s="1"/>
  <c r="I56" i="45"/>
  <c r="H55" i="44"/>
  <c r="L52" i="44"/>
  <c r="L54" i="44" s="1"/>
  <c r="L55" i="48" l="1"/>
  <c r="I56" i="48"/>
  <c r="G59" i="48" s="1"/>
  <c r="L56" i="48"/>
  <c r="L55" i="47"/>
  <c r="I56" i="47"/>
  <c r="G59" i="47" s="1"/>
  <c r="L56" i="47"/>
  <c r="L55" i="44"/>
  <c r="L56" i="44" s="1"/>
  <c r="I56" i="44"/>
  <c r="G59" i="44" s="1"/>
  <c r="O24" i="16" l="1"/>
  <c r="O23" i="16"/>
  <c r="O22" i="16"/>
  <c r="O21" i="16"/>
  <c r="O20" i="16"/>
  <c r="O19" i="16"/>
  <c r="N24" i="16"/>
  <c r="N23" i="16"/>
  <c r="N22" i="16"/>
  <c r="N21" i="16"/>
  <c r="N20" i="16"/>
  <c r="N19" i="16"/>
  <c r="N7" i="16"/>
  <c r="N6" i="16"/>
  <c r="N72" i="16"/>
  <c r="N61" i="16"/>
  <c r="N57" i="16"/>
  <c r="N56" i="16"/>
  <c r="N55" i="16"/>
  <c r="N54" i="16"/>
  <c r="N53" i="16"/>
  <c r="N52" i="16"/>
  <c r="N51" i="16"/>
  <c r="N50" i="16"/>
  <c r="N49" i="16"/>
  <c r="N48" i="16"/>
  <c r="N37" i="16"/>
  <c r="N36" i="16"/>
  <c r="N28" i="16"/>
  <c r="N18" i="16"/>
  <c r="C54" i="22"/>
  <c r="C44" i="22"/>
  <c r="C19" i="22"/>
  <c r="C5" i="22"/>
  <c r="C9" i="22"/>
  <c r="C15" i="22"/>
  <c r="C12" i="22"/>
  <c r="C18" i="22"/>
  <c r="C6" i="22"/>
  <c r="C4" i="22"/>
  <c r="C10" i="22"/>
  <c r="C21" i="22"/>
  <c r="N77" i="16"/>
  <c r="N39" i="16" l="1"/>
  <c r="O39" i="16"/>
  <c r="N58" i="16"/>
  <c r="N25" i="16"/>
  <c r="C54" i="23" l="1"/>
  <c r="C19" i="23"/>
  <c r="C5" i="23"/>
  <c r="C9" i="23"/>
  <c r="C15" i="23"/>
  <c r="C12" i="23"/>
  <c r="C18" i="23"/>
  <c r="C6" i="23"/>
  <c r="C4" i="23"/>
  <c r="C8" i="23"/>
  <c r="C21" i="23"/>
  <c r="C44" i="23" l="1"/>
  <c r="C53" i="23" l="1"/>
  <c r="G38" i="23"/>
  <c r="G39" i="23"/>
  <c r="G40" i="23"/>
  <c r="G41" i="23"/>
  <c r="G42" i="23"/>
  <c r="G43" i="23"/>
  <c r="G44" i="23"/>
  <c r="G37" i="23"/>
  <c r="K36" i="23"/>
  <c r="K37" i="23"/>
  <c r="O72" i="16" l="1"/>
  <c r="O61" i="16"/>
  <c r="O57" i="16"/>
  <c r="O56" i="16"/>
  <c r="O55" i="16"/>
  <c r="O54" i="16"/>
  <c r="O53" i="16"/>
  <c r="O52" i="16"/>
  <c r="O51" i="16"/>
  <c r="O50" i="16"/>
  <c r="O49" i="16"/>
  <c r="O48" i="16"/>
  <c r="O37" i="16"/>
  <c r="O36" i="16"/>
  <c r="O28" i="16"/>
  <c r="O18" i="16"/>
  <c r="O77" i="16"/>
  <c r="O58" i="16" l="1"/>
  <c r="O25" i="16"/>
  <c r="M24" i="16" l="1"/>
  <c r="M23" i="16"/>
  <c r="M22" i="16"/>
  <c r="C19" i="20" l="1"/>
  <c r="C5" i="20"/>
  <c r="C9" i="20"/>
  <c r="C15" i="20"/>
  <c r="C12" i="20"/>
  <c r="C18" i="20"/>
  <c r="C6" i="20"/>
  <c r="C4" i="20"/>
  <c r="C8" i="20"/>
  <c r="C21" i="20"/>
  <c r="C54" i="20"/>
  <c r="C44" i="20" l="1"/>
  <c r="C41" i="20" l="1"/>
  <c r="M20" i="16"/>
  <c r="M21" i="16"/>
  <c r="M19" i="16"/>
  <c r="M39" i="16" l="1"/>
  <c r="M25" i="16"/>
  <c r="M72" i="16"/>
  <c r="M61" i="16"/>
  <c r="M57" i="16"/>
  <c r="M56" i="16"/>
  <c r="M55" i="16"/>
  <c r="M54" i="16"/>
  <c r="M53" i="16"/>
  <c r="M52" i="16"/>
  <c r="M51" i="16"/>
  <c r="M50" i="16"/>
  <c r="M49" i="16"/>
  <c r="M48" i="16"/>
  <c r="M37" i="16"/>
  <c r="M36" i="16"/>
  <c r="M28" i="16"/>
  <c r="M18" i="16"/>
  <c r="M77" i="16"/>
  <c r="M58" i="16" l="1"/>
  <c r="K40" i="21" l="1"/>
  <c r="C53" i="21" l="1"/>
  <c r="C18" i="21"/>
  <c r="C21" i="21"/>
  <c r="C6" i="21"/>
  <c r="C4" i="21"/>
  <c r="C8" i="21"/>
  <c r="C5" i="21"/>
  <c r="C9" i="21"/>
  <c r="C15" i="21"/>
  <c r="C12" i="21"/>
  <c r="C54" i="21"/>
  <c r="C44" i="21" l="1"/>
  <c r="L24" i="16" l="1"/>
  <c r="L22" i="16"/>
  <c r="L23" i="16"/>
  <c r="L20" i="16"/>
  <c r="L21" i="16"/>
  <c r="L19" i="16"/>
  <c r="L72" i="16"/>
  <c r="L61" i="16"/>
  <c r="L57" i="16"/>
  <c r="L56" i="16"/>
  <c r="L55" i="16"/>
  <c r="L54" i="16"/>
  <c r="L53" i="16"/>
  <c r="L52" i="16"/>
  <c r="L51" i="16"/>
  <c r="L50" i="16"/>
  <c r="L49" i="16"/>
  <c r="L48" i="16"/>
  <c r="L37" i="16"/>
  <c r="L36" i="16"/>
  <c r="L28" i="16"/>
  <c r="L18" i="16"/>
  <c r="L77" i="16"/>
  <c r="L39" i="16" l="1"/>
  <c r="L58" i="16"/>
  <c r="L25" i="16"/>
  <c r="C19" i="19" l="1"/>
  <c r="C5" i="19"/>
  <c r="C9" i="19"/>
  <c r="C15" i="19"/>
  <c r="C12" i="19"/>
  <c r="C18" i="19"/>
  <c r="C6" i="19"/>
  <c r="C10" i="19"/>
  <c r="C21" i="19"/>
  <c r="C54" i="19"/>
  <c r="K19" i="16" l="1"/>
  <c r="J23" i="16" l="1"/>
  <c r="K23" i="16"/>
  <c r="K42" i="16" l="1"/>
  <c r="K50" i="16" l="1"/>
  <c r="K51" i="16"/>
  <c r="K52" i="16"/>
  <c r="K53" i="16"/>
  <c r="K54" i="16"/>
  <c r="K55" i="16"/>
  <c r="K56" i="16"/>
  <c r="K57" i="16"/>
  <c r="K49" i="16"/>
  <c r="K20" i="16"/>
  <c r="K21" i="16"/>
  <c r="K22" i="16"/>
  <c r="K24" i="16"/>
  <c r="J50" i="16"/>
  <c r="J51" i="16"/>
  <c r="J52" i="16"/>
  <c r="J53" i="16"/>
  <c r="J54" i="16"/>
  <c r="J55" i="16"/>
  <c r="J56" i="16"/>
  <c r="J57" i="16"/>
  <c r="J49" i="16"/>
  <c r="K18" i="16"/>
  <c r="J18" i="16"/>
  <c r="J20" i="16"/>
  <c r="J21" i="16"/>
  <c r="J22" i="16"/>
  <c r="J24" i="16"/>
  <c r="J19" i="16"/>
  <c r="J72" i="16"/>
  <c r="J61" i="16"/>
  <c r="J48" i="16"/>
  <c r="J37" i="16"/>
  <c r="J36" i="16"/>
  <c r="J28" i="16"/>
  <c r="C44" i="19"/>
  <c r="K39" i="16" l="1"/>
  <c r="J39" i="16"/>
  <c r="K58" i="16"/>
  <c r="J25" i="16"/>
  <c r="K25" i="16"/>
  <c r="J58" i="16"/>
  <c r="C54" i="5" l="1"/>
  <c r="C19" i="5" l="1"/>
  <c r="C5" i="5"/>
  <c r="C9" i="5"/>
  <c r="C15" i="5"/>
  <c r="C12" i="5"/>
  <c r="C18" i="5"/>
  <c r="C6" i="5"/>
  <c r="C21" i="5"/>
  <c r="C53" i="5" l="1"/>
  <c r="J77" i="16"/>
  <c r="C44" i="5" l="1"/>
  <c r="K37" i="16" l="1"/>
  <c r="Q34" i="16" l="1"/>
  <c r="K72" i="16" l="1"/>
  <c r="K61" i="16"/>
  <c r="K48" i="16"/>
  <c r="K36" i="16"/>
  <c r="K28" i="16"/>
  <c r="K77" i="16"/>
  <c r="G39" i="16" l="1"/>
  <c r="G25" i="16"/>
  <c r="V71" i="16" l="1"/>
  <c r="G49" i="16" l="1"/>
  <c r="F25" i="16" l="1"/>
  <c r="C43" i="22" l="1"/>
  <c r="C33" i="23" l="1"/>
  <c r="C43" i="23" l="1"/>
  <c r="C33" i="20" l="1"/>
  <c r="C52" i="20" s="1"/>
  <c r="C43" i="21" l="1"/>
  <c r="C33" i="21" l="1"/>
  <c r="C52" i="21" s="1"/>
  <c r="C56" i="21" l="1"/>
  <c r="H9" i="21" s="1"/>
  <c r="H11" i="19" l="1"/>
  <c r="H10" i="19"/>
  <c r="K10" i="19" s="1"/>
  <c r="C43" i="19"/>
  <c r="C33" i="19" l="1"/>
  <c r="C52" i="19" l="1"/>
  <c r="C56" i="19" s="1"/>
  <c r="C59" i="19" l="1"/>
  <c r="H9" i="19"/>
  <c r="G32" i="5"/>
  <c r="C33" i="5" l="1"/>
  <c r="C52" i="5" s="1"/>
  <c r="H57" i="16" l="1"/>
  <c r="G57" i="16"/>
  <c r="F57" i="16"/>
  <c r="E57" i="16"/>
  <c r="D57" i="16"/>
  <c r="H56" i="16"/>
  <c r="G56" i="16"/>
  <c r="F56" i="16"/>
  <c r="E56" i="16"/>
  <c r="D56" i="16"/>
  <c r="I55" i="16"/>
  <c r="H55" i="16"/>
  <c r="G55" i="16"/>
  <c r="F55" i="16"/>
  <c r="E55" i="16"/>
  <c r="D55" i="16"/>
  <c r="H54" i="16"/>
  <c r="G54" i="16"/>
  <c r="F54" i="16"/>
  <c r="E54" i="16"/>
  <c r="D54" i="16"/>
  <c r="H53" i="16"/>
  <c r="G53" i="16"/>
  <c r="F53" i="16"/>
  <c r="E53" i="16"/>
  <c r="D53" i="16"/>
  <c r="H52" i="16"/>
  <c r="G52" i="16"/>
  <c r="F52" i="16"/>
  <c r="E52" i="16"/>
  <c r="D52" i="16"/>
  <c r="H51" i="16"/>
  <c r="G51" i="16"/>
  <c r="F51" i="16"/>
  <c r="E51" i="16"/>
  <c r="D51" i="16"/>
  <c r="H50" i="16"/>
  <c r="G50" i="16"/>
  <c r="F50" i="16"/>
  <c r="E50" i="16"/>
  <c r="D50" i="16"/>
  <c r="H49" i="16"/>
  <c r="F49" i="16"/>
  <c r="E49" i="16"/>
  <c r="D49" i="16"/>
  <c r="I49" i="16"/>
  <c r="I50" i="16"/>
  <c r="I51" i="16"/>
  <c r="I52" i="16"/>
  <c r="I53" i="16"/>
  <c r="I54" i="16"/>
  <c r="I56" i="16"/>
  <c r="I57" i="16"/>
  <c r="D72" i="16"/>
  <c r="D48" i="16"/>
  <c r="E48" i="16" s="1"/>
  <c r="F48" i="16" s="1"/>
  <c r="G48" i="16" s="1"/>
  <c r="H48" i="16" s="1"/>
  <c r="I48" i="16" s="1"/>
  <c r="D28" i="16"/>
  <c r="E28" i="16" s="1"/>
  <c r="F28" i="16" s="1"/>
  <c r="G28" i="16" s="1"/>
  <c r="H28" i="16" s="1"/>
  <c r="I28" i="16" s="1"/>
  <c r="D61" i="16"/>
  <c r="E61" i="16" s="1"/>
  <c r="F61" i="16" s="1"/>
  <c r="G61" i="16" s="1"/>
  <c r="H61" i="16" s="1"/>
  <c r="I61" i="16" s="1"/>
  <c r="F39" i="16"/>
  <c r="H25" i="16"/>
  <c r="D18" i="16"/>
  <c r="E18" i="16" s="1"/>
  <c r="F18" i="16" s="1"/>
  <c r="G18" i="16" s="1"/>
  <c r="H18" i="16" s="1"/>
  <c r="I18" i="16" s="1"/>
  <c r="G74" i="16" l="1"/>
  <c r="E39" i="16"/>
  <c r="I25" i="16"/>
  <c r="D39" i="16"/>
  <c r="D74" i="16"/>
  <c r="E72" i="16"/>
  <c r="D3" i="16"/>
  <c r="I58" i="16"/>
  <c r="H58" i="16"/>
  <c r="F74" i="16"/>
  <c r="E74" i="16"/>
  <c r="F58" i="16"/>
  <c r="G58" i="16"/>
  <c r="D25" i="16"/>
  <c r="E25" i="16"/>
  <c r="D58" i="16"/>
  <c r="E58" i="16"/>
  <c r="E77" i="16"/>
  <c r="D77" i="16"/>
  <c r="F72" i="16" l="1"/>
  <c r="E3" i="16"/>
  <c r="F77" i="16"/>
  <c r="G72" i="16" l="1"/>
  <c r="F3" i="16"/>
  <c r="G77" i="16"/>
  <c r="H72" i="16" l="1"/>
  <c r="G3" i="16"/>
  <c r="D36" i="16"/>
  <c r="H77" i="16"/>
  <c r="I72" i="16" l="1"/>
  <c r="H3" i="16"/>
  <c r="E36" i="16"/>
  <c r="I77" i="16"/>
  <c r="I3" i="16" l="1"/>
  <c r="F36" i="16"/>
  <c r="U9" i="16" l="1"/>
  <c r="V10" i="16" s="1"/>
  <c r="G36" i="16"/>
  <c r="H36" i="16" l="1"/>
  <c r="I36" i="16" l="1"/>
  <c r="V38" i="16" l="1"/>
  <c r="U38" i="16"/>
  <c r="V39" i="16"/>
  <c r="AJ39" i="16" s="1"/>
  <c r="U40" i="16" l="1"/>
  <c r="AJ40" i="16" s="1"/>
  <c r="K36" i="22" l="1"/>
  <c r="I23" i="22" l="1"/>
  <c r="C33" i="22" l="1"/>
  <c r="C52" i="22" s="1"/>
  <c r="C56" i="22" s="1"/>
  <c r="H9" i="22" s="1"/>
  <c r="C59" i="22" l="1"/>
  <c r="I24" i="20" l="1"/>
  <c r="G38" i="22" l="1"/>
  <c r="G38" i="20"/>
  <c r="I38" i="20" s="1"/>
  <c r="G38" i="21"/>
  <c r="I38" i="22" l="1"/>
  <c r="I24" i="22"/>
  <c r="I25" i="22"/>
  <c r="I38" i="23"/>
  <c r="I24" i="23"/>
  <c r="I38" i="5"/>
  <c r="I24" i="5"/>
  <c r="S39" i="16" l="1"/>
  <c r="T39" i="16"/>
  <c r="S40" i="16"/>
  <c r="T40" i="16"/>
  <c r="R40" i="16"/>
  <c r="R39" i="16"/>
  <c r="Q40" i="16"/>
  <c r="G32" i="21" l="1"/>
  <c r="C1" i="19" l="1"/>
  <c r="C1" i="21" s="1"/>
  <c r="Q69" i="16"/>
  <c r="U72" i="16" s="1"/>
  <c r="C27" i="22"/>
  <c r="C22" i="22"/>
  <c r="C20" i="22"/>
  <c r="C17" i="22"/>
  <c r="C14" i="22"/>
  <c r="C11" i="22"/>
  <c r="C30" i="22" s="1"/>
  <c r="C7" i="22"/>
  <c r="C52" i="23"/>
  <c r="C56" i="23" s="1"/>
  <c r="C27" i="23"/>
  <c r="C22" i="23"/>
  <c r="C20" i="23"/>
  <c r="C17" i="23"/>
  <c r="C14" i="23"/>
  <c r="C11" i="23"/>
  <c r="C7" i="23"/>
  <c r="C43" i="20"/>
  <c r="C56" i="20" s="1"/>
  <c r="C27" i="20"/>
  <c r="C22" i="20"/>
  <c r="C20" i="20"/>
  <c r="C17" i="20"/>
  <c r="C14" i="20"/>
  <c r="C11" i="20"/>
  <c r="C7" i="20"/>
  <c r="C27" i="21"/>
  <c r="C22" i="21"/>
  <c r="C20" i="21"/>
  <c r="C17" i="21"/>
  <c r="C14" i="21"/>
  <c r="C11" i="21"/>
  <c r="C7" i="21"/>
  <c r="C14" i="19"/>
  <c r="C1485" i="23"/>
  <c r="M42" i="23"/>
  <c r="I44" i="23"/>
  <c r="M41" i="23"/>
  <c r="I43" i="23"/>
  <c r="K40" i="23"/>
  <c r="M40" i="23" s="1"/>
  <c r="I42" i="23"/>
  <c r="K39" i="23"/>
  <c r="I41" i="23"/>
  <c r="K38" i="23"/>
  <c r="I40" i="23"/>
  <c r="I39" i="23"/>
  <c r="G32" i="23"/>
  <c r="I31" i="23"/>
  <c r="I30" i="23"/>
  <c r="K28" i="23"/>
  <c r="K30" i="23" s="1"/>
  <c r="I29" i="23"/>
  <c r="M27" i="23"/>
  <c r="I28" i="23"/>
  <c r="M26" i="23"/>
  <c r="I27" i="23"/>
  <c r="M25" i="23"/>
  <c r="I26" i="23"/>
  <c r="M24" i="23"/>
  <c r="I25" i="23"/>
  <c r="M23" i="23"/>
  <c r="I23" i="23"/>
  <c r="H11" i="23"/>
  <c r="L11" i="23" s="1"/>
  <c r="H10" i="23"/>
  <c r="K10" i="23" s="1"/>
  <c r="C1485" i="22"/>
  <c r="M42" i="22"/>
  <c r="G44" i="22"/>
  <c r="M41" i="22"/>
  <c r="G43" i="22"/>
  <c r="I43" i="22" s="1"/>
  <c r="K40" i="22"/>
  <c r="G42" i="22"/>
  <c r="I42" i="22" s="1"/>
  <c r="K39" i="22"/>
  <c r="G41" i="22"/>
  <c r="I41" i="22" s="1"/>
  <c r="K38" i="22"/>
  <c r="G40" i="22"/>
  <c r="I40" i="22" s="1"/>
  <c r="K37" i="22"/>
  <c r="G39" i="22"/>
  <c r="I39" i="22" s="1"/>
  <c r="G37" i="22"/>
  <c r="I37" i="22" s="1"/>
  <c r="G32" i="22"/>
  <c r="I31" i="22"/>
  <c r="I30" i="22"/>
  <c r="K28" i="22"/>
  <c r="K30" i="22" s="1"/>
  <c r="I29" i="22"/>
  <c r="M27" i="22"/>
  <c r="I28" i="22"/>
  <c r="M26" i="22"/>
  <c r="I27" i="22"/>
  <c r="M25" i="22"/>
  <c r="I26" i="22"/>
  <c r="M24" i="22"/>
  <c r="M23" i="22"/>
  <c r="H11" i="22"/>
  <c r="L11" i="22" s="1"/>
  <c r="H10" i="22"/>
  <c r="K10" i="22" s="1"/>
  <c r="C1485" i="21"/>
  <c r="M42" i="21"/>
  <c r="G44" i="21"/>
  <c r="M41" i="21"/>
  <c r="G43" i="21"/>
  <c r="M40" i="21"/>
  <c r="G42" i="21"/>
  <c r="K39" i="21"/>
  <c r="G41" i="21"/>
  <c r="K38" i="21"/>
  <c r="G40" i="21"/>
  <c r="K37" i="21"/>
  <c r="G39" i="21"/>
  <c r="K36" i="21"/>
  <c r="G37" i="21"/>
  <c r="G34" i="21"/>
  <c r="K28" i="21"/>
  <c r="K30" i="21" s="1"/>
  <c r="H11" i="21"/>
  <c r="L11" i="21" s="1"/>
  <c r="H10" i="21"/>
  <c r="K10" i="21" s="1"/>
  <c r="C1485" i="20"/>
  <c r="M42" i="20"/>
  <c r="G44" i="20"/>
  <c r="M41" i="20"/>
  <c r="G43" i="20"/>
  <c r="I43" i="20" s="1"/>
  <c r="K40" i="20"/>
  <c r="M40" i="20" s="1"/>
  <c r="G42" i="20"/>
  <c r="I42" i="20" s="1"/>
  <c r="K39" i="20"/>
  <c r="G41" i="20"/>
  <c r="I41" i="20" s="1"/>
  <c r="K38" i="20"/>
  <c r="G40" i="20"/>
  <c r="I40" i="20" s="1"/>
  <c r="K37" i="20"/>
  <c r="G39" i="20"/>
  <c r="I39" i="20" s="1"/>
  <c r="K36" i="20"/>
  <c r="G37" i="20"/>
  <c r="I37" i="20" s="1"/>
  <c r="G32" i="20"/>
  <c r="I31" i="20"/>
  <c r="I30" i="20"/>
  <c r="K28" i="20"/>
  <c r="K30" i="20" s="1"/>
  <c r="I29" i="20"/>
  <c r="M27" i="20"/>
  <c r="I28" i="20"/>
  <c r="M26" i="20"/>
  <c r="I27" i="20"/>
  <c r="M25" i="20"/>
  <c r="I26" i="20"/>
  <c r="M24" i="20"/>
  <c r="I25" i="20"/>
  <c r="M23" i="20"/>
  <c r="I23" i="20"/>
  <c r="H11" i="20"/>
  <c r="L11" i="20" s="1"/>
  <c r="H10" i="20"/>
  <c r="K10" i="20" s="1"/>
  <c r="C1485" i="19"/>
  <c r="M42" i="19"/>
  <c r="M41" i="19"/>
  <c r="K40" i="19"/>
  <c r="M40" i="19" s="1"/>
  <c r="K39" i="19"/>
  <c r="K38" i="19"/>
  <c r="K37" i="19"/>
  <c r="K36" i="19"/>
  <c r="G32" i="19"/>
  <c r="K28" i="19"/>
  <c r="K30" i="19" s="1"/>
  <c r="M27" i="19"/>
  <c r="C27" i="19"/>
  <c r="M26" i="19"/>
  <c r="C22" i="19"/>
  <c r="C20" i="19"/>
  <c r="C17" i="19"/>
  <c r="L11" i="19"/>
  <c r="C11" i="19"/>
  <c r="C7" i="19"/>
  <c r="C32" i="22" l="1"/>
  <c r="C34" i="22" s="1"/>
  <c r="C61" i="22" s="1"/>
  <c r="C30" i="23"/>
  <c r="C32" i="23" s="1"/>
  <c r="C34" i="23" s="1"/>
  <c r="H7" i="23" s="1"/>
  <c r="I7" i="23" s="1"/>
  <c r="I14" i="23" s="1"/>
  <c r="I52" i="23" s="1"/>
  <c r="V73" i="16"/>
  <c r="U71" i="16"/>
  <c r="V70" i="16"/>
  <c r="H9" i="23"/>
  <c r="C30" i="21"/>
  <c r="C32" i="21" s="1"/>
  <c r="C34" i="21" s="1"/>
  <c r="H7" i="21" s="1"/>
  <c r="C30" i="19"/>
  <c r="C32" i="19" s="1"/>
  <c r="C34" i="19" s="1"/>
  <c r="H7" i="19" s="1"/>
  <c r="M40" i="22"/>
  <c r="C59" i="20"/>
  <c r="G34" i="22"/>
  <c r="G34" i="23"/>
  <c r="G34" i="20"/>
  <c r="G34" i="19"/>
  <c r="M37" i="22"/>
  <c r="M38" i="22"/>
  <c r="M39" i="22"/>
  <c r="M38" i="23"/>
  <c r="M37" i="23"/>
  <c r="M39" i="23"/>
  <c r="M38" i="20"/>
  <c r="M37" i="20"/>
  <c r="M39" i="20"/>
  <c r="M39" i="19"/>
  <c r="F1" i="19"/>
  <c r="C59" i="21"/>
  <c r="C1" i="20"/>
  <c r="F1" i="20" s="1"/>
  <c r="F1" i="21"/>
  <c r="M28" i="23"/>
  <c r="K53" i="23" s="1"/>
  <c r="M28" i="19"/>
  <c r="K53" i="19" s="1"/>
  <c r="K43" i="19"/>
  <c r="K45" i="19" s="1"/>
  <c r="K43" i="20"/>
  <c r="K45" i="20" s="1"/>
  <c r="I32" i="21"/>
  <c r="I32" i="22"/>
  <c r="I33" i="22" s="1"/>
  <c r="I32" i="23"/>
  <c r="I33" i="23" s="1"/>
  <c r="K43" i="23"/>
  <c r="K47" i="23" s="1"/>
  <c r="I32" i="19"/>
  <c r="G45" i="21"/>
  <c r="G45" i="23"/>
  <c r="G47" i="23" s="1"/>
  <c r="C30" i="20"/>
  <c r="M28" i="22"/>
  <c r="K53" i="22" s="1"/>
  <c r="K43" i="22"/>
  <c r="K47" i="22" s="1"/>
  <c r="G45" i="22"/>
  <c r="G47" i="22" s="1"/>
  <c r="I37" i="23"/>
  <c r="I45" i="23" s="1"/>
  <c r="M28" i="20"/>
  <c r="M29" i="20" s="1"/>
  <c r="I32" i="20"/>
  <c r="I53" i="20" s="1"/>
  <c r="G45" i="20"/>
  <c r="M28" i="21"/>
  <c r="K43" i="21"/>
  <c r="K47" i="21" s="1"/>
  <c r="I45" i="21"/>
  <c r="H53" i="21" s="1"/>
  <c r="I45" i="19"/>
  <c r="H53" i="19" s="1"/>
  <c r="I44" i="22"/>
  <c r="I45" i="22" s="1"/>
  <c r="H53" i="22" s="1"/>
  <c r="M36" i="23"/>
  <c r="M36" i="22"/>
  <c r="I44" i="20"/>
  <c r="I45" i="20" s="1"/>
  <c r="M36" i="20"/>
  <c r="G45" i="19"/>
  <c r="H7" i="22" l="1"/>
  <c r="I7" i="22" s="1"/>
  <c r="C61" i="21"/>
  <c r="G47" i="20"/>
  <c r="K5" i="20"/>
  <c r="L5" i="20" s="1"/>
  <c r="C32" i="20"/>
  <c r="C34" i="20" s="1"/>
  <c r="M29" i="21"/>
  <c r="K53" i="21"/>
  <c r="G47" i="21"/>
  <c r="K5" i="21"/>
  <c r="K9" i="21" s="1"/>
  <c r="I53" i="21"/>
  <c r="I53" i="19"/>
  <c r="K5" i="19"/>
  <c r="K9" i="19" s="1"/>
  <c r="C61" i="19"/>
  <c r="C63" i="19" s="1"/>
  <c r="M43" i="22"/>
  <c r="M44" i="22" s="1"/>
  <c r="M43" i="20"/>
  <c r="M44" i="20" s="1"/>
  <c r="M43" i="21"/>
  <c r="M43" i="23"/>
  <c r="M43" i="19"/>
  <c r="M44" i="19" s="1"/>
  <c r="C1" i="23"/>
  <c r="F1" i="23" s="1"/>
  <c r="C59" i="23"/>
  <c r="M29" i="22"/>
  <c r="I33" i="19"/>
  <c r="K53" i="20"/>
  <c r="I53" i="22"/>
  <c r="M29" i="19"/>
  <c r="M29" i="23"/>
  <c r="I33" i="21"/>
  <c r="I46" i="21"/>
  <c r="I33" i="20"/>
  <c r="K5" i="23"/>
  <c r="L5" i="23" s="1"/>
  <c r="C63" i="22"/>
  <c r="I53" i="23"/>
  <c r="K5" i="22"/>
  <c r="K9" i="22" s="1"/>
  <c r="I46" i="22"/>
  <c r="J7" i="23"/>
  <c r="H53" i="23"/>
  <c r="I46" i="23"/>
  <c r="I46" i="20"/>
  <c r="H53" i="20"/>
  <c r="H9" i="20"/>
  <c r="G47" i="19"/>
  <c r="J7" i="19"/>
  <c r="I7" i="19"/>
  <c r="I14" i="19" s="1"/>
  <c r="I52" i="19" s="1"/>
  <c r="H12" i="19"/>
  <c r="I46" i="19"/>
  <c r="K9" i="20" l="1"/>
  <c r="L5" i="19"/>
  <c r="L9" i="19" s="1"/>
  <c r="L12" i="19" s="1"/>
  <c r="L5" i="22"/>
  <c r="L9" i="22" s="1"/>
  <c r="L12" i="22" s="1"/>
  <c r="L14" i="22" s="1"/>
  <c r="K12" i="22"/>
  <c r="J53" i="23"/>
  <c r="H7" i="20"/>
  <c r="J7" i="20" s="1"/>
  <c r="J14" i="20" s="1"/>
  <c r="K52" i="20" s="1"/>
  <c r="K55" i="20" s="1"/>
  <c r="C61" i="20"/>
  <c r="C63" i="20" s="1"/>
  <c r="L5" i="21"/>
  <c r="L9" i="21" s="1"/>
  <c r="L12" i="21" s="1"/>
  <c r="M44" i="21"/>
  <c r="J53" i="21"/>
  <c r="J53" i="19"/>
  <c r="L53" i="19" s="1"/>
  <c r="J7" i="22"/>
  <c r="J14" i="22" s="1"/>
  <c r="I14" i="22"/>
  <c r="I52" i="22" s="1"/>
  <c r="I55" i="22" s="1"/>
  <c r="O7" i="16" s="1"/>
  <c r="H12" i="22"/>
  <c r="H14" i="22" s="1"/>
  <c r="H15" i="22" s="1"/>
  <c r="C61" i="23"/>
  <c r="C63" i="23" s="1"/>
  <c r="J53" i="22"/>
  <c r="M44" i="23"/>
  <c r="J53" i="20"/>
  <c r="I55" i="23"/>
  <c r="C1" i="22"/>
  <c r="I55" i="19"/>
  <c r="K12" i="19"/>
  <c r="H52" i="19" s="1"/>
  <c r="K9" i="23"/>
  <c r="K12" i="23" s="1"/>
  <c r="H12" i="23"/>
  <c r="H14" i="23" s="1"/>
  <c r="L9" i="23"/>
  <c r="L12" i="23" s="1"/>
  <c r="J52" i="23" s="1"/>
  <c r="J15" i="23"/>
  <c r="J14" i="23"/>
  <c r="H12" i="20"/>
  <c r="L9" i="20"/>
  <c r="L12" i="20" s="1"/>
  <c r="K12" i="20"/>
  <c r="H52" i="20" s="1"/>
  <c r="K12" i="21"/>
  <c r="H12" i="21"/>
  <c r="H14" i="21" s="1"/>
  <c r="J15" i="19"/>
  <c r="J14" i="19"/>
  <c r="H14" i="19"/>
  <c r="H15" i="19" s="1"/>
  <c r="J61" i="23" l="1"/>
  <c r="I7" i="20"/>
  <c r="I14" i="20" s="1"/>
  <c r="I52" i="20" s="1"/>
  <c r="I55" i="20" s="1"/>
  <c r="J61" i="21"/>
  <c r="J61" i="20"/>
  <c r="K7" i="16"/>
  <c r="L53" i="23"/>
  <c r="H52" i="22"/>
  <c r="H55" i="22" s="1"/>
  <c r="O6" i="16" s="1"/>
  <c r="J61" i="22"/>
  <c r="C63" i="21"/>
  <c r="H15" i="21"/>
  <c r="I7" i="21"/>
  <c r="I14" i="21" s="1"/>
  <c r="I52" i="21" s="1"/>
  <c r="J7" i="21"/>
  <c r="J52" i="19"/>
  <c r="J55" i="19" s="1"/>
  <c r="L14" i="19"/>
  <c r="J61" i="19"/>
  <c r="J15" i="22"/>
  <c r="L53" i="22"/>
  <c r="K14" i="22"/>
  <c r="L15" i="22" s="1"/>
  <c r="L53" i="20"/>
  <c r="L53" i="21"/>
  <c r="K52" i="23"/>
  <c r="F1" i="22"/>
  <c r="J52" i="22"/>
  <c r="J55" i="22" s="1"/>
  <c r="J15" i="20"/>
  <c r="K52" i="19"/>
  <c r="K55" i="19" s="1"/>
  <c r="K14" i="19"/>
  <c r="K14" i="23"/>
  <c r="H52" i="23"/>
  <c r="H15" i="23"/>
  <c r="J55" i="23"/>
  <c r="L14" i="23"/>
  <c r="H14" i="20"/>
  <c r="H15" i="20" s="1"/>
  <c r="J52" i="21"/>
  <c r="J55" i="21" s="1"/>
  <c r="L14" i="21"/>
  <c r="J52" i="20"/>
  <c r="J55" i="20" s="1"/>
  <c r="L14" i="20"/>
  <c r="K14" i="20"/>
  <c r="K14" i="21"/>
  <c r="H52" i="21"/>
  <c r="H55" i="21" s="1"/>
  <c r="H55" i="23" l="1"/>
  <c r="L52" i="23"/>
  <c r="L6" i="16"/>
  <c r="M7" i="16"/>
  <c r="I56" i="23"/>
  <c r="J15" i="21"/>
  <c r="J14" i="21"/>
  <c r="I55" i="21"/>
  <c r="L54" i="23"/>
  <c r="I56" i="22"/>
  <c r="K55" i="23"/>
  <c r="H55" i="20"/>
  <c r="L52" i="20"/>
  <c r="L54" i="20" s="1"/>
  <c r="L52" i="19"/>
  <c r="L54" i="19" s="1"/>
  <c r="H55" i="19"/>
  <c r="K52" i="22"/>
  <c r="K55" i="22" s="1"/>
  <c r="L15" i="19"/>
  <c r="K56" i="19"/>
  <c r="L15" i="23"/>
  <c r="L15" i="20"/>
  <c r="K56" i="20"/>
  <c r="L15" i="21"/>
  <c r="I31" i="5"/>
  <c r="I30" i="5"/>
  <c r="I29" i="5"/>
  <c r="I28" i="5"/>
  <c r="I27" i="5"/>
  <c r="I26" i="5"/>
  <c r="I25" i="5"/>
  <c r="I23" i="5"/>
  <c r="M6" i="16" l="1"/>
  <c r="U8" i="16" s="1"/>
  <c r="I56" i="20"/>
  <c r="G59" i="20" s="1"/>
  <c r="L7" i="16"/>
  <c r="K6" i="16"/>
  <c r="K56" i="23"/>
  <c r="G59" i="23" s="1"/>
  <c r="K52" i="21"/>
  <c r="L55" i="22"/>
  <c r="L52" i="22"/>
  <c r="L54" i="22" s="1"/>
  <c r="L55" i="23"/>
  <c r="L55" i="20"/>
  <c r="L56" i="20" s="1"/>
  <c r="L55" i="19"/>
  <c r="L56" i="19" s="1"/>
  <c r="I56" i="19"/>
  <c r="K56" i="22"/>
  <c r="I56" i="21"/>
  <c r="V8" i="16" l="1"/>
  <c r="K55" i="21"/>
  <c r="L52" i="21"/>
  <c r="L54" i="21" s="1"/>
  <c r="L56" i="22"/>
  <c r="L56" i="23"/>
  <c r="K56" i="21" l="1"/>
  <c r="G59" i="21" s="1"/>
  <c r="L55" i="21"/>
  <c r="L56" i="21" s="1"/>
  <c r="M42" i="5" l="1"/>
  <c r="M41" i="5"/>
  <c r="M27" i="5"/>
  <c r="M26" i="5"/>
  <c r="M25" i="5"/>
  <c r="M24" i="5"/>
  <c r="M23" i="5"/>
  <c r="V74" i="16" l="1"/>
  <c r="C20" i="5" l="1"/>
  <c r="C17" i="5"/>
  <c r="C14" i="5"/>
  <c r="C11" i="5"/>
  <c r="C7" i="5"/>
  <c r="K28" i="5" l="1"/>
  <c r="K30" i="5" s="1"/>
  <c r="C43" i="5"/>
  <c r="C56" i="5" s="1"/>
  <c r="C27" i="5"/>
  <c r="C22" i="5"/>
  <c r="C30" i="5" s="1"/>
  <c r="C32" i="5" l="1"/>
  <c r="C34" i="5" s="1"/>
  <c r="H7" i="5" s="1"/>
  <c r="J7" i="5" l="1"/>
  <c r="I7" i="5"/>
  <c r="I14" i="5" s="1"/>
  <c r="C59" i="5"/>
  <c r="C61" i="5" s="1"/>
  <c r="C63" i="5" s="1"/>
  <c r="H9" i="5"/>
  <c r="D73" i="16" l="1"/>
  <c r="D76" i="16" s="1"/>
  <c r="D78" i="16" s="1"/>
  <c r="E73" i="16" l="1"/>
  <c r="E76" i="16" s="1"/>
  <c r="E78" i="16" l="1"/>
  <c r="F73" i="16"/>
  <c r="F76" i="16" s="1"/>
  <c r="G73" i="16" s="1"/>
  <c r="F78" i="16" l="1"/>
  <c r="G76" i="16"/>
  <c r="G78" i="16" l="1"/>
  <c r="H73" i="16"/>
  <c r="H76" i="16" s="1"/>
  <c r="J73" i="16" s="1"/>
  <c r="J76" i="16" s="1"/>
  <c r="O73" i="16" s="1"/>
  <c r="O76" i="16" s="1"/>
  <c r="O78" i="16" s="1"/>
  <c r="J78" i="16" l="1"/>
  <c r="L73" i="16"/>
  <c r="L76" i="16" s="1"/>
  <c r="L78" i="16" s="1"/>
  <c r="I73" i="16"/>
  <c r="I76" i="16" s="1"/>
  <c r="N73" i="16" s="1"/>
  <c r="N76" i="16" s="1"/>
  <c r="N78" i="16" s="1"/>
  <c r="H78" i="16"/>
  <c r="I78" i="16" l="1"/>
  <c r="K73" i="16"/>
  <c r="K76" i="16" s="1"/>
  <c r="C1485" i="5"/>
  <c r="K78" i="16" l="1"/>
  <c r="M73" i="16"/>
  <c r="M76" i="16" s="1"/>
  <c r="M78" i="16" s="1"/>
  <c r="F1" i="5" l="1"/>
  <c r="I44" i="5" l="1"/>
  <c r="I43" i="5" l="1"/>
  <c r="I42" i="5"/>
  <c r="I40" i="5"/>
  <c r="I41" i="5" l="1"/>
  <c r="I37" i="5" l="1"/>
  <c r="G34" i="5"/>
  <c r="I39" i="5"/>
  <c r="I45" i="5" l="1"/>
  <c r="H53" i="5" s="1"/>
  <c r="G45" i="5"/>
  <c r="I32" i="5"/>
  <c r="I53" i="5" s="1"/>
  <c r="I33" i="5" l="1"/>
  <c r="I46" i="5"/>
  <c r="G47" i="5"/>
  <c r="K39" i="5" l="1"/>
  <c r="M39" i="5" l="1"/>
  <c r="M38" i="5"/>
  <c r="K40" i="5"/>
  <c r="M40" i="5" s="1"/>
  <c r="M37" i="5" l="1"/>
  <c r="M28" i="5"/>
  <c r="M29" i="5" s="1"/>
  <c r="M36" i="5" l="1"/>
  <c r="M43" i="5" s="1"/>
  <c r="J53" i="5" s="1"/>
  <c r="K43" i="5"/>
  <c r="K5" i="5" s="1"/>
  <c r="K9" i="5" s="1"/>
  <c r="K53" i="5"/>
  <c r="L53" i="5" l="1"/>
  <c r="J61" i="5"/>
  <c r="L5" i="5"/>
  <c r="M44" i="5"/>
  <c r="K45" i="5"/>
  <c r="H11" i="5" l="1"/>
  <c r="L11" i="5" s="1"/>
  <c r="H10" i="5"/>
  <c r="K10" i="5" l="1"/>
  <c r="H12" i="5"/>
  <c r="H14" i="5" s="1"/>
  <c r="I52" i="5" l="1"/>
  <c r="I55" i="5" s="1"/>
  <c r="J14" i="5"/>
  <c r="J7" i="16" l="1"/>
  <c r="K52" i="5"/>
  <c r="K55" i="5" s="1"/>
  <c r="J15" i="5"/>
  <c r="K12" i="5" l="1"/>
  <c r="H52" i="5" s="1"/>
  <c r="L9" i="5"/>
  <c r="L12" i="5" s="1"/>
  <c r="J52" i="5" s="1"/>
  <c r="L52" i="5" l="1"/>
  <c r="H55" i="5"/>
  <c r="L14" i="5"/>
  <c r="J55" i="5"/>
  <c r="H15" i="5"/>
  <c r="K14" i="5"/>
  <c r="L55" i="5" l="1"/>
  <c r="K56" i="5"/>
  <c r="L15" i="5"/>
  <c r="L54" i="5"/>
  <c r="I56" i="5" l="1"/>
  <c r="G59" i="5" s="1"/>
  <c r="L56" i="5"/>
  <c r="D38" i="16" l="1"/>
  <c r="D40" i="16" s="1"/>
  <c r="D43" i="16" l="1"/>
  <c r="E38" i="16" l="1"/>
  <c r="E40" i="16" s="1"/>
  <c r="E43" i="16" l="1"/>
  <c r="F38" i="16" s="1"/>
  <c r="F40" i="16" s="1"/>
  <c r="F43" i="16" l="1"/>
  <c r="G38" i="16" s="1"/>
  <c r="G40" i="16" l="1"/>
  <c r="G43" i="16" l="1"/>
  <c r="H38" i="16" l="1"/>
  <c r="H40" i="16" s="1"/>
  <c r="H43" i="16" l="1"/>
  <c r="I38" i="16" l="1"/>
  <c r="I40" i="16" l="1"/>
  <c r="I43" i="16" l="1"/>
  <c r="J38" i="16" l="1"/>
  <c r="J40" i="16" s="1"/>
  <c r="J43" i="16" s="1"/>
  <c r="K38" i="16" l="1"/>
  <c r="K40" i="16" l="1"/>
  <c r="K43" i="16" l="1"/>
  <c r="L38" i="16" l="1"/>
  <c r="L40" i="16" l="1"/>
  <c r="V35" i="16" l="1"/>
  <c r="L43" i="16"/>
  <c r="M38" i="16" l="1"/>
  <c r="M40" i="16" s="1"/>
  <c r="M43" i="16" l="1"/>
  <c r="N38" i="16" s="1"/>
  <c r="N40" i="16" s="1"/>
  <c r="N43" i="16" s="1"/>
  <c r="O38" i="16" l="1"/>
  <c r="O40" i="16" l="1"/>
  <c r="O43" i="16" s="1"/>
  <c r="U37" i="16" l="1"/>
  <c r="V37" i="16"/>
  <c r="U36" i="16"/>
  <c r="V41" i="16" l="1"/>
  <c r="D5" i="16" l="1"/>
  <c r="D8" i="16" l="1"/>
  <c r="D13" i="16" l="1"/>
  <c r="E5" i="16" l="1"/>
  <c r="E8" i="16" s="1"/>
  <c r="E13" i="16" l="1"/>
  <c r="F5" i="16" s="1"/>
  <c r="F8" i="16" l="1"/>
  <c r="F13" i="16" l="1"/>
  <c r="G5" i="16" l="1"/>
  <c r="G8" i="16" s="1"/>
  <c r="G13" i="16" l="1"/>
  <c r="H5" i="16" s="1"/>
  <c r="H8" i="16" s="1"/>
  <c r="H13" i="16" l="1"/>
  <c r="I5" i="16" l="1"/>
  <c r="I8" i="16" s="1"/>
  <c r="I13" i="16" l="1"/>
  <c r="J5" i="16" s="1"/>
  <c r="J8" i="16" s="1"/>
  <c r="J13" i="16" s="1"/>
  <c r="K5" i="16" l="1"/>
  <c r="K8" i="16" s="1"/>
  <c r="K13" i="16" l="1"/>
  <c r="L5" i="16" l="1"/>
  <c r="L8" i="16" s="1"/>
  <c r="L13" i="16" s="1"/>
  <c r="M5" i="16" l="1"/>
  <c r="M8" i="16" s="1"/>
  <c r="M13" i="16" s="1"/>
  <c r="N5" i="16" l="1"/>
  <c r="N8" i="16" s="1"/>
  <c r="N13" i="16" l="1"/>
  <c r="O5" i="16" s="1"/>
  <c r="O8" i="16" s="1"/>
  <c r="V5" i="16" s="1"/>
  <c r="O13" i="16" l="1"/>
  <c r="U6" i="16"/>
  <c r="V7" i="16"/>
  <c r="U7" i="16"/>
  <c r="V11" i="16" l="1"/>
</calcChain>
</file>

<file path=xl/comments1.xml><?xml version="1.0" encoding="utf-8"?>
<comments xmlns="http://schemas.openxmlformats.org/spreadsheetml/2006/main">
  <authors>
    <author>Berg, Jenny</author>
  </authors>
  <commentList>
    <comment ref="J7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updated 4/25/18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 xml:space="preserve">MGG9990:
</t>
        </r>
        <r>
          <rPr>
            <sz val="9"/>
            <color indexed="81"/>
            <rFont val="Tahoma"/>
            <family val="2"/>
          </rPr>
          <t>Interest Calculation Includes Transfer in beginning balance</t>
        </r>
      </text>
    </comment>
    <comment ref="H12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Dec/Jan Rate Schedule 146 difference per Rates
Added in order to tie to Annette's balance of $14,771,212.55</t>
        </r>
      </text>
    </comment>
    <comment ref="H41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Annette's balance </t>
        </r>
      </text>
    </comment>
    <comment ref="I42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moved from Nov column b/c actually booked in Dec and interest should reflect this.  The $459.10 is getting picked up in Jan'18.</t>
        </r>
      </text>
    </comment>
    <comment ref="K42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to correct for $130,571.12 being too high - picked up wrong column on Annette's spreadsheet.</t>
        </r>
      </text>
    </comment>
    <comment ref="H74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Add October unbilled reversal…and then move remaining balance to 426500-ZZ-ZZ</t>
        </r>
      </text>
    </comment>
    <comment ref="I76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No more entry</t>
        </r>
      </text>
    </comment>
    <comment ref="J76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No more entry</t>
        </r>
      </text>
    </comment>
    <comment ref="K76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No more entry</t>
        </r>
      </text>
    </comment>
    <comment ref="L76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No more entry</t>
        </r>
      </text>
    </comment>
    <comment ref="M76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No more entry</t>
        </r>
      </text>
    </comment>
    <comment ref="N76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No more entry</t>
        </r>
      </text>
    </comment>
    <comment ref="O76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No more entry</t>
        </r>
      </text>
    </comment>
    <comment ref="G77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In November write off to 426500-ZZ-ZZ… </t>
        </r>
      </text>
    </comment>
  </commentList>
</comments>
</file>

<file path=xl/comments10.xml><?xml version="1.0" encoding="utf-8"?>
<comments xmlns="http://schemas.openxmlformats.org/spreadsheetml/2006/main">
  <authors>
    <author>MGG9990</author>
  </authors>
  <commentList>
    <comment ref="I5" authorId="0" shapeId="0">
      <text>
        <r>
          <rPr>
            <sz val="8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</commentList>
</comments>
</file>

<file path=xl/comments11.xml><?xml version="1.0" encoding="utf-8"?>
<comments xmlns="http://schemas.openxmlformats.org/spreadsheetml/2006/main">
  <authors>
    <author>MGG9990</author>
  </authors>
  <commentList>
    <comment ref="I5" authorId="0" shapeId="0">
      <text>
        <r>
          <rPr>
            <sz val="8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</commentList>
</comments>
</file>

<file path=xl/comments12.xml><?xml version="1.0" encoding="utf-8"?>
<comments xmlns="http://schemas.openxmlformats.org/spreadsheetml/2006/main">
  <authors>
    <author>MGG9990</author>
    <author>Berg, Jenny</author>
  </authors>
  <commentList>
    <comment ref="I5" authorId="0" shapeId="0">
      <text>
        <r>
          <rPr>
            <sz val="8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  <comment ref="G52" authorId="1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Positive Amt = Net Expense
Negative Amt = Net Revenue</t>
        </r>
      </text>
    </comment>
    <comment ref="G53" authorId="1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Always Negative Amt = Revenue collected from borrowers based on current rates.</t>
        </r>
      </text>
    </comment>
  </commentList>
</comments>
</file>

<file path=xl/comments13.xml><?xml version="1.0" encoding="utf-8"?>
<comments xmlns="http://schemas.openxmlformats.org/spreadsheetml/2006/main">
  <authors>
    <author>MGG9990</author>
    <author>Berg, Jenny</author>
  </authors>
  <commentList>
    <comment ref="I5" authorId="0" shapeId="0">
      <text>
        <r>
          <rPr>
            <sz val="8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  <comment ref="G52" authorId="1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Positive Amt = Net Expense
Negative Amt = Net Revenue</t>
        </r>
      </text>
    </comment>
    <comment ref="G53" authorId="1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Always Negative Amt = Revenue collected from borrowers based on current rates.</t>
        </r>
      </text>
    </comment>
  </commentList>
</comments>
</file>

<file path=xl/comments2.xml><?xml version="1.0" encoding="utf-8"?>
<comments xmlns="http://schemas.openxmlformats.org/spreadsheetml/2006/main">
  <authors>
    <author>MGG9990</author>
  </authors>
  <commentList>
    <comment ref="I5" authorId="0" shapeId="0">
      <text>
        <r>
          <rPr>
            <sz val="8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</commentList>
</comments>
</file>

<file path=xl/comments3.xml><?xml version="1.0" encoding="utf-8"?>
<comments xmlns="http://schemas.openxmlformats.org/spreadsheetml/2006/main">
  <authors>
    <author>MGG9990</author>
    <author>Berg, Jenny</author>
  </authors>
  <commentList>
    <comment ref="I5" authorId="0" shapeId="0">
      <text>
        <r>
          <rPr>
            <sz val="8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  <comment ref="G52" authorId="1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Positive Amt = Net Expense
Negative Amt = Net Revenue</t>
        </r>
      </text>
    </comment>
    <comment ref="G53" authorId="1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Always Negative Amt = Revenue collected from borrowers based on current rates.</t>
        </r>
      </text>
    </comment>
  </commentList>
</comments>
</file>

<file path=xl/comments4.xml><?xml version="1.0" encoding="utf-8"?>
<comments xmlns="http://schemas.openxmlformats.org/spreadsheetml/2006/main">
  <authors>
    <author>MGG9990</author>
    <author>Berg, Jenny</author>
  </authors>
  <commentList>
    <comment ref="I5" authorId="0" shapeId="0">
      <text>
        <r>
          <rPr>
            <sz val="8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  <comment ref="H12" authorId="1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see if this amount is still a negative cost…like july and aug '17.</t>
        </r>
      </text>
    </comment>
    <comment ref="G52" authorId="1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Positive Amt = Net Expense
Negative Amt = Net Revenue</t>
        </r>
      </text>
    </comment>
    <comment ref="G53" authorId="1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Always Negative Amt = Revenue collected from borrowers based on current rates.</t>
        </r>
      </text>
    </comment>
  </commentList>
</comments>
</file>

<file path=xl/comments5.xml><?xml version="1.0" encoding="utf-8"?>
<comments xmlns="http://schemas.openxmlformats.org/spreadsheetml/2006/main">
  <authors>
    <author>MGG9990</author>
    <author>Berg, Jenny</author>
  </authors>
  <commentList>
    <comment ref="I5" authorId="0" shapeId="0">
      <text>
        <r>
          <rPr>
            <sz val="8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  <comment ref="G52" authorId="1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Positive Amt = Net Expense
Negative Amt = Net Revenue</t>
        </r>
      </text>
    </comment>
    <comment ref="G53" authorId="1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Always Negative Amt = Revenue collected from borrowers based on current rates.</t>
        </r>
      </text>
    </comment>
  </commentList>
</comments>
</file>

<file path=xl/comments6.xml><?xml version="1.0" encoding="utf-8"?>
<comments xmlns="http://schemas.openxmlformats.org/spreadsheetml/2006/main">
  <authors>
    <author>MGG9990</author>
    <author>Berg, Jenny</author>
  </authors>
  <commentList>
    <comment ref="I5" authorId="0" shapeId="0">
      <text>
        <r>
          <rPr>
            <sz val="8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  <comment ref="M28" authorId="1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comes from ss we build -
H://Natural Gas Accounting/Gas Cost Data Bases/PGA Rate Changes/2016/11-2016 ID - PGA Rate Changes</t>
        </r>
      </text>
    </comment>
    <comment ref="I32" authorId="1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comes from ss we build -
H://Natural Gas Accounting/Gas Cost Data Bases/PGA Rate Changes/2016/11-2016 WA - PGA Rate Changes</t>
        </r>
      </text>
    </comment>
    <comment ref="M43" authorId="1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comes from ss we build -
H://Natural Gas Accounting/Gas Cost Data Bases/PGA Rate Changes/2016/11-2016 ID - PGA Rate Changes</t>
        </r>
      </text>
    </comment>
    <comment ref="I45" authorId="1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comes from ss we build -
H://Natural Gas Accounting/Gas Cost Data Bases/PGA Rate Changes/2016/11-2016 WA - PGA Rate Changes</t>
        </r>
      </text>
    </comment>
  </commentList>
</comments>
</file>

<file path=xl/comments7.xml><?xml version="1.0" encoding="utf-8"?>
<comments xmlns="http://schemas.openxmlformats.org/spreadsheetml/2006/main">
  <authors>
    <author>MGG9990</author>
  </authors>
  <commentList>
    <comment ref="I5" authorId="0" shapeId="0">
      <text>
        <r>
          <rPr>
            <sz val="8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</commentList>
</comments>
</file>

<file path=xl/comments8.xml><?xml version="1.0" encoding="utf-8"?>
<comments xmlns="http://schemas.openxmlformats.org/spreadsheetml/2006/main">
  <authors>
    <author>MGG9990</author>
    <author>Berg, Jenny</author>
  </authors>
  <commentList>
    <comment ref="I5" authorId="0" shapeId="0">
      <text>
        <r>
          <rPr>
            <sz val="8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  <comment ref="C30" authorId="1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adjust for penny rounding</t>
        </r>
      </text>
    </comment>
    <comment ref="H31" authorId="1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was .0054
found and corrected 4/25/18… dollars corrected in April Entry</t>
        </r>
      </text>
    </comment>
  </commentList>
</comments>
</file>

<file path=xl/comments9.xml><?xml version="1.0" encoding="utf-8"?>
<comments xmlns="http://schemas.openxmlformats.org/spreadsheetml/2006/main">
  <authors>
    <author>Berg, Jenny</author>
    <author>MGG9990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Transportation = amount of capacity in the pipeline.</t>
        </r>
      </text>
    </comment>
    <comment ref="I5" authorId="1" shapeId="0">
      <text>
        <r>
          <rPr>
            <sz val="8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</commentList>
</comments>
</file>

<file path=xl/sharedStrings.xml><?xml version="1.0" encoding="utf-8"?>
<sst xmlns="http://schemas.openxmlformats.org/spreadsheetml/2006/main" count="2556" uniqueCount="174">
  <si>
    <t>Commodity</t>
  </si>
  <si>
    <t>Demand</t>
  </si>
  <si>
    <t>Interest</t>
  </si>
  <si>
    <t>Tracker Transfer</t>
  </si>
  <si>
    <t>Misc</t>
  </si>
  <si>
    <t>Total</t>
  </si>
  <si>
    <t>Rates</t>
  </si>
  <si>
    <t>Amortization</t>
  </si>
  <si>
    <t>NWP Capacity Release</t>
  </si>
  <si>
    <t xml:space="preserve">NWP Variable </t>
  </si>
  <si>
    <t>System</t>
  </si>
  <si>
    <t>PGA</t>
  </si>
  <si>
    <t>Revenue</t>
  </si>
  <si>
    <t>Washington</t>
  </si>
  <si>
    <t>Rate</t>
  </si>
  <si>
    <t>Schedule 101</t>
  </si>
  <si>
    <t>Schedule 111</t>
  </si>
  <si>
    <t>Schedule 112</t>
  </si>
  <si>
    <t>Schedule 121</t>
  </si>
  <si>
    <t>Schedule 122</t>
  </si>
  <si>
    <t>Schedule 131</t>
  </si>
  <si>
    <t>Schedule 132</t>
  </si>
  <si>
    <t>Imbalance Cost Washington</t>
  </si>
  <si>
    <t>Imbalance Cost Idaho</t>
  </si>
  <si>
    <t>Ending Balance</t>
  </si>
  <si>
    <t>Idaho</t>
  </si>
  <si>
    <t xml:space="preserve">Washington/Idaho Gas Costs </t>
  </si>
  <si>
    <t>Allocated to</t>
  </si>
  <si>
    <t xml:space="preserve">Commodity </t>
  </si>
  <si>
    <t xml:space="preserve">Allocated to </t>
  </si>
  <si>
    <t>Cost</t>
  </si>
  <si>
    <t xml:space="preserve">Total </t>
  </si>
  <si>
    <t xml:space="preserve">Idaho </t>
  </si>
  <si>
    <t>Amount to be Deferred</t>
  </si>
  <si>
    <t>Expense Calculation</t>
  </si>
  <si>
    <t>Deferral Calculation</t>
  </si>
  <si>
    <t>Schedule 146</t>
  </si>
  <si>
    <t>Adjustments</t>
  </si>
  <si>
    <t xml:space="preserve">NWP Fixed </t>
  </si>
  <si>
    <t>GTN Fixed</t>
  </si>
  <si>
    <t xml:space="preserve">GTN Variable </t>
  </si>
  <si>
    <t>GTN Capacity Release</t>
  </si>
  <si>
    <t>ANG Total</t>
  </si>
  <si>
    <t>WEI (Duke) Total</t>
  </si>
  <si>
    <t>Commodity Purchases (Natural Gas)</t>
  </si>
  <si>
    <t xml:space="preserve">Total Net Gas Costs </t>
  </si>
  <si>
    <t>Counterparty Invoice Total</t>
  </si>
  <si>
    <t>Volumes</t>
  </si>
  <si>
    <t>check</t>
  </si>
  <si>
    <t>Totals from above</t>
  </si>
  <si>
    <t xml:space="preserve">Balance Sheet </t>
  </si>
  <si>
    <t>PGA Deferral Revenue from above</t>
  </si>
  <si>
    <r>
      <t>Demand (Transportation)</t>
    </r>
    <r>
      <rPr>
        <b/>
        <sz val="12"/>
        <color indexed="8"/>
        <rFont val="Arial"/>
        <family val="2"/>
      </rPr>
      <t xml:space="preserve"> Costs</t>
    </r>
  </si>
  <si>
    <r>
      <t>Total Demand</t>
    </r>
    <r>
      <rPr>
        <b/>
        <sz val="12"/>
        <color indexed="8"/>
        <rFont val="Arial"/>
        <family val="2"/>
      </rPr>
      <t xml:space="preserve"> Costs from Purchase Journals</t>
    </r>
  </si>
  <si>
    <t>WA/ID Buy/Sell Transportation Recovery</t>
  </si>
  <si>
    <t>less variable costs charged to Commodity</t>
  </si>
  <si>
    <t>Total Demand Costs to be Allocated</t>
  </si>
  <si>
    <t>804000 GD AN</t>
  </si>
  <si>
    <t xml:space="preserve">Total Demand Costs </t>
  </si>
  <si>
    <t>804001 GD AN</t>
  </si>
  <si>
    <t>plus variable costs from Demand</t>
  </si>
  <si>
    <t>Total Commodity Costs to be Allocated</t>
  </si>
  <si>
    <t>808100/808200 GD AN</t>
  </si>
  <si>
    <t>WA Imbalance</t>
  </si>
  <si>
    <t>ID Imbalance</t>
  </si>
  <si>
    <t>Total Commodity Costs from Purchase Journals</t>
  </si>
  <si>
    <t>WA/ID Off System Revenue</t>
  </si>
  <si>
    <t>Total Deferred Commodity Costs:</t>
  </si>
  <si>
    <t>DEMAND</t>
  </si>
  <si>
    <t xml:space="preserve">Total Demand </t>
  </si>
  <si>
    <t>COMMODITY</t>
  </si>
  <si>
    <t>Commodity Physical</t>
  </si>
  <si>
    <t>Broker Fees</t>
  </si>
  <si>
    <t>Financial Settlements</t>
  </si>
  <si>
    <t>804600 GD AN</t>
  </si>
  <si>
    <t>Total Commodity</t>
  </si>
  <si>
    <t>WASHINGTON</t>
  </si>
  <si>
    <t>IDAHO</t>
  </si>
  <si>
    <t>Total Deferral Expenses from above</t>
  </si>
  <si>
    <t>GST</t>
  </si>
  <si>
    <t>Total Commodity Costs before refund</t>
  </si>
  <si>
    <r>
      <t xml:space="preserve">Total Current Demand Costs </t>
    </r>
    <r>
      <rPr>
        <b/>
        <sz val="12"/>
        <rFont val="Arial"/>
        <family val="2"/>
      </rPr>
      <t>(excluding refund)</t>
    </r>
  </si>
  <si>
    <t>NWP Total (excluding Refund)</t>
  </si>
  <si>
    <t xml:space="preserve">  Current Month Estimate</t>
  </si>
  <si>
    <t>Cochrane Credit</t>
  </si>
  <si>
    <t>811000 GD AN</t>
  </si>
  <si>
    <t>Misc Adjustment</t>
  </si>
  <si>
    <t>Questar</t>
  </si>
  <si>
    <t>Thermal Transport</t>
  </si>
  <si>
    <t>804017 GD AN</t>
  </si>
  <si>
    <t>Foreign Exchange Hedge Activity</t>
  </si>
  <si>
    <t>804010 GD AN</t>
  </si>
  <si>
    <t>Large Customer Refund</t>
  </si>
  <si>
    <t>Check</t>
  </si>
  <si>
    <t>From DJ 430</t>
  </si>
  <si>
    <t>Def Rev Calc</t>
  </si>
  <si>
    <t>Spectra Westcoast Fixed</t>
  </si>
  <si>
    <t>Spectra Westcoast Variable</t>
  </si>
  <si>
    <t>Transcanada Foothills (BC System) Fixed</t>
  </si>
  <si>
    <t>Transcanada Foothills (BC System) Variable</t>
  </si>
  <si>
    <t>Intracompany Transportation Optimization</t>
  </si>
  <si>
    <t>FAFB Commodity for Anderson Elementary/Lignetics (semi-annual)</t>
  </si>
  <si>
    <t>WA/ID Gas Purchased from Interstate Asphalt (Annual)</t>
  </si>
  <si>
    <t>WA Total</t>
  </si>
  <si>
    <t>ID Total</t>
  </si>
  <si>
    <t>Debits</t>
  </si>
  <si>
    <t>Credits</t>
  </si>
  <si>
    <t>Storage (Injections)/Withdrawals</t>
  </si>
  <si>
    <t>Interco Purchase from Thermal</t>
  </si>
  <si>
    <t>804730 GD AN</t>
  </si>
  <si>
    <t xml:space="preserve">NOVA Fixed charges </t>
  </si>
  <si>
    <t>(overcollected)/undercollected</t>
  </si>
  <si>
    <t>(rebate)/surcharge</t>
  </si>
  <si>
    <t>NOVA (AB System) Fixed</t>
  </si>
  <si>
    <t>NOVA (AB System) Variable</t>
  </si>
  <si>
    <t>NOVA Total</t>
  </si>
  <si>
    <t xml:space="preserve">Third party capacity release </t>
  </si>
  <si>
    <t>Other capacity release credit</t>
  </si>
  <si>
    <t>Other Pipeline Fixed charges</t>
  </si>
  <si>
    <t>495028 GD AN</t>
  </si>
  <si>
    <t>M Checmical Accrual</t>
  </si>
  <si>
    <t>Mizuho Broker Fees</t>
  </si>
  <si>
    <t>Variance</t>
  </si>
  <si>
    <t>Beginning Balance</t>
  </si>
  <si>
    <t>Demand Deferral</t>
  </si>
  <si>
    <t>Month</t>
  </si>
  <si>
    <t>Interest Rate</t>
  </si>
  <si>
    <t>Interest (Rev/Expense)</t>
  </si>
  <si>
    <t>PGA Transfer</t>
  </si>
  <si>
    <t>GLW Check</t>
  </si>
  <si>
    <t>Commodity Adjustment</t>
  </si>
  <si>
    <t>Demand Adjustment</t>
  </si>
  <si>
    <t>Interest Adjustment</t>
  </si>
  <si>
    <t>Blue Text = Drag Formula to next month and copy/paste value in prior month</t>
  </si>
  <si>
    <t>Washington Current Deferral</t>
  </si>
  <si>
    <t>Washington Amortization</t>
  </si>
  <si>
    <t>Calendar Sales Check</t>
  </si>
  <si>
    <t>*Misc Adjustments*</t>
  </si>
  <si>
    <t>GD</t>
  </si>
  <si>
    <t>WA</t>
  </si>
  <si>
    <t>GL</t>
  </si>
  <si>
    <t>WA Deferral Interest Income</t>
  </si>
  <si>
    <t>WA Deferral Interest Expense</t>
  </si>
  <si>
    <t>WA Deferral</t>
  </si>
  <si>
    <t>WA Deferral Expense</t>
  </si>
  <si>
    <t>WA Amortization Interest Income</t>
  </si>
  <si>
    <t>WA Amortization Interest Expense</t>
  </si>
  <si>
    <t>WA Amortization</t>
  </si>
  <si>
    <t>WA Amortization Expense</t>
  </si>
  <si>
    <t>WA Amortization JP</t>
  </si>
  <si>
    <t>WA Amortization Expense JP</t>
  </si>
  <si>
    <t>JET Entry</t>
  </si>
  <si>
    <t>Update JE date to pull current month values</t>
  </si>
  <si>
    <t>483000/483600/483730</t>
  </si>
  <si>
    <t>Deferral Check</t>
  </si>
  <si>
    <t>M Chemical Accrual</t>
  </si>
  <si>
    <t>Schedule 102</t>
  </si>
  <si>
    <t>MAIN CALC</t>
  </si>
  <si>
    <t>Main Calc</t>
  </si>
  <si>
    <t>Wells Fargo Journal DJ 473</t>
  </si>
  <si>
    <t>Commodity Deferral</t>
  </si>
  <si>
    <t>Volume - Commodity &amp; Demand</t>
  </si>
  <si>
    <t>Volume - Demand only</t>
  </si>
  <si>
    <t>Deferred Exchange Revenue</t>
  </si>
  <si>
    <t>Other Capacity Release credit</t>
  </si>
  <si>
    <t>(   ) = Rebate</t>
  </si>
  <si>
    <t>Merchandise Processing Fee DJ 467</t>
  </si>
  <si>
    <t>804018 GD AN</t>
  </si>
  <si>
    <t>cost to allocate is negative…</t>
  </si>
  <si>
    <t>ZZ</t>
  </si>
  <si>
    <t>NO MORE ENTRY</t>
  </si>
  <si>
    <t>n/a</t>
  </si>
  <si>
    <t>BOOKED IN DECEMBER 2017:</t>
  </si>
  <si>
    <t>Error (Logon)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</si>
</sst>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0.0000%"/>
    <numFmt numFmtId="166" formatCode="General_)"/>
    <numFmt numFmtId="167" formatCode="0_)"/>
    <numFmt numFmtId="168" formatCode="&quot;$&quot;#,##0.00000_);\(&quot;$&quot;#,##0.00000\)"/>
    <numFmt numFmtId="169" formatCode="#,##0.00000_);\(#,##0.00000\)"/>
    <numFmt numFmtId="170" formatCode="#,##0.0000_);\(#,##0.0000\)"/>
    <numFmt numFmtId="171" formatCode="#,##0.0000_);[Red]\(#,##0.0000\)"/>
    <numFmt numFmtId="172" formatCode="_(&quot;$&quot;* #,##0.00000_);_(&quot;$&quot;* \(#,##0.00000\);_(&quot;$&quot;* &quot;-&quot;??_);_(@_)"/>
    <numFmt numFmtId="173" formatCode="&quot;$&quot;#,##0.00000_);[Red]\(&quot;$&quot;#,##0.00000\)"/>
    <numFmt numFmtId="174" formatCode="&quot;$&quot;#,##0\ ;\(&quot;$&quot;#,##0\)"/>
  </numFmts>
  <fonts count="41">
    <font>
      <sz val="10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sz val="8"/>
      <color indexed="81"/>
      <name val="Tahoma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i/>
      <sz val="12"/>
      <name val="Arial"/>
      <family val="2"/>
    </font>
    <font>
      <b/>
      <sz val="12"/>
      <color indexed="12"/>
      <name val="Arial"/>
      <family val="2"/>
    </font>
    <font>
      <sz val="10"/>
      <name val="Arial"/>
      <family val="2"/>
    </font>
    <font>
      <sz val="12"/>
      <color indexed="12"/>
      <name val="Arial"/>
      <family val="2"/>
    </font>
    <font>
      <b/>
      <sz val="12"/>
      <color indexed="8"/>
      <name val="Arial"/>
      <family val="2"/>
    </font>
    <font>
      <sz val="12"/>
      <color indexed="9"/>
      <name val="Arial"/>
      <family val="2"/>
    </font>
    <font>
      <b/>
      <sz val="12"/>
      <color indexed="17"/>
      <name val="Arial"/>
      <family val="2"/>
    </font>
    <font>
      <sz val="12"/>
      <color indexed="10"/>
      <name val="Times New Roman"/>
      <family val="1"/>
    </font>
    <font>
      <sz val="12"/>
      <color theme="0"/>
      <name val="Arial"/>
      <family val="2"/>
    </font>
    <font>
      <b/>
      <sz val="12"/>
      <color rgb="FF0000FF"/>
      <name val="Arial"/>
      <family val="2"/>
    </font>
    <font>
      <sz val="11"/>
      <color theme="1"/>
      <name val="Calibri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12"/>
      <color rgb="FFFF0000"/>
      <name val="Arial"/>
      <family val="2"/>
    </font>
    <font>
      <b/>
      <sz val="11"/>
      <color theme="1"/>
      <name val="Calibri"/>
      <family val="2"/>
      <scheme val="minor"/>
    </font>
    <font>
      <i/>
      <sz val="12"/>
      <color rgb="FF0000FF"/>
      <name val="Helv"/>
    </font>
    <font>
      <sz val="12"/>
      <name val="Helv"/>
    </font>
    <font>
      <b/>
      <sz val="12"/>
      <name val="Helv"/>
    </font>
    <font>
      <sz val="12"/>
      <color rgb="FF0000FF"/>
      <name val="Helv"/>
    </font>
    <font>
      <b/>
      <sz val="12"/>
      <name val="Calibri"/>
      <family val="2"/>
      <scheme val="minor"/>
    </font>
    <font>
      <b/>
      <sz val="12"/>
      <color rgb="FF0000FF"/>
      <name val="Helv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0"/>
      <name val="Arial"/>
      <family val="2"/>
    </font>
    <font>
      <b/>
      <i/>
      <sz val="12"/>
      <name val="Helv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3">
    <xf numFmtId="39" fontId="0" fillId="0" borderId="0"/>
    <xf numFmtId="40" fontId="8" fillId="0" borderId="0" applyFont="0" applyFill="0" applyBorder="0" applyAlignment="0" applyProtection="0"/>
    <xf numFmtId="8" fontId="8" fillId="0" borderId="0" applyFont="0" applyFill="0" applyBorder="0" applyAlignment="0" applyProtection="0"/>
    <xf numFmtId="0" fontId="20" fillId="2" borderId="0"/>
    <xf numFmtId="9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3" fillId="0" borderId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3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7" fillId="0" borderId="0" applyFont="0" applyFill="0" applyBorder="0" applyAlignment="0" applyProtection="0"/>
    <xf numFmtId="174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0" fontId="24" fillId="0" borderId="0"/>
    <xf numFmtId="0" fontId="25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15" fillId="0" borderId="0"/>
    <xf numFmtId="9" fontId="15" fillId="0" borderId="0" applyFont="0" applyFill="0" applyBorder="0" applyAlignment="0" applyProtection="0"/>
    <xf numFmtId="10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6" fillId="0" borderId="0"/>
    <xf numFmtId="0" fontId="27" fillId="0" borderId="0"/>
    <xf numFmtId="0" fontId="8" fillId="0" borderId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5" fillId="0" borderId="0"/>
    <xf numFmtId="0" fontId="28" fillId="0" borderId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30" fillId="0" borderId="23" applyNumberFormat="0" applyFill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5" fillId="0" borderId="0"/>
    <xf numFmtId="0" fontId="3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9">
    <xf numFmtId="39" fontId="0" fillId="0" borderId="0" xfId="0"/>
    <xf numFmtId="39" fontId="10" fillId="0" borderId="0" xfId="0" applyFont="1" applyFill="1" applyBorder="1"/>
    <xf numFmtId="7" fontId="10" fillId="0" borderId="0" xfId="0" applyNumberFormat="1" applyFont="1" applyFill="1" applyBorder="1"/>
    <xf numFmtId="39" fontId="11" fillId="0" borderId="0" xfId="0" applyFont="1" applyFill="1" applyBorder="1"/>
    <xf numFmtId="39" fontId="11" fillId="0" borderId="0" xfId="0" applyFont="1" applyFill="1" applyBorder="1" applyAlignment="1">
      <alignment horizontal="center"/>
    </xf>
    <xf numFmtId="39" fontId="11" fillId="0" borderId="2" xfId="0" applyFont="1" applyFill="1" applyBorder="1" applyAlignment="1">
      <alignment horizontal="center"/>
    </xf>
    <xf numFmtId="5" fontId="11" fillId="0" borderId="0" xfId="0" applyNumberFormat="1" applyFont="1" applyFill="1" applyAlignment="1">
      <alignment horizontal="center"/>
    </xf>
    <xf numFmtId="5" fontId="10" fillId="0" borderId="0" xfId="0" applyNumberFormat="1" applyFont="1" applyFill="1"/>
    <xf numFmtId="39" fontId="10" fillId="0" borderId="9" xfId="0" applyFont="1" applyFill="1" applyBorder="1"/>
    <xf numFmtId="39" fontId="11" fillId="0" borderId="0" xfId="0" applyFont="1" applyFill="1"/>
    <xf numFmtId="39" fontId="11" fillId="0" borderId="9" xfId="0" applyFont="1" applyFill="1" applyBorder="1"/>
    <xf numFmtId="39" fontId="10" fillId="0" borderId="0" xfId="0" applyFont="1" applyFill="1" applyBorder="1" applyAlignment="1">
      <alignment horizontal="right"/>
    </xf>
    <xf numFmtId="39" fontId="10" fillId="0" borderId="0" xfId="0" applyFont="1" applyFill="1" applyAlignment="1">
      <alignment horizontal="right"/>
    </xf>
    <xf numFmtId="8" fontId="11" fillId="0" borderId="0" xfId="2" applyFont="1" applyFill="1" applyBorder="1"/>
    <xf numFmtId="39" fontId="11" fillId="0" borderId="0" xfId="0" applyFont="1" applyFill="1" applyBorder="1" applyAlignment="1">
      <alignment horizontal="left"/>
    </xf>
    <xf numFmtId="39" fontId="14" fillId="0" borderId="0" xfId="0" applyFont="1" applyFill="1"/>
    <xf numFmtId="39" fontId="10" fillId="0" borderId="8" xfId="0" applyFont="1" applyFill="1" applyBorder="1"/>
    <xf numFmtId="44" fontId="10" fillId="0" borderId="0" xfId="0" applyNumberFormat="1" applyFont="1" applyFill="1" applyBorder="1"/>
    <xf numFmtId="37" fontId="10" fillId="0" borderId="0" xfId="0" applyNumberFormat="1" applyFont="1" applyFill="1" applyBorder="1" applyProtection="1"/>
    <xf numFmtId="44" fontId="11" fillId="0" borderId="0" xfId="2" applyNumberFormat="1" applyFont="1" applyFill="1" applyBorder="1" applyProtection="1"/>
    <xf numFmtId="44" fontId="19" fillId="0" borderId="0" xfId="0" applyNumberFormat="1" applyFont="1" applyFill="1" applyBorder="1"/>
    <xf numFmtId="8" fontId="10" fillId="0" borderId="0" xfId="2" applyFont="1" applyFill="1"/>
    <xf numFmtId="39" fontId="11" fillId="0" borderId="12" xfId="0" applyFont="1" applyFill="1" applyBorder="1" applyAlignment="1">
      <alignment horizontal="center"/>
    </xf>
    <xf numFmtId="39" fontId="11" fillId="0" borderId="3" xfId="0" applyFont="1" applyFill="1" applyBorder="1" applyAlignment="1">
      <alignment horizontal="center"/>
    </xf>
    <xf numFmtId="39" fontId="11" fillId="0" borderId="6" xfId="0" applyFont="1" applyFill="1" applyBorder="1" applyAlignment="1">
      <alignment horizontal="center"/>
    </xf>
    <xf numFmtId="39" fontId="11" fillId="0" borderId="1" xfId="0" applyFont="1" applyFill="1" applyBorder="1" applyAlignment="1">
      <alignment horizontal="center"/>
    </xf>
    <xf numFmtId="39" fontId="11" fillId="0" borderId="4" xfId="0" applyFont="1" applyFill="1" applyBorder="1" applyAlignment="1">
      <alignment horizontal="center"/>
    </xf>
    <xf numFmtId="39" fontId="11" fillId="0" borderId="5" xfId="0" applyFont="1" applyFill="1" applyBorder="1" applyAlignment="1">
      <alignment horizontal="center"/>
    </xf>
    <xf numFmtId="44" fontId="11" fillId="0" borderId="13" xfId="2" applyNumberFormat="1" applyFont="1" applyFill="1" applyBorder="1" applyProtection="1"/>
    <xf numFmtId="39" fontId="11" fillId="0" borderId="0" xfId="0" applyFont="1" applyFill="1" applyAlignment="1">
      <alignment horizontal="right"/>
    </xf>
    <xf numFmtId="39" fontId="10" fillId="0" borderId="1" xfId="0" applyFont="1" applyFill="1" applyBorder="1"/>
    <xf numFmtId="39" fontId="10" fillId="0" borderId="2" xfId="0" applyFont="1" applyFill="1" applyBorder="1"/>
    <xf numFmtId="39" fontId="10" fillId="0" borderId="7" xfId="0" applyFont="1" applyFill="1" applyBorder="1"/>
    <xf numFmtId="39" fontId="10" fillId="0" borderId="4" xfId="0" applyFont="1" applyFill="1" applyBorder="1"/>
    <xf numFmtId="44" fontId="11" fillId="0" borderId="17" xfId="0" applyNumberFormat="1" applyFont="1" applyFill="1" applyBorder="1"/>
    <xf numFmtId="167" fontId="11" fillId="0" borderId="12" xfId="0" applyNumberFormat="1" applyFont="1" applyFill="1" applyBorder="1" applyAlignment="1" applyProtection="1">
      <alignment horizontal="center"/>
    </xf>
    <xf numFmtId="167" fontId="11" fillId="0" borderId="13" xfId="0" applyNumberFormat="1" applyFont="1" applyFill="1" applyBorder="1" applyAlignment="1" applyProtection="1">
      <alignment horizontal="center"/>
    </xf>
    <xf numFmtId="39" fontId="11" fillId="0" borderId="13" xfId="0" applyFont="1" applyFill="1" applyBorder="1" applyAlignment="1">
      <alignment horizontal="center"/>
    </xf>
    <xf numFmtId="39" fontId="11" fillId="0" borderId="14" xfId="0" applyFont="1" applyFill="1" applyBorder="1" applyAlignment="1">
      <alignment horizontal="center"/>
    </xf>
    <xf numFmtId="166" fontId="10" fillId="0" borderId="0" xfId="0" applyNumberFormat="1" applyFont="1" applyFill="1" applyAlignment="1" applyProtection="1">
      <alignment horizontal="left"/>
    </xf>
    <xf numFmtId="44" fontId="10" fillId="0" borderId="0" xfId="0" applyNumberFormat="1" applyFont="1" applyFill="1" applyProtection="1">
      <protection locked="0"/>
    </xf>
    <xf numFmtId="44" fontId="10" fillId="0" borderId="0" xfId="0" applyNumberFormat="1" applyFont="1" applyFill="1"/>
    <xf numFmtId="39" fontId="10" fillId="0" borderId="0" xfId="0" applyFont="1" applyFill="1" applyAlignment="1">
      <alignment horizontal="left"/>
    </xf>
    <xf numFmtId="44" fontId="10" fillId="0" borderId="9" xfId="0" applyNumberFormat="1" applyFont="1" applyFill="1" applyBorder="1" applyProtection="1">
      <protection locked="0"/>
    </xf>
    <xf numFmtId="39" fontId="12" fillId="0" borderId="0" xfId="0" applyFont="1" applyFill="1"/>
    <xf numFmtId="39" fontId="12" fillId="0" borderId="0" xfId="0" applyFont="1" applyFill="1" applyAlignment="1">
      <alignment horizontal="right"/>
    </xf>
    <xf numFmtId="44" fontId="12" fillId="0" borderId="0" xfId="0" applyNumberFormat="1" applyFont="1" applyFill="1" applyAlignment="1" applyProtection="1">
      <alignment horizontal="center"/>
    </xf>
    <xf numFmtId="44" fontId="10" fillId="0" borderId="0" xfId="0" applyNumberFormat="1" applyFont="1" applyFill="1" applyProtection="1"/>
    <xf numFmtId="166" fontId="11" fillId="0" borderId="0" xfId="0" applyNumberFormat="1" applyFont="1" applyFill="1" applyAlignment="1" applyProtection="1">
      <alignment horizontal="left"/>
    </xf>
    <xf numFmtId="44" fontId="11" fillId="0" borderId="17" xfId="0" applyNumberFormat="1" applyFont="1" applyFill="1" applyBorder="1" applyProtection="1">
      <protection locked="0"/>
    </xf>
    <xf numFmtId="49" fontId="10" fillId="0" borderId="0" xfId="0" applyNumberFormat="1" applyFont="1" applyFill="1" applyProtection="1"/>
    <xf numFmtId="171" fontId="12" fillId="0" borderId="0" xfId="1" applyNumberFormat="1" applyFont="1" applyFill="1"/>
    <xf numFmtId="7" fontId="12" fillId="0" borderId="0" xfId="0" applyNumberFormat="1" applyFont="1" applyFill="1" applyAlignment="1" applyProtection="1">
      <alignment horizontal="center"/>
    </xf>
    <xf numFmtId="7" fontId="10" fillId="0" borderId="0" xfId="0" applyNumberFormat="1" applyFont="1" applyFill="1" applyProtection="1"/>
    <xf numFmtId="37" fontId="10" fillId="0" borderId="17" xfId="0" applyNumberFormat="1" applyFont="1" applyFill="1" applyBorder="1" applyProtection="1"/>
    <xf numFmtId="169" fontId="16" fillId="0" borderId="0" xfId="0" applyNumberFormat="1" applyFont="1" applyFill="1" applyBorder="1" applyAlignment="1" applyProtection="1">
      <alignment horizontal="center"/>
      <protection locked="0"/>
    </xf>
    <xf numFmtId="7" fontId="12" fillId="0" borderId="0" xfId="0" applyNumberFormat="1" applyFont="1" applyFill="1" applyBorder="1" applyAlignment="1" applyProtection="1">
      <alignment horizontal="center"/>
    </xf>
    <xf numFmtId="39" fontId="11" fillId="0" borderId="7" xfId="0" applyFont="1" applyFill="1" applyBorder="1"/>
    <xf numFmtId="39" fontId="11" fillId="0" borderId="8" xfId="0" applyFont="1" applyFill="1" applyBorder="1" applyAlignment="1">
      <alignment horizontal="center"/>
    </xf>
    <xf numFmtId="39" fontId="10" fillId="0" borderId="7" xfId="0" applyFont="1" applyFill="1" applyBorder="1" applyAlignment="1">
      <alignment horizontal="left"/>
    </xf>
    <xf numFmtId="169" fontId="10" fillId="0" borderId="0" xfId="0" applyNumberFormat="1" applyFont="1" applyFill="1" applyBorder="1" applyAlignment="1" applyProtection="1">
      <alignment horizontal="left"/>
      <protection locked="0"/>
    </xf>
    <xf numFmtId="39" fontId="10" fillId="0" borderId="4" xfId="0" applyFont="1" applyFill="1" applyBorder="1" applyAlignment="1">
      <alignment horizontal="left"/>
    </xf>
    <xf numFmtId="169" fontId="10" fillId="0" borderId="5" xfId="0" applyNumberFormat="1" applyFont="1" applyFill="1" applyBorder="1" applyAlignment="1" applyProtection="1">
      <alignment horizontal="left"/>
      <protection locked="0"/>
    </xf>
    <xf numFmtId="8" fontId="11" fillId="0" borderId="8" xfId="2" applyFont="1" applyFill="1" applyBorder="1"/>
    <xf numFmtId="8" fontId="10" fillId="0" borderId="0" xfId="2" applyFont="1" applyFill="1" applyBorder="1"/>
    <xf numFmtId="8" fontId="10" fillId="0" borderId="7" xfId="2" applyFont="1" applyFill="1" applyBorder="1"/>
    <xf numFmtId="164" fontId="10" fillId="0" borderId="0" xfId="4" applyNumberFormat="1" applyFont="1" applyFill="1" applyBorder="1"/>
    <xf numFmtId="39" fontId="11" fillId="0" borderId="4" xfId="0" applyFont="1" applyFill="1" applyBorder="1" applyAlignment="1">
      <alignment horizontal="left"/>
    </xf>
    <xf numFmtId="39" fontId="11" fillId="0" borderId="14" xfId="0" applyFont="1" applyFill="1" applyBorder="1"/>
    <xf numFmtId="44" fontId="10" fillId="0" borderId="8" xfId="2" applyNumberFormat="1" applyFont="1" applyFill="1" applyBorder="1"/>
    <xf numFmtId="44" fontId="11" fillId="0" borderId="16" xfId="2" applyNumberFormat="1" applyFont="1" applyFill="1" applyBorder="1"/>
    <xf numFmtId="8" fontId="10" fillId="0" borderId="8" xfId="2" applyFont="1" applyFill="1" applyBorder="1"/>
    <xf numFmtId="39" fontId="11" fillId="0" borderId="7" xfId="0" applyFont="1" applyFill="1" applyBorder="1" applyAlignment="1">
      <alignment horizontal="right"/>
    </xf>
    <xf numFmtId="39" fontId="10" fillId="0" borderId="7" xfId="0" applyFont="1" applyFill="1" applyBorder="1" applyAlignment="1">
      <alignment horizontal="right"/>
    </xf>
    <xf numFmtId="39" fontId="11" fillId="0" borderId="13" xfId="0" applyFont="1" applyFill="1" applyBorder="1"/>
    <xf numFmtId="39" fontId="10" fillId="0" borderId="3" xfId="0" applyFont="1" applyFill="1" applyBorder="1"/>
    <xf numFmtId="0" fontId="10" fillId="0" borderId="0" xfId="0" applyNumberFormat="1" applyFont="1" applyFill="1" applyBorder="1"/>
    <xf numFmtId="0" fontId="10" fillId="0" borderId="9" xfId="0" applyNumberFormat="1" applyFont="1" applyFill="1" applyBorder="1"/>
    <xf numFmtId="0" fontId="10" fillId="0" borderId="0" xfId="0" applyNumberFormat="1" applyFont="1" applyFill="1" applyBorder="1" applyAlignment="1">
      <alignment horizontal="left"/>
    </xf>
    <xf numFmtId="0" fontId="10" fillId="0" borderId="0" xfId="0" applyNumberFormat="1" applyFont="1" applyFill="1"/>
    <xf numFmtId="44" fontId="11" fillId="0" borderId="7" xfId="2" applyNumberFormat="1" applyFont="1" applyFill="1" applyBorder="1" applyProtection="1"/>
    <xf numFmtId="172" fontId="10" fillId="0" borderId="6" xfId="0" applyNumberFormat="1" applyFont="1" applyFill="1" applyBorder="1" applyAlignment="1">
      <alignment horizontal="right"/>
    </xf>
    <xf numFmtId="172" fontId="10" fillId="0" borderId="8" xfId="0" applyNumberFormat="1" applyFont="1" applyFill="1" applyBorder="1"/>
    <xf numFmtId="173" fontId="10" fillId="0" borderId="6" xfId="2" applyNumberFormat="1" applyFont="1" applyFill="1" applyBorder="1"/>
    <xf numFmtId="37" fontId="21" fillId="0" borderId="0" xfId="0" applyNumberFormat="1" applyFont="1" applyFill="1" applyBorder="1"/>
    <xf numFmtId="37" fontId="22" fillId="0" borderId="0" xfId="0" applyNumberFormat="1" applyFont="1" applyFill="1" applyBorder="1" applyProtection="1"/>
    <xf numFmtId="37" fontId="22" fillId="0" borderId="5" xfId="0" applyNumberFormat="1" applyFont="1" applyFill="1" applyBorder="1" applyProtection="1"/>
    <xf numFmtId="44" fontId="22" fillId="0" borderId="10" xfId="2" applyNumberFormat="1" applyFont="1" applyFill="1" applyBorder="1" applyProtection="1"/>
    <xf numFmtId="44" fontId="22" fillId="0" borderId="11" xfId="2" applyNumberFormat="1" applyFont="1" applyFill="1" applyBorder="1" applyProtection="1"/>
    <xf numFmtId="44" fontId="22" fillId="0" borderId="15" xfId="2" applyNumberFormat="1" applyFont="1" applyFill="1" applyBorder="1" applyProtection="1"/>
    <xf numFmtId="44" fontId="11" fillId="0" borderId="21" xfId="2" applyNumberFormat="1" applyFont="1" applyFill="1" applyBorder="1" applyProtection="1"/>
    <xf numFmtId="38" fontId="19" fillId="0" borderId="0" xfId="1" applyNumberFormat="1" applyFont="1" applyFill="1" applyBorder="1" applyProtection="1"/>
    <xf numFmtId="38" fontId="10" fillId="0" borderId="0" xfId="1" applyNumberFormat="1" applyFont="1" applyFill="1" applyBorder="1" applyProtection="1"/>
    <xf numFmtId="38" fontId="19" fillId="0" borderId="9" xfId="1" applyNumberFormat="1" applyFont="1" applyFill="1" applyBorder="1" applyProtection="1"/>
    <xf numFmtId="39" fontId="10" fillId="0" borderId="10" xfId="0" applyNumberFormat="1" applyFont="1" applyFill="1" applyBorder="1"/>
    <xf numFmtId="39" fontId="10" fillId="0" borderId="0" xfId="0" applyFont="1" applyFill="1"/>
    <xf numFmtId="169" fontId="22" fillId="0" borderId="0" xfId="0" applyNumberFormat="1" applyFont="1" applyFill="1" applyBorder="1" applyAlignment="1" applyProtection="1">
      <alignment horizontal="center"/>
      <protection locked="0"/>
    </xf>
    <xf numFmtId="165" fontId="11" fillId="0" borderId="0" xfId="4" applyNumberFormat="1" applyFont="1" applyFill="1" applyAlignment="1">
      <alignment horizontal="center"/>
    </xf>
    <xf numFmtId="39" fontId="10" fillId="0" borderId="18" xfId="0" applyNumberFormat="1" applyFont="1" applyFill="1" applyBorder="1"/>
    <xf numFmtId="40" fontId="10" fillId="0" borderId="8" xfId="1" applyFont="1" applyFill="1" applyBorder="1"/>
    <xf numFmtId="40" fontId="10" fillId="0" borderId="5" xfId="1" applyFont="1" applyFill="1" applyBorder="1"/>
    <xf numFmtId="0" fontId="10" fillId="0" borderId="8" xfId="2" applyNumberFormat="1" applyFont="1" applyFill="1" applyBorder="1"/>
    <xf numFmtId="40" fontId="10" fillId="0" borderId="2" xfId="1" applyFont="1" applyFill="1" applyBorder="1"/>
    <xf numFmtId="40" fontId="10" fillId="0" borderId="3" xfId="1" applyFont="1" applyFill="1" applyBorder="1"/>
    <xf numFmtId="40" fontId="10" fillId="0" borderId="0" xfId="1" applyFont="1" applyFill="1" applyBorder="1"/>
    <xf numFmtId="40" fontId="10" fillId="0" borderId="6" xfId="1" applyFont="1" applyFill="1" applyBorder="1"/>
    <xf numFmtId="0" fontId="22" fillId="0" borderId="0" xfId="0" applyNumberFormat="1" applyFont="1" applyFill="1" applyAlignment="1">
      <alignment horizontal="center"/>
    </xf>
    <xf numFmtId="0" fontId="11" fillId="0" borderId="0" xfId="0" applyNumberFormat="1" applyFont="1" applyFill="1" applyAlignment="1">
      <alignment horizontal="center"/>
    </xf>
    <xf numFmtId="39" fontId="39" fillId="0" borderId="0" xfId="0" applyFont="1" applyFill="1"/>
    <xf numFmtId="39" fontId="34" fillId="0" borderId="0" xfId="0" applyFont="1" applyFill="1"/>
    <xf numFmtId="0" fontId="10" fillId="0" borderId="5" xfId="0" applyNumberFormat="1" applyFont="1" applyFill="1" applyBorder="1"/>
    <xf numFmtId="39" fontId="32" fillId="0" borderId="0" xfId="0" applyFont="1" applyFill="1"/>
    <xf numFmtId="37" fontId="32" fillId="0" borderId="0" xfId="0" applyNumberFormat="1" applyFont="1" applyFill="1"/>
    <xf numFmtId="38" fontId="32" fillId="0" borderId="0" xfId="1" applyNumberFormat="1" applyFont="1" applyFill="1"/>
    <xf numFmtId="169" fontId="32" fillId="0" borderId="0" xfId="0" applyNumberFormat="1" applyFont="1" applyFill="1"/>
    <xf numFmtId="39" fontId="32" fillId="0" borderId="0" xfId="0" applyFont="1" applyFill="1" applyAlignment="1">
      <alignment horizontal="right"/>
    </xf>
    <xf numFmtId="44" fontId="19" fillId="0" borderId="9" xfId="0" applyNumberFormat="1" applyFont="1" applyFill="1" applyBorder="1"/>
    <xf numFmtId="173" fontId="10" fillId="0" borderId="0" xfId="2" applyNumberFormat="1" applyFont="1" applyFill="1" applyBorder="1"/>
    <xf numFmtId="8" fontId="19" fillId="0" borderId="0" xfId="0" applyNumberFormat="1" applyFont="1" applyFill="1" applyBorder="1"/>
    <xf numFmtId="8" fontId="19" fillId="0" borderId="9" xfId="0" applyNumberFormat="1" applyFont="1" applyFill="1" applyBorder="1"/>
    <xf numFmtId="44" fontId="11" fillId="0" borderId="0" xfId="0" applyNumberFormat="1" applyFont="1" applyFill="1" applyBorder="1"/>
    <xf numFmtId="10" fontId="32" fillId="0" borderId="0" xfId="4" applyNumberFormat="1" applyFont="1" applyFill="1"/>
    <xf numFmtId="0" fontId="33" fillId="0" borderId="0" xfId="0" applyNumberFormat="1" applyFont="1" applyFill="1"/>
    <xf numFmtId="38" fontId="10" fillId="0" borderId="9" xfId="1" applyNumberFormat="1" applyFont="1" applyFill="1" applyBorder="1" applyProtection="1"/>
    <xf numFmtId="39" fontId="35" fillId="0" borderId="23" xfId="73" applyNumberFormat="1" applyFont="1" applyFill="1"/>
    <xf numFmtId="39" fontId="10" fillId="0" borderId="0" xfId="0" applyFont="1" applyFill="1" applyAlignment="1">
      <alignment horizontal="center"/>
    </xf>
    <xf numFmtId="7" fontId="22" fillId="0" borderId="0" xfId="0" applyNumberFormat="1" applyFont="1" applyFill="1" applyBorder="1"/>
    <xf numFmtId="37" fontId="35" fillId="0" borderId="23" xfId="73" applyNumberFormat="1" applyFont="1" applyFill="1"/>
    <xf numFmtId="39" fontId="33" fillId="0" borderId="0" xfId="0" applyFont="1" applyFill="1" applyAlignment="1"/>
    <xf numFmtId="169" fontId="32" fillId="0" borderId="0" xfId="0" applyNumberFormat="1" applyFont="1" applyFill="1" applyAlignment="1">
      <alignment horizontal="right"/>
    </xf>
    <xf numFmtId="39" fontId="10" fillId="0" borderId="0" xfId="0" applyFont="1" applyFill="1" applyBorder="1" applyAlignment="1">
      <alignment horizontal="center"/>
    </xf>
    <xf numFmtId="39" fontId="31" fillId="0" borderId="0" xfId="0" applyFont="1" applyFill="1"/>
    <xf numFmtId="39" fontId="32" fillId="0" borderId="0" xfId="0" applyFont="1" applyFill="1" applyBorder="1"/>
    <xf numFmtId="0" fontId="32" fillId="0" borderId="0" xfId="0" applyNumberFormat="1" applyFont="1" applyFill="1"/>
    <xf numFmtId="39" fontId="33" fillId="0" borderId="0" xfId="0" applyFont="1" applyFill="1"/>
    <xf numFmtId="39" fontId="33" fillId="0" borderId="0" xfId="0" applyFont="1" applyFill="1" applyAlignment="1">
      <alignment horizontal="right"/>
    </xf>
    <xf numFmtId="39" fontId="33" fillId="0" borderId="0" xfId="0" applyFont="1" applyFill="1" applyBorder="1"/>
    <xf numFmtId="0" fontId="36" fillId="0" borderId="1" xfId="0" applyNumberFormat="1" applyFont="1" applyFill="1" applyBorder="1"/>
    <xf numFmtId="0" fontId="32" fillId="0" borderId="2" xfId="0" applyNumberFormat="1" applyFont="1" applyFill="1" applyBorder="1"/>
    <xf numFmtId="39" fontId="32" fillId="0" borderId="2" xfId="0" applyFont="1" applyFill="1" applyBorder="1"/>
    <xf numFmtId="39" fontId="32" fillId="0" borderId="3" xfId="0" applyFont="1" applyFill="1" applyBorder="1"/>
    <xf numFmtId="0" fontId="10" fillId="0" borderId="2" xfId="0" applyNumberFormat="1" applyFont="1" applyFill="1" applyBorder="1"/>
    <xf numFmtId="39" fontId="32" fillId="0" borderId="26" xfId="0" applyFont="1" applyFill="1" applyBorder="1"/>
    <xf numFmtId="39" fontId="32" fillId="0" borderId="27" xfId="0" applyFont="1" applyFill="1" applyBorder="1"/>
    <xf numFmtId="39" fontId="32" fillId="0" borderId="4" xfId="0" applyFont="1" applyFill="1" applyBorder="1"/>
    <xf numFmtId="0" fontId="32" fillId="0" borderId="5" xfId="0" applyNumberFormat="1" applyFont="1" applyFill="1" applyBorder="1"/>
    <xf numFmtId="39" fontId="32" fillId="0" borderId="5" xfId="0" applyFont="1" applyFill="1" applyBorder="1"/>
    <xf numFmtId="39" fontId="32" fillId="0" borderId="6" xfId="0" applyFont="1" applyFill="1" applyBorder="1"/>
    <xf numFmtId="39" fontId="32" fillId="0" borderId="28" xfId="0" applyFont="1" applyFill="1" applyBorder="1"/>
    <xf numFmtId="38" fontId="32" fillId="0" borderId="0" xfId="1" applyNumberFormat="1" applyFont="1" applyFill="1" applyBorder="1"/>
    <xf numFmtId="169" fontId="32" fillId="0" borderId="0" xfId="0" applyNumberFormat="1" applyFont="1" applyFill="1" applyAlignment="1">
      <alignment horizontal="center"/>
    </xf>
    <xf numFmtId="0" fontId="32" fillId="0" borderId="0" xfId="0" applyNumberFormat="1" applyFont="1" applyFill="1" applyBorder="1"/>
    <xf numFmtId="0" fontId="33" fillId="0" borderId="1" xfId="0" applyNumberFormat="1" applyFont="1" applyFill="1" applyBorder="1"/>
    <xf numFmtId="39" fontId="32" fillId="0" borderId="0" xfId="0" applyFont="1" applyFill="1" applyAlignment="1">
      <alignment horizontal="center"/>
    </xf>
    <xf numFmtId="39" fontId="40" fillId="0" borderId="29" xfId="0" applyFont="1" applyFill="1" applyBorder="1"/>
    <xf numFmtId="39" fontId="32" fillId="0" borderId="22" xfId="0" applyFont="1" applyFill="1" applyBorder="1"/>
    <xf numFmtId="39" fontId="32" fillId="0" borderId="30" xfId="0" applyFont="1" applyFill="1" applyBorder="1"/>
    <xf numFmtId="39" fontId="32" fillId="0" borderId="31" xfId="0" applyFont="1" applyFill="1" applyBorder="1"/>
    <xf numFmtId="39" fontId="32" fillId="0" borderId="32" xfId="0" applyFont="1" applyFill="1" applyBorder="1"/>
    <xf numFmtId="39" fontId="32" fillId="0" borderId="33" xfId="0" applyFont="1" applyFill="1" applyBorder="1"/>
    <xf numFmtId="39" fontId="32" fillId="0" borderId="9" xfId="0" applyFont="1" applyFill="1" applyBorder="1"/>
    <xf numFmtId="39" fontId="32" fillId="0" borderId="34" xfId="0" applyFont="1" applyFill="1" applyBorder="1"/>
    <xf numFmtId="39" fontId="32" fillId="0" borderId="24" xfId="0" applyFont="1" applyFill="1" applyBorder="1"/>
    <xf numFmtId="40" fontId="32" fillId="0" borderId="0" xfId="0" applyNumberFormat="1" applyFont="1" applyFill="1"/>
    <xf numFmtId="0" fontId="33" fillId="0" borderId="10" xfId="0" applyNumberFormat="1" applyFont="1" applyFill="1" applyBorder="1"/>
    <xf numFmtId="0" fontId="32" fillId="0" borderId="11" xfId="0" applyNumberFormat="1" applyFont="1" applyFill="1" applyBorder="1"/>
    <xf numFmtId="39" fontId="32" fillId="0" borderId="11" xfId="0" applyFont="1" applyFill="1" applyBorder="1"/>
    <xf numFmtId="0" fontId="40" fillId="0" borderId="11" xfId="0" applyNumberFormat="1" applyFont="1" applyFill="1" applyBorder="1"/>
    <xf numFmtId="39" fontId="32" fillId="0" borderId="15" xfId="0" applyFont="1" applyFill="1" applyBorder="1"/>
    <xf numFmtId="39" fontId="32" fillId="0" borderId="10" xfId="0" applyFont="1" applyFill="1" applyBorder="1"/>
    <xf numFmtId="39" fontId="35" fillId="3" borderId="23" xfId="73" applyNumberFormat="1" applyFont="1" applyFill="1"/>
    <xf numFmtId="39" fontId="35" fillId="3" borderId="25" xfId="73" applyNumberFormat="1" applyFont="1" applyFill="1" applyBorder="1"/>
    <xf numFmtId="17" fontId="11" fillId="0" borderId="10" xfId="0" applyNumberFormat="1" applyFont="1" applyFill="1" applyBorder="1"/>
    <xf numFmtId="17" fontId="11" fillId="0" borderId="15" xfId="0" applyNumberFormat="1" applyFont="1" applyFill="1" applyBorder="1"/>
    <xf numFmtId="17" fontId="11" fillId="0" borderId="0" xfId="0" applyNumberFormat="1" applyFont="1" applyFill="1"/>
    <xf numFmtId="10" fontId="11" fillId="0" borderId="0" xfId="4" applyNumberFormat="1" applyFont="1" applyFill="1" applyAlignment="1">
      <alignment horizontal="center"/>
    </xf>
    <xf numFmtId="44" fontId="11" fillId="0" borderId="18" xfId="0" applyNumberFormat="1" applyFont="1" applyFill="1" applyBorder="1"/>
    <xf numFmtId="7" fontId="10" fillId="0" borderId="0" xfId="0" applyNumberFormat="1" applyFont="1" applyFill="1"/>
    <xf numFmtId="39" fontId="10" fillId="0" borderId="0" xfId="0" applyNumberFormat="1" applyFont="1" applyFill="1"/>
    <xf numFmtId="7" fontId="13" fillId="0" borderId="0" xfId="0" applyNumberFormat="1" applyFont="1" applyFill="1"/>
    <xf numFmtId="38" fontId="10" fillId="0" borderId="0" xfId="1" applyNumberFormat="1" applyFont="1" applyFill="1"/>
    <xf numFmtId="39" fontId="10" fillId="0" borderId="0" xfId="0" applyNumberFormat="1" applyFont="1" applyFill="1" applyAlignment="1">
      <alignment horizontal="left" vertical="top"/>
    </xf>
    <xf numFmtId="39" fontId="10" fillId="0" borderId="0" xfId="0" applyNumberFormat="1" applyFont="1" applyFill="1" applyAlignment="1">
      <alignment horizontal="center" vertical="top"/>
    </xf>
    <xf numFmtId="39" fontId="10" fillId="0" borderId="20" xfId="0" applyFont="1" applyFill="1" applyBorder="1"/>
    <xf numFmtId="39" fontId="10" fillId="0" borderId="14" xfId="0" applyFont="1" applyFill="1" applyBorder="1"/>
    <xf numFmtId="39" fontId="11" fillId="0" borderId="0" xfId="0" applyNumberFormat="1" applyFont="1" applyFill="1" applyAlignment="1">
      <alignment horizontal="left" vertical="top"/>
    </xf>
    <xf numFmtId="39" fontId="21" fillId="0" borderId="0" xfId="0" applyFont="1" applyFill="1"/>
    <xf numFmtId="44" fontId="10" fillId="0" borderId="19" xfId="0" applyNumberFormat="1" applyFont="1" applyFill="1" applyBorder="1"/>
    <xf numFmtId="39" fontId="10" fillId="0" borderId="0" xfId="0" applyNumberFormat="1" applyFont="1" applyFill="1" applyProtection="1"/>
    <xf numFmtId="39" fontId="29" fillId="0" borderId="0" xfId="0" applyNumberFormat="1" applyFont="1" applyFill="1"/>
    <xf numFmtId="170" fontId="10" fillId="0" borderId="0" xfId="0" applyNumberFormat="1" applyFont="1" applyFill="1"/>
    <xf numFmtId="39" fontId="18" fillId="0" borderId="0" xfId="0" applyFont="1" applyFill="1"/>
    <xf numFmtId="2" fontId="10" fillId="0" borderId="0" xfId="0" applyNumberFormat="1" applyFont="1" applyFill="1"/>
    <xf numFmtId="39" fontId="29" fillId="0" borderId="0" xfId="0" applyNumberFormat="1" applyFont="1" applyFill="1" applyAlignment="1">
      <alignment horizontal="right"/>
    </xf>
    <xf numFmtId="39" fontId="10" fillId="0" borderId="6" xfId="0" applyFont="1" applyFill="1" applyBorder="1"/>
    <xf numFmtId="164" fontId="16" fillId="0" borderId="0" xfId="0" applyNumberFormat="1" applyFont="1" applyFill="1" applyBorder="1" applyProtection="1"/>
    <xf numFmtId="7" fontId="10" fillId="0" borderId="0" xfId="1" applyNumberFormat="1" applyFont="1" applyFill="1"/>
    <xf numFmtId="39" fontId="10" fillId="0" borderId="0" xfId="0" applyNumberFormat="1" applyFont="1" applyFill="1" applyBorder="1"/>
    <xf numFmtId="164" fontId="12" fillId="0" borderId="0" xfId="0" applyNumberFormat="1" applyFont="1" applyFill="1" applyProtection="1">
      <protection locked="0"/>
    </xf>
    <xf numFmtId="164" fontId="16" fillId="0" borderId="0" xfId="0" applyNumberFormat="1" applyFont="1" applyFill="1" applyProtection="1">
      <protection locked="0"/>
    </xf>
    <xf numFmtId="164" fontId="10" fillId="0" borderId="0" xfId="0" applyNumberFormat="1" applyFont="1" applyFill="1" applyProtection="1"/>
    <xf numFmtId="164" fontId="10" fillId="0" borderId="0" xfId="0" applyNumberFormat="1" applyFont="1" applyFill="1" applyProtection="1">
      <protection locked="0"/>
    </xf>
    <xf numFmtId="168" fontId="10" fillId="0" borderId="0" xfId="0" applyNumberFormat="1" applyFont="1" applyFill="1" applyProtection="1"/>
    <xf numFmtId="5" fontId="10" fillId="0" borderId="0" xfId="0" applyNumberFormat="1" applyFont="1" applyFill="1" applyProtection="1"/>
    <xf numFmtId="39" fontId="11" fillId="0" borderId="10" xfId="0" applyFont="1" applyFill="1" applyBorder="1" applyAlignment="1">
      <alignment horizontal="center"/>
    </xf>
    <xf numFmtId="39" fontId="11" fillId="0" borderId="11" xfId="0" applyFont="1" applyFill="1" applyBorder="1" applyAlignment="1">
      <alignment horizontal="center"/>
    </xf>
    <xf numFmtId="39" fontId="11" fillId="0" borderId="15" xfId="0" applyFont="1" applyFill="1" applyBorder="1" applyAlignment="1">
      <alignment horizontal="center"/>
    </xf>
    <xf numFmtId="39" fontId="10" fillId="0" borderId="0" xfId="0" applyFont="1" applyFill="1" applyBorder="1" applyAlignment="1">
      <alignment horizontal="center"/>
    </xf>
    <xf numFmtId="39" fontId="10" fillId="0" borderId="8" xfId="0" applyFont="1" applyFill="1" applyBorder="1" applyAlignment="1">
      <alignment horizontal="center"/>
    </xf>
  </cellXfs>
  <cellStyles count="143">
    <cellStyle name="Comma" xfId="1" builtinId="3"/>
    <cellStyle name="Comma 2" xfId="8"/>
    <cellStyle name="Comma 2 2" xfId="43"/>
    <cellStyle name="Comma 2 3" xfId="55"/>
    <cellStyle name="Comma 3" xfId="5"/>
    <cellStyle name="Comma 3 2" xfId="64"/>
    <cellStyle name="Comma 4" xfId="9"/>
    <cellStyle name="Comma 4 2" xfId="44"/>
    <cellStyle name="Comma 4 2 2" xfId="84"/>
    <cellStyle name="Comma 4 2 2 2" xfId="126"/>
    <cellStyle name="Comma 4 2 3" xfId="105"/>
    <cellStyle name="Comma 4 3" xfId="75"/>
    <cellStyle name="Comma 4 3 2" xfId="117"/>
    <cellStyle name="Comma 4 4" xfId="96"/>
    <cellStyle name="Comma 4 5" xfId="138"/>
    <cellStyle name="Comma 5" xfId="10"/>
    <cellStyle name="Comma 5 2" xfId="141"/>
    <cellStyle name="Comma 6" xfId="70"/>
    <cellStyle name="Comma 6 2" xfId="74"/>
    <cellStyle name="Comma 6 2 2" xfId="116"/>
    <cellStyle name="Comma 6 3" xfId="95"/>
    <cellStyle name="Comma 6 3 2" xfId="136"/>
    <cellStyle name="Comma 6 4" xfId="115"/>
    <cellStyle name="Comma0" xfId="11"/>
    <cellStyle name="Currency" xfId="2" builtinId="4"/>
    <cellStyle name="Currency 2" xfId="7"/>
    <cellStyle name="Currency 2 2" xfId="57"/>
    <cellStyle name="Currency 2 3" xfId="56"/>
    <cellStyle name="Currency 3" xfId="12"/>
    <cellStyle name="Currency 3 2" xfId="66"/>
    <cellStyle name="Currency 3 3" xfId="58"/>
    <cellStyle name="Currency 4" xfId="13"/>
    <cellStyle name="Currency 4 2" xfId="14"/>
    <cellStyle name="Currency 4 2 2" xfId="46"/>
    <cellStyle name="Currency 4 2 2 2" xfId="86"/>
    <cellStyle name="Currency 4 2 2 2 2" xfId="128"/>
    <cellStyle name="Currency 4 2 2 3" xfId="107"/>
    <cellStyle name="Currency 4 2 3" xfId="77"/>
    <cellStyle name="Currency 4 2 3 2" xfId="119"/>
    <cellStyle name="Currency 4 2 4" xfId="98"/>
    <cellStyle name="Currency 4 3" xfId="45"/>
    <cellStyle name="Currency 4 3 2" xfId="85"/>
    <cellStyle name="Currency 4 3 2 2" xfId="127"/>
    <cellStyle name="Currency 4 3 3" xfId="106"/>
    <cellStyle name="Currency 4 4" xfId="68"/>
    <cellStyle name="Currency 4 5" xfId="76"/>
    <cellStyle name="Currency 4 5 2" xfId="118"/>
    <cellStyle name="Currency 4 6" xfId="97"/>
    <cellStyle name="Currency 5" xfId="15"/>
    <cellStyle name="Currency 6" xfId="16"/>
    <cellStyle name="Currency 6 2" xfId="17"/>
    <cellStyle name="Currency 7" xfId="18"/>
    <cellStyle name="Currency 7 2" xfId="47"/>
    <cellStyle name="Currency 7 2 2" xfId="87"/>
    <cellStyle name="Currency 7 2 2 2" xfId="129"/>
    <cellStyle name="Currency 7 2 3" xfId="108"/>
    <cellStyle name="Currency 7 3" xfId="78"/>
    <cellStyle name="Currency 7 3 2" xfId="120"/>
    <cellStyle name="Currency 7 4" xfId="99"/>
    <cellStyle name="Currency 8" xfId="71"/>
    <cellStyle name="Currency0" xfId="19"/>
    <cellStyle name="Date" xfId="20"/>
    <cellStyle name="Fixed" xfId="21"/>
    <cellStyle name="Manual-Input" xfId="3"/>
    <cellStyle name="Normal" xfId="0" builtinId="0"/>
    <cellStyle name="Normal 10" xfId="42"/>
    <cellStyle name="Normal 11" xfId="54"/>
    <cellStyle name="Normal 11 2" xfId="93"/>
    <cellStyle name="Normal 12" xfId="69"/>
    <cellStyle name="Normal 12 2" xfId="94"/>
    <cellStyle name="Normal 12 2 2" xfId="135"/>
    <cellStyle name="Normal 12 3" xfId="114"/>
    <cellStyle name="Normal 2" xfId="6"/>
    <cellStyle name="Normal 2 2" xfId="41"/>
    <cellStyle name="Normal 2 3" xfId="59"/>
    <cellStyle name="Normal 3" xfId="22"/>
    <cellStyle name="Normal 3 2" xfId="65"/>
    <cellStyle name="Normal 4" xfId="23"/>
    <cellStyle name="Normal 4 2" xfId="63"/>
    <cellStyle name="Normal 5" xfId="24"/>
    <cellStyle name="Normal 5 2" xfId="137"/>
    <cellStyle name="Normal 6" xfId="25"/>
    <cellStyle name="Normal 6 2" xfId="26"/>
    <cellStyle name="Normal 6 3" xfId="140"/>
    <cellStyle name="Normal 7" xfId="27"/>
    <cellStyle name="Normal 7 2" xfId="48"/>
    <cellStyle name="Normal 7 2 2" xfId="88"/>
    <cellStyle name="Normal 7 2 2 2" xfId="130"/>
    <cellStyle name="Normal 7 2 3" xfId="109"/>
    <cellStyle name="Normal 7 3" xfId="79"/>
    <cellStyle name="Normal 7 3 2" xfId="121"/>
    <cellStyle name="Normal 7 4" xfId="100"/>
    <cellStyle name="Normal 8" xfId="28"/>
    <cellStyle name="Normal 9" xfId="40"/>
    <cellStyle name="Normal 9 2" xfId="53"/>
    <cellStyle name="Percent" xfId="4" builtinId="5"/>
    <cellStyle name="Percent 10" xfId="72"/>
    <cellStyle name="Percent 2" xfId="29"/>
    <cellStyle name="Percent 2 2" xfId="61"/>
    <cellStyle name="Percent 2 3" xfId="60"/>
    <cellStyle name="Percent 2 4" xfId="139"/>
    <cellStyle name="Percent 3" xfId="30"/>
    <cellStyle name="Percent 3 2" xfId="67"/>
    <cellStyle name="Percent 3 3" xfId="62"/>
    <cellStyle name="Percent 3 4" xfId="142"/>
    <cellStyle name="Percent 4" xfId="31"/>
    <cellStyle name="Percent 5" xfId="32"/>
    <cellStyle name="Percent 5 2" xfId="33"/>
    <cellStyle name="Percent 5 2 2" xfId="34"/>
    <cellStyle name="Percent 5 2 2 2" xfId="51"/>
    <cellStyle name="Percent 5 2 2 2 2" xfId="91"/>
    <cellStyle name="Percent 5 2 2 2 2 2" xfId="133"/>
    <cellStyle name="Percent 5 2 2 2 3" xfId="112"/>
    <cellStyle name="Percent 5 2 2 3" xfId="82"/>
    <cellStyle name="Percent 5 2 2 3 2" xfId="124"/>
    <cellStyle name="Percent 5 2 2 4" xfId="103"/>
    <cellStyle name="Percent 5 2 3" xfId="50"/>
    <cellStyle name="Percent 5 2 3 2" xfId="90"/>
    <cellStyle name="Percent 5 2 3 2 2" xfId="132"/>
    <cellStyle name="Percent 5 2 3 3" xfId="111"/>
    <cellStyle name="Percent 5 2 4" xfId="81"/>
    <cellStyle name="Percent 5 2 4 2" xfId="123"/>
    <cellStyle name="Percent 5 2 5" xfId="102"/>
    <cellStyle name="Percent 5 3" xfId="49"/>
    <cellStyle name="Percent 5 3 2" xfId="89"/>
    <cellStyle name="Percent 5 3 2 2" xfId="131"/>
    <cellStyle name="Percent 5 3 3" xfId="110"/>
    <cellStyle name="Percent 5 4" xfId="80"/>
    <cellStyle name="Percent 5 4 2" xfId="122"/>
    <cellStyle name="Percent 5 5" xfId="101"/>
    <cellStyle name="Percent 6" xfId="35"/>
    <cellStyle name="Percent 7" xfId="36"/>
    <cellStyle name="Percent 7 2" xfId="37"/>
    <cellStyle name="Percent 8" xfId="38"/>
    <cellStyle name="Percent 8 2" xfId="52"/>
    <cellStyle name="Percent 8 2 2" xfId="92"/>
    <cellStyle name="Percent 8 2 2 2" xfId="134"/>
    <cellStyle name="Percent 8 2 3" xfId="113"/>
    <cellStyle name="Percent 8 3" xfId="83"/>
    <cellStyle name="Percent 8 3 2" xfId="125"/>
    <cellStyle name="Percent 8 4" xfId="104"/>
    <cellStyle name="Percent 9" xfId="39"/>
    <cellStyle name="Total" xfId="73" builtinId="25"/>
  </cellStyles>
  <dxfs count="107"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theme="5" tint="0.39994506668294322"/>
      </font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theme="5" tint="0.39994506668294322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00CC66"/>
      <color rgb="FF66FF33"/>
      <color rgb="FF0000FF"/>
      <color rgb="FF008000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customXml" Target="../customXml/item4.xml"/><Relationship Id="rId39" Type="http://schemas.openxmlformats.org/officeDocument/2006/relationships/customXml" Target="../customXml/item17.xml"/><Relationship Id="rId21" Type="http://schemas.openxmlformats.org/officeDocument/2006/relationships/sharedStrings" Target="sharedStrings.xml"/><Relationship Id="rId34" Type="http://schemas.openxmlformats.org/officeDocument/2006/relationships/customXml" Target="../customXml/item1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tyles" Target="styles.xml"/><Relationship Id="rId29" Type="http://schemas.openxmlformats.org/officeDocument/2006/relationships/customXml" Target="../customXml/item7.xml"/><Relationship Id="rId41" Type="http://schemas.openxmlformats.org/officeDocument/2006/relationships/customXml" Target="../customXml/item1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32" Type="http://schemas.openxmlformats.org/officeDocument/2006/relationships/customXml" Target="../customXml/item10.xml"/><Relationship Id="rId37" Type="http://schemas.openxmlformats.org/officeDocument/2006/relationships/customXml" Target="../customXml/item15.xml"/><Relationship Id="rId40" Type="http://schemas.openxmlformats.org/officeDocument/2006/relationships/customXml" Target="../customXml/item18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ustomXml" Target="../customXml/item1.xml"/><Relationship Id="rId28" Type="http://schemas.openxmlformats.org/officeDocument/2006/relationships/customXml" Target="../customXml/item6.xml"/><Relationship Id="rId36" Type="http://schemas.openxmlformats.org/officeDocument/2006/relationships/customXml" Target="../customXml/item14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31" Type="http://schemas.openxmlformats.org/officeDocument/2006/relationships/customXml" Target="../customXml/item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alcChain" Target="calcChain.xml"/><Relationship Id="rId27" Type="http://schemas.openxmlformats.org/officeDocument/2006/relationships/customXml" Target="../customXml/item5.xml"/><Relationship Id="rId30" Type="http://schemas.openxmlformats.org/officeDocument/2006/relationships/customXml" Target="../customXml/item8.xml"/><Relationship Id="rId35" Type="http://schemas.openxmlformats.org/officeDocument/2006/relationships/customXml" Target="../customXml/item1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customXml" Target="../customXml/item3.xml"/><Relationship Id="rId33" Type="http://schemas.openxmlformats.org/officeDocument/2006/relationships/customXml" Target="../customXml/item11.xml"/><Relationship Id="rId38" Type="http://schemas.openxmlformats.org/officeDocument/2006/relationships/customXml" Target="../customXml/item1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atural%20Gas%20Accounting\Gas%20Cost%20Data%20Bases\History\OR%20Gas%20Costs%201999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OLK2\Agency%20Capacity%20Releas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84\c01m84\Power%20Deferrals\Power%20Deferral%20Journals\REC%20Deferral\2016%20DJ475%20WA%20REC%20new%20forma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GA%20Analysis/WA%20PGA/WA%20Monthly%20Report/2017/07.2017/2017%20WA-ID%20Deferral%20&amp;%20Amor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PGA%20Analysis/WA%20PGA/WA%20Monthly%20Report/2017/12.2017/NEW-AVA-Dec2017-WA-Deferral-Amort-Calc-1-23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egon Gas Costs - 1999"/>
      <sheetName val="Oregon Gas Costs - 2000"/>
      <sheetName val="Oregon Gas Costs - 2001"/>
      <sheetName val="Oregon Gas Costs - 2002"/>
      <sheetName val="Oregon Gas Costs - 2003"/>
      <sheetName val="Oregon Gas Costs - 2004 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 2001"/>
      <sheetName val="Jan 2001"/>
      <sheetName val="Dec 2000"/>
      <sheetName val="Nov 2000"/>
      <sheetName val="Oct 2000"/>
      <sheetName val="Sep 2000"/>
      <sheetName val="Sheet1"/>
      <sheetName val="Aug 2000"/>
      <sheetName val="Jul 2000"/>
      <sheetName val="Jun 2000"/>
      <sheetName val="May 2000"/>
      <sheetName val="April 2000"/>
      <sheetName val="Mar 2000"/>
      <sheetName val="Feb 2000"/>
      <sheetName val="Jan 2000"/>
      <sheetName val="Dec 99"/>
      <sheetName val="Nov 99"/>
      <sheetName val="Oct 99"/>
      <sheetName val="Sep 99"/>
      <sheetName val="Mar 2001 "/>
      <sheetName val="April 2001"/>
      <sheetName val="May 2001"/>
      <sheetName val="June 2001"/>
      <sheetName val="July 2001 "/>
      <sheetName val="Aug 01"/>
      <sheetName val="Sept 01"/>
      <sheetName val="Oct 01"/>
      <sheetName val="Nov 01"/>
      <sheetName val="Dec 01"/>
      <sheetName val="Jan 02"/>
      <sheetName val="Feb 2002"/>
      <sheetName val="Mar 02"/>
      <sheetName val="Apr 02"/>
      <sheetName val="May 02"/>
      <sheetName val="Jun 02"/>
      <sheetName val="Jul 02 "/>
      <sheetName val="Aug 02"/>
      <sheetName val="Sep 02"/>
      <sheetName val="Oct 02"/>
      <sheetName val="Nov 02"/>
      <sheetName val="Dec 02"/>
      <sheetName val="Jan 03"/>
      <sheetName val="Feb 03"/>
      <sheetName val="Mar 03"/>
      <sheetName val="Apr 03"/>
      <sheetName val="May 03"/>
    </sheetNames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186322 WA REC - Amortizing"/>
      <sheetName val="186323 WA REC - Current"/>
      <sheetName val="186324 WA REC - Current 2"/>
      <sheetName val="Company Bands"/>
    </sheetNames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GA Graphs 2012-13"/>
      <sheetName val="JE"/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  <sheetName val="WA - Def-Amtz (current)"/>
      <sheetName val="PGA Graphs 2013-14"/>
      <sheetName val="ID Amort 191015"/>
      <sheetName val="ID Amort 191000"/>
      <sheetName val="WA Def 191010"/>
      <sheetName val="ID Def 191010"/>
      <sheetName val="ID Holdback 191015"/>
      <sheetName val="Amortization of JP Deferral"/>
      <sheetName val="WA Amort 191000"/>
    </sheetNames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GA Graphs 2012-13"/>
      <sheetName val="JE"/>
      <sheetName val="Jan"/>
      <sheetName val="Feb"/>
      <sheetName val="Mar"/>
      <sheetName val="Apr"/>
      <sheetName val="May"/>
      <sheetName val="Jun"/>
      <sheetName val="Jul"/>
      <sheetName val="COMPARE JULY VS AUG"/>
      <sheetName val="Aug"/>
      <sheetName val="Sep"/>
      <sheetName val="Oct"/>
      <sheetName val="Nov"/>
      <sheetName val="Dec"/>
      <sheetName val="WA - Def-Amtz (current)"/>
      <sheetName val="PGA Graphs 2013-14"/>
      <sheetName val="ID Amort 191015"/>
      <sheetName val="ID Amort 191000"/>
      <sheetName val="WA Def 191010"/>
      <sheetName val="ID Def 191010"/>
      <sheetName val="ID Holdback 191015"/>
      <sheetName val="Amortization of JP Deferral"/>
      <sheetName val="WA Amort 191000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tabColor rgb="FF00CC66"/>
    <pageSetUpPr fitToPage="1"/>
  </sheetPr>
  <dimension ref="A1:AJ79"/>
  <sheetViews>
    <sheetView showGridLines="0" tabSelected="1" zoomScale="70" zoomScaleNormal="70" zoomScaleSheetLayoutView="85" workbookViewId="0">
      <pane xSplit="2" ySplit="3" topLeftCell="E4" activePane="bottomRight" state="frozen"/>
      <selection activeCell="BD49" activeCellId="1" sqref="BD13 BD49"/>
      <selection pane="topRight" activeCell="BD49" activeCellId="1" sqref="BD13 BD49"/>
      <selection pane="bottomLeft" activeCell="BD49" activeCellId="1" sqref="BD13 BD49"/>
      <selection pane="bottomRight" activeCell="X1" sqref="X1:X1048576"/>
    </sheetView>
  </sheetViews>
  <sheetFormatPr defaultColWidth="9.140625" defaultRowHeight="15.75" outlineLevelRow="1"/>
  <cols>
    <col min="1" max="1" width="17.28515625" style="111" customWidth="1"/>
    <col min="2" max="2" width="18.7109375" style="115" customWidth="1"/>
    <col min="3" max="6" width="17.42578125" style="111" customWidth="1"/>
    <col min="7" max="7" width="18.5703125" style="111" customWidth="1"/>
    <col min="8" max="8" width="18.140625" style="111" customWidth="1"/>
    <col min="9" max="15" width="17.7109375" style="111" customWidth="1"/>
    <col min="16" max="16" width="3.42578125" style="132" customWidth="1"/>
    <col min="17" max="17" width="34.42578125" style="111" customWidth="1"/>
    <col min="18" max="18" width="14.42578125" style="133" bestFit="1" customWidth="1"/>
    <col min="19" max="19" width="4.7109375" style="111" bestFit="1" customWidth="1"/>
    <col min="20" max="20" width="5" style="111" bestFit="1" customWidth="1"/>
    <col min="21" max="21" width="18.28515625" style="111" customWidth="1"/>
    <col min="22" max="22" width="17.140625" style="111" bestFit="1" customWidth="1"/>
    <col min="23" max="23" width="2.7109375" style="111" customWidth="1"/>
    <col min="24" max="24" width="9.140625" style="111"/>
    <col min="25" max="25" width="10.5703125" style="111" bestFit="1" customWidth="1"/>
    <col min="26" max="26" width="11.28515625" style="111" bestFit="1" customWidth="1"/>
    <col min="27" max="29" width="9.140625" style="111"/>
    <col min="30" max="30" width="23.85546875" style="111" bestFit="1" customWidth="1"/>
    <col min="31" max="31" width="11.7109375" style="111" bestFit="1" customWidth="1"/>
    <col min="32" max="32" width="4.28515625" style="111" bestFit="1" customWidth="1"/>
    <col min="33" max="33" width="4.5703125" style="111" bestFit="1" customWidth="1"/>
    <col min="34" max="36" width="11.7109375" style="111" bestFit="1" customWidth="1"/>
    <col min="37" max="16384" width="9.140625" style="111"/>
  </cols>
  <sheetData>
    <row r="1" spans="1:22">
      <c r="A1" s="131" t="s">
        <v>133</v>
      </c>
      <c r="Q1" s="131" t="s">
        <v>152</v>
      </c>
      <c r="T1" s="134" t="s">
        <v>165</v>
      </c>
      <c r="U1" s="134"/>
    </row>
    <row r="2" spans="1:22">
      <c r="A2" s="134" t="s">
        <v>134</v>
      </c>
    </row>
    <row r="3" spans="1:22" s="134" customFormat="1" ht="16.5" thickBot="1">
      <c r="A3" s="122">
        <v>191010</v>
      </c>
      <c r="B3" s="135" t="s">
        <v>125</v>
      </c>
      <c r="C3" s="122">
        <v>201706</v>
      </c>
      <c r="D3" s="122">
        <f>C3+1</f>
        <v>201707</v>
      </c>
      <c r="E3" s="122">
        <f t="shared" ref="E3" si="0">D3+1</f>
        <v>201708</v>
      </c>
      <c r="F3" s="122">
        <f t="shared" ref="F3" si="1">E3+1</f>
        <v>201709</v>
      </c>
      <c r="G3" s="122">
        <f t="shared" ref="G3" si="2">F3+1</f>
        <v>201710</v>
      </c>
      <c r="H3" s="122">
        <f t="shared" ref="H3" si="3">G3+1</f>
        <v>201711</v>
      </c>
      <c r="I3" s="122">
        <f>H3+1</f>
        <v>201712</v>
      </c>
      <c r="J3" s="122">
        <v>201801</v>
      </c>
      <c r="K3" s="122">
        <v>201802</v>
      </c>
      <c r="L3" s="122">
        <v>201803</v>
      </c>
      <c r="M3" s="122">
        <v>201804</v>
      </c>
      <c r="N3" s="122">
        <v>201805</v>
      </c>
      <c r="O3" s="122">
        <v>201806</v>
      </c>
      <c r="P3" s="136"/>
      <c r="R3" s="122"/>
    </row>
    <row r="4" spans="1:22" s="134" customFormat="1" ht="16.5" thickBot="1">
      <c r="B4" s="135" t="s">
        <v>126</v>
      </c>
      <c r="C4" s="121">
        <v>3.7100000000000001E-2</v>
      </c>
      <c r="D4" s="121">
        <v>3.9600000000000003E-2</v>
      </c>
      <c r="E4" s="121">
        <v>3.9600000000000003E-2</v>
      </c>
      <c r="F4" s="121">
        <v>3.9600000000000003E-2</v>
      </c>
      <c r="G4" s="121">
        <v>4.2099999999999999E-2</v>
      </c>
      <c r="H4" s="121">
        <v>4.2099999999999999E-2</v>
      </c>
      <c r="I4" s="121">
        <v>4.2099999999999999E-2</v>
      </c>
      <c r="J4" s="121">
        <v>4.2500000000000003E-2</v>
      </c>
      <c r="K4" s="121">
        <v>4.2500000000000003E-2</v>
      </c>
      <c r="L4" s="121">
        <v>4.2500000000000003E-2</v>
      </c>
      <c r="M4" s="121">
        <v>4.4699999999999997E-2</v>
      </c>
      <c r="N4" s="121">
        <v>4.4699999999999997E-2</v>
      </c>
      <c r="O4" s="121">
        <v>4.4699999999999997E-2</v>
      </c>
      <c r="P4" s="136"/>
      <c r="Q4" s="137">
        <v>201806</v>
      </c>
      <c r="R4" s="138"/>
      <c r="S4" s="139"/>
      <c r="T4" s="139"/>
      <c r="U4" s="139"/>
      <c r="V4" s="140"/>
    </row>
    <row r="5" spans="1:22">
      <c r="B5" s="115" t="s">
        <v>123</v>
      </c>
      <c r="C5" s="111">
        <v>-15098116.96234579</v>
      </c>
      <c r="D5" s="111">
        <f t="shared" ref="D5:O5" si="4">C13</f>
        <v>-14771177.38731979</v>
      </c>
      <c r="E5" s="111">
        <f t="shared" si="4"/>
        <v>-15909772.702550791</v>
      </c>
      <c r="F5" s="111">
        <f t="shared" si="4"/>
        <v>-16977268.897435792</v>
      </c>
      <c r="G5" s="111">
        <f t="shared" si="4"/>
        <v>-18962414.798894793</v>
      </c>
      <c r="H5" s="111">
        <f t="shared" si="4"/>
        <v>-21954910.563472789</v>
      </c>
      <c r="I5" s="111">
        <f t="shared" si="4"/>
        <v>-8189815.5396147836</v>
      </c>
      <c r="J5" s="111">
        <f t="shared" si="4"/>
        <v>-11107523.78934879</v>
      </c>
      <c r="K5" s="111">
        <f t="shared" si="4"/>
        <v>-13225129.045603791</v>
      </c>
      <c r="L5" s="111">
        <f t="shared" si="4"/>
        <v>-13264083.729049791</v>
      </c>
      <c r="M5" s="111">
        <f t="shared" si="4"/>
        <v>-13822513.408797791</v>
      </c>
      <c r="N5" s="111">
        <f t="shared" si="4"/>
        <v>-15210763.179049792</v>
      </c>
      <c r="O5" s="111">
        <f t="shared" si="4"/>
        <v>-15585609.433038792</v>
      </c>
      <c r="Q5" s="30" t="s">
        <v>141</v>
      </c>
      <c r="R5" s="141">
        <v>419600</v>
      </c>
      <c r="S5" s="31" t="s">
        <v>138</v>
      </c>
      <c r="T5" s="31" t="s">
        <v>139</v>
      </c>
      <c r="U5" s="102">
        <v>0</v>
      </c>
      <c r="V5" s="103">
        <f>IF(SUMIF(C3:O3,Q4,C8:O8)&gt;0,SUMIF(C3:O3,Q4,C8:O8),0)</f>
        <v>0</v>
      </c>
    </row>
    <row r="6" spans="1:22">
      <c r="B6" s="115" t="s">
        <v>160</v>
      </c>
      <c r="C6" s="111">
        <v>-580245.48787200102</v>
      </c>
      <c r="D6" s="111">
        <v>-2217856.2503400007</v>
      </c>
      <c r="E6" s="111">
        <v>-2108794.2989039999</v>
      </c>
      <c r="F6" s="111">
        <v>-2779163.5886399997</v>
      </c>
      <c r="G6" s="111">
        <v>-2935887.7038159985</v>
      </c>
      <c r="H6" s="111">
        <v>-386463.99829400051</v>
      </c>
      <c r="I6" s="111">
        <v>-1205525.6512180055</v>
      </c>
      <c r="J6" s="111">
        <v>-743591.89883300196</v>
      </c>
      <c r="K6" s="111">
        <f>Feb!$H$55</f>
        <v>1500599.2415440008</v>
      </c>
      <c r="L6" s="111">
        <f>Mar!H55</f>
        <v>262271.11627200013</v>
      </c>
      <c r="M6" s="111">
        <f>Apr!H55</f>
        <v>-1287451.4058399997</v>
      </c>
      <c r="N6" s="111">
        <f>May!H55</f>
        <v>-1208166.9855549999</v>
      </c>
      <c r="O6" s="111">
        <f>Jun!H55</f>
        <v>-914700.39864600007</v>
      </c>
      <c r="Q6" s="32" t="s">
        <v>142</v>
      </c>
      <c r="R6" s="76">
        <v>431600</v>
      </c>
      <c r="S6" s="1" t="s">
        <v>138</v>
      </c>
      <c r="T6" s="1" t="s">
        <v>139</v>
      </c>
      <c r="U6" s="104">
        <f>IF(SUMIF(C3:O3,Q4,C8:O8)&lt;0,-SUMIF(C3:O3,Q4,C8:O8),0)</f>
        <v>58012.14</v>
      </c>
      <c r="V6" s="99">
        <v>0</v>
      </c>
    </row>
    <row r="7" spans="1:22">
      <c r="B7" s="115" t="s">
        <v>124</v>
      </c>
      <c r="C7" s="111">
        <v>953286.75289800053</v>
      </c>
      <c r="D7" s="111">
        <v>1129801.1151090004</v>
      </c>
      <c r="E7" s="111">
        <v>1095472.3340190002</v>
      </c>
      <c r="F7" s="111">
        <v>853220.47718099994</v>
      </c>
      <c r="G7" s="111">
        <v>15042.059238000307</v>
      </c>
      <c r="H7" s="111">
        <v>-592732.92055399995</v>
      </c>
      <c r="I7" s="111">
        <v>-1678391.1285159995</v>
      </c>
      <c r="J7" s="111">
        <f>Jan!I55</f>
        <v>-1331000.4574219999</v>
      </c>
      <c r="K7" s="111">
        <f>Feb!$I$55</f>
        <v>-1492728.8649899999</v>
      </c>
      <c r="L7" s="111">
        <f>Mar!I55</f>
        <v>-772819.73601999972</v>
      </c>
      <c r="M7" s="111">
        <f>Apr!I55</f>
        <v>-46824.414412000682</v>
      </c>
      <c r="N7" s="111">
        <f>May!I55</f>
        <v>890572.34156599978</v>
      </c>
      <c r="O7" s="111">
        <f>Jun!I55</f>
        <v>938461.95200199937</v>
      </c>
      <c r="Q7" s="32" t="s">
        <v>143</v>
      </c>
      <c r="R7" s="76">
        <v>191010</v>
      </c>
      <c r="S7" s="1" t="s">
        <v>138</v>
      </c>
      <c r="T7" s="1" t="s">
        <v>139</v>
      </c>
      <c r="U7" s="104">
        <f>IF((SUMIF(C3:O3,Q4,C6:O6)+SUMIF(C3:O3,Q4,C7:O7)+SUMIF(C3:O3,Q4,C8:O8))&gt;0,(SUMIF(C3:O3,Q4,C6:O6)+SUMIF(C3:O3,Q4,C7:O7)+SUMIF(C3:O3,Q4,C8:O8)),0)</f>
        <v>0</v>
      </c>
      <c r="V7" s="99">
        <f>IF((SUMIF(C3:O3,Q4,C6:O6)+SUMIF(C3:O3,Q4,C7:O7)+SUMIF(C3:O3,Q4,C8:O8))&lt;0,-(SUMIF(C3:O3,Q4,C6:O6)+SUMIF(C3:O3,Q4,C7:O7)++SUMIF(C3:O3,Q4,C8:O8)),0)</f>
        <v>34250.586644000708</v>
      </c>
    </row>
    <row r="8" spans="1:22">
      <c r="B8" s="115" t="s">
        <v>127</v>
      </c>
      <c r="C8" s="109">
        <v>-46101.69</v>
      </c>
      <c r="D8" s="109">
        <f t="shared" ref="D8:F8" si="5">ROUND(((D5)*(D4/12))+((SUM(D6:D7)/2)*(D4/12)),2)</f>
        <v>-50540.18</v>
      </c>
      <c r="E8" s="109">
        <f>ROUND(((E5)*(E4/12))+((SUM(E6:E7)/2)*(E4/12)),2)</f>
        <v>-54174.23</v>
      </c>
      <c r="F8" s="109">
        <f t="shared" si="5"/>
        <v>-59202.79</v>
      </c>
      <c r="G8" s="109">
        <f>ROUND(((G5)*(G4/12))+((SUM(G6:G7)/2)*(G4/12)),2)</f>
        <v>-71650.12</v>
      </c>
      <c r="H8" s="109">
        <f>ROUND(((H5+H9+H10+H11)*(H4/12))+((SUM(H6:H7)/2)*(H4/12)),2)</f>
        <v>-26920.61</v>
      </c>
      <c r="I8" s="109">
        <f>ROUND(((I5)*(I4/12))+((SUM(I6:I7)/2)*(I4/12)),2)</f>
        <v>-33791.47</v>
      </c>
      <c r="J8" s="109">
        <f t="shared" ref="J8:M8" si="6">ROUND(((J5)*(J4/12))+((SUM(J6:J7)/2)*(J4/12)),2)</f>
        <v>-43012.9</v>
      </c>
      <c r="K8" s="109">
        <f t="shared" si="6"/>
        <v>-46825.06</v>
      </c>
      <c r="L8" s="109">
        <f t="shared" si="6"/>
        <v>-47881.06</v>
      </c>
      <c r="M8" s="109">
        <f t="shared" si="6"/>
        <v>-53973.95</v>
      </c>
      <c r="N8" s="109">
        <f>ROUND(((N5)*(N4/12))+((SUM(N6:N7)/2)*(N4/12)),2)</f>
        <v>-57251.61</v>
      </c>
      <c r="O8" s="109">
        <f>ROUND(((O5)*(O4/12))+((SUM(O6:O7)/2)*(O4/12)),2)</f>
        <v>-58012.14</v>
      </c>
      <c r="Q8" s="32" t="s">
        <v>144</v>
      </c>
      <c r="R8" s="76">
        <v>805120</v>
      </c>
      <c r="S8" s="1" t="s">
        <v>138</v>
      </c>
      <c r="T8" s="1" t="s">
        <v>139</v>
      </c>
      <c r="U8" s="104">
        <f>IF((SUMIF(C3:O3,Q4,C6:O6)+SUMIF(C3:O3,Q4,C7:O7))&lt;0,-(SUMIF(C3:O3,Q4,C6:O6)+SUMIF(C3:O3,Q4,C7:O7)),0)</f>
        <v>0</v>
      </c>
      <c r="V8" s="99">
        <f>IF((SUMIF(C3:O3,Q4,C6:O6)+SUMIF(C3:O3,Q4,C7:O7))&gt;0,(SUMIF(C3:O3,Q4,C6:O6)+SUMIF(C3:O3,Q4,C7:O7)),0)</f>
        <v>23761.553355999291</v>
      </c>
    </row>
    <row r="9" spans="1:22">
      <c r="B9" s="115" t="s">
        <v>130</v>
      </c>
      <c r="C9" s="111">
        <v>0</v>
      </c>
      <c r="D9" s="111">
        <v>0</v>
      </c>
      <c r="E9" s="111">
        <v>0</v>
      </c>
      <c r="F9" s="111">
        <v>0</v>
      </c>
      <c r="G9" s="111">
        <v>0</v>
      </c>
      <c r="H9" s="142">
        <v>9937543.9160110056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v>0</v>
      </c>
      <c r="Q9" s="32" t="s">
        <v>3</v>
      </c>
      <c r="R9" s="76">
        <v>191010</v>
      </c>
      <c r="S9" s="1" t="s">
        <v>138</v>
      </c>
      <c r="T9" s="1" t="s">
        <v>139</v>
      </c>
      <c r="U9" s="104">
        <f>IF((SUMIF(C3:O3,Q4,C9:O9)+SUMIF(C3:O3,Q4,C10:O10)+SUMIF(C3:O3,Q4,C11:O11)+SUMIF(C3:O3,Q4,C12:O12))&gt;0,(SUMIF(C3:O3,Q4,C9:O9)+SUMIF(C3:O3,Q4,C10:O10)+SUMIF(C3:O3,Q4,C11:O11)+SUMIF(C3:O3,Q4,C12:O12)),0)</f>
        <v>0</v>
      </c>
      <c r="V9" s="99">
        <v>0</v>
      </c>
    </row>
    <row r="10" spans="1:22" ht="16.5" thickBot="1">
      <c r="B10" s="115" t="s">
        <v>131</v>
      </c>
      <c r="C10" s="111">
        <v>0</v>
      </c>
      <c r="D10" s="111">
        <v>0</v>
      </c>
      <c r="E10" s="111">
        <v>0</v>
      </c>
      <c r="F10" s="111">
        <v>0</v>
      </c>
      <c r="G10" s="111">
        <v>0</v>
      </c>
      <c r="H10" s="143">
        <v>4395506.8166949991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v>0</v>
      </c>
      <c r="Q10" s="33" t="str">
        <f>Q9</f>
        <v>Tracker Transfer</v>
      </c>
      <c r="R10" s="110">
        <f>R37</f>
        <v>191000</v>
      </c>
      <c r="S10" s="110" t="str">
        <f>S37</f>
        <v>GD</v>
      </c>
      <c r="T10" s="110" t="str">
        <f>T37</f>
        <v>WA</v>
      </c>
      <c r="U10" s="100">
        <v>0</v>
      </c>
      <c r="V10" s="105">
        <f>U9</f>
        <v>0</v>
      </c>
    </row>
    <row r="11" spans="1:22" ht="16.5" thickBot="1">
      <c r="B11" s="115" t="s">
        <v>132</v>
      </c>
      <c r="C11" s="111">
        <v>0</v>
      </c>
      <c r="D11" s="111">
        <v>0</v>
      </c>
      <c r="E11" s="111">
        <v>0</v>
      </c>
      <c r="F11" s="111">
        <v>0</v>
      </c>
      <c r="G11" s="111">
        <v>0</v>
      </c>
      <c r="H11" s="143">
        <v>438126.67</v>
      </c>
      <c r="I11" s="111">
        <v>0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v>0</v>
      </c>
      <c r="Q11" s="144"/>
      <c r="R11" s="145"/>
      <c r="S11" s="146"/>
      <c r="T11" s="146"/>
      <c r="U11" s="146" t="s">
        <v>93</v>
      </c>
      <c r="V11" s="147">
        <f>SUM(U5:U10)-SUM(V5:V10)</f>
        <v>0</v>
      </c>
    </row>
    <row r="12" spans="1:22">
      <c r="B12" s="115" t="s">
        <v>86</v>
      </c>
      <c r="C12" s="111">
        <v>0</v>
      </c>
      <c r="D12" s="111">
        <v>0</v>
      </c>
      <c r="E12" s="111">
        <v>0</v>
      </c>
      <c r="F12" s="111">
        <v>0</v>
      </c>
      <c r="G12" s="111">
        <v>0</v>
      </c>
      <c r="H12" s="148">
        <v>35.15</v>
      </c>
      <c r="I12" s="111">
        <v>0</v>
      </c>
      <c r="J12" s="111">
        <v>0</v>
      </c>
      <c r="K12" s="111">
        <v>0</v>
      </c>
      <c r="L12" s="111">
        <v>0</v>
      </c>
      <c r="M12" s="111">
        <v>0</v>
      </c>
      <c r="N12" s="111">
        <v>0</v>
      </c>
      <c r="O12" s="111">
        <v>0</v>
      </c>
    </row>
    <row r="13" spans="1:22" ht="16.5" thickBot="1">
      <c r="B13" s="115" t="s">
        <v>24</v>
      </c>
      <c r="C13" s="170">
        <v>-14771177.38731979</v>
      </c>
      <c r="D13" s="170">
        <f t="shared" ref="D13:O13" si="7">SUM(D5:D12)</f>
        <v>-15909772.702550791</v>
      </c>
      <c r="E13" s="170">
        <f t="shared" si="7"/>
        <v>-16977268.897435792</v>
      </c>
      <c r="F13" s="170">
        <f t="shared" si="7"/>
        <v>-18962414.798894793</v>
      </c>
      <c r="G13" s="170">
        <f t="shared" si="7"/>
        <v>-21954910.563472789</v>
      </c>
      <c r="H13" s="171">
        <f t="shared" si="7"/>
        <v>-8189815.5396147836</v>
      </c>
      <c r="I13" s="170">
        <f t="shared" si="7"/>
        <v>-11107523.78934879</v>
      </c>
      <c r="J13" s="170">
        <f t="shared" si="7"/>
        <v>-13225129.045603791</v>
      </c>
      <c r="K13" s="170">
        <f t="shared" si="7"/>
        <v>-13264083.729049791</v>
      </c>
      <c r="L13" s="170">
        <f t="shared" si="7"/>
        <v>-13822513.408797791</v>
      </c>
      <c r="M13" s="170">
        <f t="shared" si="7"/>
        <v>-15210763.179049792</v>
      </c>
      <c r="N13" s="170">
        <f t="shared" si="7"/>
        <v>-15585609.433038792</v>
      </c>
      <c r="O13" s="170">
        <f t="shared" si="7"/>
        <v>-15619860.019682793</v>
      </c>
    </row>
    <row r="14" spans="1:22" ht="16.5" thickTop="1">
      <c r="B14" s="115" t="s">
        <v>129</v>
      </c>
    </row>
    <row r="15" spans="1:22">
      <c r="B15" s="115" t="s">
        <v>122</v>
      </c>
    </row>
    <row r="16" spans="1:22">
      <c r="A16" s="134" t="s">
        <v>135</v>
      </c>
    </row>
    <row r="17" spans="1:24">
      <c r="A17" s="134" t="s">
        <v>161</v>
      </c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</row>
    <row r="18" spans="1:24">
      <c r="A18" s="122">
        <v>191000</v>
      </c>
      <c r="B18" s="135" t="s">
        <v>125</v>
      </c>
      <c r="C18" s="122">
        <v>201706</v>
      </c>
      <c r="D18" s="122">
        <f t="shared" ref="D18" si="8">C18+1</f>
        <v>201707</v>
      </c>
      <c r="E18" s="122">
        <f t="shared" ref="E18" si="9">D18+1</f>
        <v>201708</v>
      </c>
      <c r="F18" s="122">
        <f t="shared" ref="F18" si="10">E18+1</f>
        <v>201709</v>
      </c>
      <c r="G18" s="122">
        <f t="shared" ref="G18" si="11">F18+1</f>
        <v>201710</v>
      </c>
      <c r="H18" s="122">
        <f t="shared" ref="H18" si="12">G18+1</f>
        <v>201711</v>
      </c>
      <c r="I18" s="122">
        <f t="shared" ref="I18" si="13">H18+1</f>
        <v>201712</v>
      </c>
      <c r="J18" s="122">
        <f t="shared" ref="J18:O18" si="14">J3</f>
        <v>201801</v>
      </c>
      <c r="K18" s="122">
        <f t="shared" si="14"/>
        <v>201802</v>
      </c>
      <c r="L18" s="122">
        <f t="shared" si="14"/>
        <v>201803</v>
      </c>
      <c r="M18" s="122">
        <f t="shared" si="14"/>
        <v>201804</v>
      </c>
      <c r="N18" s="122">
        <f t="shared" si="14"/>
        <v>201805</v>
      </c>
      <c r="O18" s="122">
        <f t="shared" si="14"/>
        <v>201806</v>
      </c>
    </row>
    <row r="19" spans="1:24">
      <c r="A19" s="134"/>
      <c r="B19" s="115" t="s">
        <v>15</v>
      </c>
      <c r="C19" s="112">
        <v>2542069</v>
      </c>
      <c r="D19" s="112">
        <v>2070483</v>
      </c>
      <c r="E19" s="112">
        <v>2080707</v>
      </c>
      <c r="F19" s="112">
        <v>3147236</v>
      </c>
      <c r="G19" s="112">
        <v>8835836</v>
      </c>
      <c r="H19" s="112">
        <v>14838696</v>
      </c>
      <c r="I19" s="112">
        <v>22763596</v>
      </c>
      <c r="J19" s="112">
        <f>Jan!G23</f>
        <v>20257484</v>
      </c>
      <c r="K19" s="112">
        <f>Feb!G23</f>
        <v>18179866</v>
      </c>
      <c r="L19" s="112">
        <f>Mar!G23</f>
        <v>15771469</v>
      </c>
      <c r="M19" s="112">
        <f>Apr!G23</f>
        <v>9759881</v>
      </c>
      <c r="N19" s="112">
        <f>May!G23</f>
        <v>3286813</v>
      </c>
      <c r="O19" s="112">
        <f>Jun!G23</f>
        <v>2630854</v>
      </c>
    </row>
    <row r="20" spans="1:24">
      <c r="A20" s="134"/>
      <c r="B20" s="115" t="s">
        <v>156</v>
      </c>
      <c r="C20" s="112">
        <v>3619</v>
      </c>
      <c r="D20" s="112">
        <v>2296</v>
      </c>
      <c r="E20" s="112">
        <v>2393</v>
      </c>
      <c r="F20" s="112">
        <v>3920</v>
      </c>
      <c r="G20" s="112">
        <v>13952</v>
      </c>
      <c r="H20" s="112">
        <v>20740</v>
      </c>
      <c r="I20" s="112">
        <v>25043</v>
      </c>
      <c r="J20" s="112">
        <f>Jan!G24</f>
        <v>22671</v>
      </c>
      <c r="K20" s="112">
        <f>Feb!G24</f>
        <v>21014</v>
      </c>
      <c r="L20" s="112">
        <f>Mar!G24</f>
        <v>19043</v>
      </c>
      <c r="M20" s="112">
        <f>Apr!G24</f>
        <v>11770</v>
      </c>
      <c r="N20" s="112">
        <f>May!G24</f>
        <v>4240</v>
      </c>
      <c r="O20" s="112">
        <f>Jun!G24</f>
        <v>2604</v>
      </c>
    </row>
    <row r="21" spans="1:24">
      <c r="A21" s="134"/>
      <c r="B21" s="115" t="s">
        <v>16</v>
      </c>
      <c r="C21" s="112">
        <v>1878375</v>
      </c>
      <c r="D21" s="112">
        <v>1446879</v>
      </c>
      <c r="E21" s="112">
        <v>1463939</v>
      </c>
      <c r="F21" s="112">
        <v>2165313</v>
      </c>
      <c r="G21" s="112">
        <v>3629858</v>
      </c>
      <c r="H21" s="112">
        <v>5325716</v>
      </c>
      <c r="I21" s="112">
        <v>7830439</v>
      </c>
      <c r="J21" s="112">
        <f>Jan!G25</f>
        <v>6608892</v>
      </c>
      <c r="K21" s="112">
        <f>Feb!G25</f>
        <v>7202971</v>
      </c>
      <c r="L21" s="112">
        <f>Mar!G25</f>
        <v>5606266</v>
      </c>
      <c r="M21" s="112">
        <f>Apr!G25</f>
        <v>4266905</v>
      </c>
      <c r="N21" s="112">
        <f>May!G25</f>
        <v>2210506</v>
      </c>
      <c r="O21" s="112">
        <f>Jun!G25</f>
        <v>1922676</v>
      </c>
    </row>
    <row r="22" spans="1:24">
      <c r="A22" s="134"/>
      <c r="B22" s="115" t="s">
        <v>18</v>
      </c>
      <c r="C22" s="112">
        <v>289055</v>
      </c>
      <c r="D22" s="112">
        <v>274504</v>
      </c>
      <c r="E22" s="112">
        <v>291721</v>
      </c>
      <c r="F22" s="112">
        <v>348558</v>
      </c>
      <c r="G22" s="112">
        <v>248414</v>
      </c>
      <c r="H22" s="112">
        <v>458380</v>
      </c>
      <c r="I22" s="112">
        <v>377693</v>
      </c>
      <c r="J22" s="112">
        <f>Jan!G27</f>
        <v>362835</v>
      </c>
      <c r="K22" s="112">
        <f>Feb!G27</f>
        <v>448875</v>
      </c>
      <c r="L22" s="112">
        <f>Mar!G27</f>
        <v>345298</v>
      </c>
      <c r="M22" s="112">
        <f>Apr!G27</f>
        <v>305691</v>
      </c>
      <c r="N22" s="112">
        <f>May!G27</f>
        <v>234262</v>
      </c>
      <c r="O22" s="112">
        <f>Jun!G27</f>
        <v>318982</v>
      </c>
    </row>
    <row r="23" spans="1:24">
      <c r="A23" s="134"/>
      <c r="B23" s="115" t="s">
        <v>20</v>
      </c>
      <c r="C23" s="112">
        <v>0</v>
      </c>
      <c r="D23" s="112">
        <v>0</v>
      </c>
      <c r="E23" s="112">
        <v>0</v>
      </c>
      <c r="F23" s="112">
        <v>0</v>
      </c>
      <c r="G23" s="112">
        <v>0</v>
      </c>
      <c r="H23" s="112">
        <v>0</v>
      </c>
      <c r="I23" s="112">
        <v>0</v>
      </c>
      <c r="J23" s="112">
        <f>Jan!G29</f>
        <v>0</v>
      </c>
      <c r="K23" s="112">
        <f>Feb!G29</f>
        <v>0</v>
      </c>
      <c r="L23" s="112">
        <f>Mar!G29</f>
        <v>0</v>
      </c>
      <c r="M23" s="112">
        <f>Apr!G29</f>
        <v>0</v>
      </c>
      <c r="N23" s="112">
        <f>May!G29</f>
        <v>0</v>
      </c>
      <c r="O23" s="112">
        <f>Jun!G29</f>
        <v>0</v>
      </c>
    </row>
    <row r="24" spans="1:24">
      <c r="A24" s="134"/>
      <c r="B24" s="115" t="s">
        <v>36</v>
      </c>
      <c r="C24" s="112">
        <v>2531843</v>
      </c>
      <c r="D24" s="112">
        <v>2144434</v>
      </c>
      <c r="E24" s="112">
        <v>2338940</v>
      </c>
      <c r="F24" s="112">
        <v>2209861</v>
      </c>
      <c r="G24" s="112">
        <v>3085921</v>
      </c>
      <c r="H24" s="112">
        <v>3418526</v>
      </c>
      <c r="I24" s="112">
        <v>3967685</v>
      </c>
      <c r="J24" s="112">
        <f>Jan!G31</f>
        <v>3629622</v>
      </c>
      <c r="K24" s="112">
        <f>Feb!G31</f>
        <v>3567188</v>
      </c>
      <c r="L24" s="112">
        <f>Mar!G31</f>
        <v>3349134</v>
      </c>
      <c r="M24" s="112">
        <f>Apr!G31</f>
        <v>3031741</v>
      </c>
      <c r="N24" s="112">
        <f>May!G31</f>
        <v>2500964</v>
      </c>
      <c r="O24" s="112">
        <f>Jun!G31</f>
        <v>2373589</v>
      </c>
    </row>
    <row r="25" spans="1:24" ht="16.5" thickBot="1">
      <c r="A25" s="134"/>
      <c r="B25" s="115" t="s">
        <v>5</v>
      </c>
      <c r="C25" s="127">
        <v>7244961</v>
      </c>
      <c r="D25" s="127">
        <f t="shared" ref="D25:K25" si="15">SUM(D19:D24)</f>
        <v>5938596</v>
      </c>
      <c r="E25" s="127">
        <f t="shared" si="15"/>
        <v>6177700</v>
      </c>
      <c r="F25" s="127">
        <f t="shared" si="15"/>
        <v>7874888</v>
      </c>
      <c r="G25" s="127">
        <f t="shared" si="15"/>
        <v>15813981</v>
      </c>
      <c r="H25" s="127">
        <f t="shared" si="15"/>
        <v>24062058</v>
      </c>
      <c r="I25" s="127">
        <f t="shared" si="15"/>
        <v>34964456</v>
      </c>
      <c r="J25" s="127">
        <f t="shared" si="15"/>
        <v>30881504</v>
      </c>
      <c r="K25" s="127">
        <f t="shared" si="15"/>
        <v>29419914</v>
      </c>
      <c r="L25" s="127">
        <f t="shared" ref="L25" si="16">SUM(L19:L24)</f>
        <v>25091210</v>
      </c>
      <c r="M25" s="127">
        <f>SUM(M19:M24)</f>
        <v>17375988</v>
      </c>
      <c r="N25" s="127">
        <f>SUM(N19:N24)</f>
        <v>8236785</v>
      </c>
      <c r="O25" s="127">
        <f>SUM(O19:O24)</f>
        <v>7248705</v>
      </c>
    </row>
    <row r="26" spans="1:24" ht="16.5" thickTop="1">
      <c r="A26" s="134"/>
      <c r="B26" s="115" t="s">
        <v>136</v>
      </c>
      <c r="C26" s="113">
        <v>7244961</v>
      </c>
      <c r="D26" s="113">
        <v>5938596</v>
      </c>
      <c r="E26" s="113">
        <v>6177700</v>
      </c>
      <c r="F26" s="113">
        <v>7874888</v>
      </c>
      <c r="G26" s="113">
        <v>15813981</v>
      </c>
      <c r="H26" s="113">
        <v>24062058</v>
      </c>
      <c r="I26" s="113">
        <v>34964456</v>
      </c>
      <c r="J26" s="113">
        <v>30881504</v>
      </c>
      <c r="K26" s="113">
        <v>29419914</v>
      </c>
      <c r="L26" s="113">
        <v>25091210</v>
      </c>
      <c r="M26" s="113">
        <v>17375988</v>
      </c>
      <c r="N26" s="113">
        <v>8236785</v>
      </c>
      <c r="O26" s="113">
        <v>7248705</v>
      </c>
      <c r="P26" s="149"/>
    </row>
    <row r="27" spans="1:24">
      <c r="A27" s="134" t="s">
        <v>6</v>
      </c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W27" s="132"/>
      <c r="X27" s="132"/>
    </row>
    <row r="28" spans="1:24">
      <c r="A28" s="122">
        <v>191000</v>
      </c>
      <c r="B28" s="135" t="s">
        <v>125</v>
      </c>
      <c r="C28" s="122">
        <v>201706</v>
      </c>
      <c r="D28" s="122">
        <f t="shared" ref="D28" si="17">C28+1</f>
        <v>201707</v>
      </c>
      <c r="E28" s="122">
        <f t="shared" ref="E28" si="18">D28+1</f>
        <v>201708</v>
      </c>
      <c r="F28" s="122">
        <f t="shared" ref="F28" si="19">E28+1</f>
        <v>201709</v>
      </c>
      <c r="G28" s="122">
        <f t="shared" ref="G28" si="20">F28+1</f>
        <v>201710</v>
      </c>
      <c r="H28" s="122">
        <f t="shared" ref="H28" si="21">G28+1</f>
        <v>201711</v>
      </c>
      <c r="I28" s="122">
        <f t="shared" ref="I28" si="22">H28+1</f>
        <v>201712</v>
      </c>
      <c r="J28" s="122">
        <f t="shared" ref="J28:O28" si="23">J3</f>
        <v>201801</v>
      </c>
      <c r="K28" s="122">
        <f t="shared" si="23"/>
        <v>201802</v>
      </c>
      <c r="L28" s="122">
        <f t="shared" si="23"/>
        <v>201803</v>
      </c>
      <c r="M28" s="122">
        <f t="shared" si="23"/>
        <v>201804</v>
      </c>
      <c r="N28" s="122">
        <f t="shared" si="23"/>
        <v>201805</v>
      </c>
      <c r="O28" s="122">
        <f t="shared" si="23"/>
        <v>201806</v>
      </c>
      <c r="W28" s="132"/>
      <c r="X28" s="132"/>
    </row>
    <row r="29" spans="1:24">
      <c r="A29" s="134"/>
      <c r="B29" s="115" t="s">
        <v>15</v>
      </c>
      <c r="C29" s="150">
        <v>9.1740000000000002E-2</v>
      </c>
      <c r="D29" s="150">
        <v>9.1740000000000002E-2</v>
      </c>
      <c r="E29" s="150">
        <v>9.1740000000000002E-2</v>
      </c>
      <c r="F29" s="150">
        <v>9.1740000000000002E-2</v>
      </c>
      <c r="G29" s="150">
        <v>9.1740000000000002E-2</v>
      </c>
      <c r="H29" s="129" t="s">
        <v>158</v>
      </c>
      <c r="I29" s="129" t="s">
        <v>158</v>
      </c>
      <c r="J29" s="129">
        <v>9.0670000000000001E-2</v>
      </c>
      <c r="K29" s="129">
        <v>9.0670000000000001E-2</v>
      </c>
      <c r="L29" s="129">
        <v>9.0670000000000001E-2</v>
      </c>
      <c r="M29" s="129">
        <v>9.0670000000000001E-2</v>
      </c>
      <c r="N29" s="129">
        <v>9.0670000000000001E-2</v>
      </c>
      <c r="O29" s="129">
        <v>9.0670000000000001E-2</v>
      </c>
    </row>
    <row r="30" spans="1:24">
      <c r="A30" s="134"/>
      <c r="B30" s="115" t="s">
        <v>156</v>
      </c>
      <c r="C30" s="150">
        <v>9.1740000000000002E-2</v>
      </c>
      <c r="D30" s="150">
        <v>9.1740000000000002E-2</v>
      </c>
      <c r="E30" s="150">
        <v>9.1740000000000002E-2</v>
      </c>
      <c r="F30" s="150">
        <v>9.1740000000000002E-2</v>
      </c>
      <c r="G30" s="150">
        <v>9.1740000000000002E-2</v>
      </c>
      <c r="H30" s="129" t="s">
        <v>158</v>
      </c>
      <c r="I30" s="129" t="s">
        <v>158</v>
      </c>
      <c r="J30" s="129">
        <v>9.0670000000000001E-2</v>
      </c>
      <c r="K30" s="129">
        <v>9.0670000000000001E-2</v>
      </c>
      <c r="L30" s="129">
        <v>9.0670000000000001E-2</v>
      </c>
      <c r="M30" s="129">
        <v>9.0670000000000001E-2</v>
      </c>
      <c r="N30" s="129">
        <v>9.0670000000000001E-2</v>
      </c>
      <c r="O30" s="129">
        <v>9.0670000000000001E-2</v>
      </c>
      <c r="Q30" s="132"/>
      <c r="R30" s="151"/>
      <c r="S30" s="132"/>
      <c r="T30" s="132"/>
      <c r="U30" s="132"/>
      <c r="V30" s="132"/>
    </row>
    <row r="31" spans="1:24">
      <c r="A31" s="134"/>
      <c r="B31" s="115" t="s">
        <v>16</v>
      </c>
      <c r="C31" s="150">
        <v>7.2489999999999999E-2</v>
      </c>
      <c r="D31" s="150">
        <v>7.2489999999999999E-2</v>
      </c>
      <c r="E31" s="150">
        <v>7.2489999999999999E-2</v>
      </c>
      <c r="F31" s="150">
        <v>7.2489999999999999E-2</v>
      </c>
      <c r="G31" s="150">
        <v>7.2489999999999999E-2</v>
      </c>
      <c r="H31" s="129" t="s">
        <v>158</v>
      </c>
      <c r="I31" s="129" t="s">
        <v>158</v>
      </c>
      <c r="J31" s="129">
        <v>7.4749999999999997E-2</v>
      </c>
      <c r="K31" s="129">
        <v>7.4749999999999997E-2</v>
      </c>
      <c r="L31" s="129">
        <v>7.4749999999999997E-2</v>
      </c>
      <c r="M31" s="129">
        <v>7.4749999999999997E-2</v>
      </c>
      <c r="N31" s="129">
        <v>7.4749999999999997E-2</v>
      </c>
      <c r="O31" s="129">
        <v>7.4749999999999997E-2</v>
      </c>
    </row>
    <row r="32" spans="1:24">
      <c r="A32" s="134"/>
      <c r="B32" s="115" t="s">
        <v>18</v>
      </c>
      <c r="C32" s="150">
        <v>4.4479999999999999E-2</v>
      </c>
      <c r="D32" s="150">
        <v>4.4479999999999999E-2</v>
      </c>
      <c r="E32" s="150">
        <v>4.4479999999999999E-2</v>
      </c>
      <c r="F32" s="150">
        <v>4.4479999999999999E-2</v>
      </c>
      <c r="G32" s="150">
        <v>4.4479999999999999E-2</v>
      </c>
      <c r="H32" s="129" t="s">
        <v>158</v>
      </c>
      <c r="I32" s="129" t="s">
        <v>158</v>
      </c>
      <c r="J32" s="129">
        <v>4.7449999999999999E-2</v>
      </c>
      <c r="K32" s="129">
        <v>4.7449999999999999E-2</v>
      </c>
      <c r="L32" s="129">
        <v>4.7449999999999999E-2</v>
      </c>
      <c r="M32" s="129">
        <v>4.7449999999999999E-2</v>
      </c>
      <c r="N32" s="129">
        <v>4.7449999999999999E-2</v>
      </c>
      <c r="O32" s="129">
        <v>4.7449999999999999E-2</v>
      </c>
    </row>
    <row r="33" spans="1:36" ht="16.5" thickBot="1">
      <c r="A33" s="134"/>
      <c r="B33" s="115" t="s">
        <v>20</v>
      </c>
      <c r="C33" s="150">
        <v>8.8340000000000002E-2</v>
      </c>
      <c r="D33" s="150">
        <v>8.8340000000000002E-2</v>
      </c>
      <c r="E33" s="150">
        <v>8.8340000000000002E-2</v>
      </c>
      <c r="F33" s="150">
        <v>8.8340000000000002E-2</v>
      </c>
      <c r="G33" s="150">
        <v>8.8340000000000002E-2</v>
      </c>
      <c r="H33" s="129" t="s">
        <v>158</v>
      </c>
      <c r="I33" s="129" t="s">
        <v>158</v>
      </c>
      <c r="J33" s="129" t="s">
        <v>171</v>
      </c>
      <c r="K33" s="129" t="s">
        <v>171</v>
      </c>
      <c r="L33" s="129" t="s">
        <v>171</v>
      </c>
      <c r="M33" s="129" t="s">
        <v>171</v>
      </c>
      <c r="N33" s="129" t="s">
        <v>171</v>
      </c>
      <c r="O33" s="129" t="s">
        <v>171</v>
      </c>
    </row>
    <row r="34" spans="1:36" ht="16.5" thickBot="1">
      <c r="A34" s="134"/>
      <c r="B34" s="115" t="s">
        <v>36</v>
      </c>
      <c r="C34" s="150">
        <v>0</v>
      </c>
      <c r="D34" s="150">
        <v>0</v>
      </c>
      <c r="E34" s="150">
        <v>0</v>
      </c>
      <c r="F34" s="150">
        <v>0</v>
      </c>
      <c r="G34" s="150">
        <v>0</v>
      </c>
      <c r="H34" s="129" t="s">
        <v>158</v>
      </c>
      <c r="I34" s="129" t="s">
        <v>158</v>
      </c>
      <c r="J34" s="129" t="s">
        <v>171</v>
      </c>
      <c r="K34" s="129" t="s">
        <v>171</v>
      </c>
      <c r="L34" s="129" t="s">
        <v>171</v>
      </c>
      <c r="M34" s="129" t="s">
        <v>171</v>
      </c>
      <c r="N34" s="129" t="s">
        <v>171</v>
      </c>
      <c r="O34" s="129" t="s">
        <v>171</v>
      </c>
      <c r="Q34" s="152">
        <f>Q4</f>
        <v>201806</v>
      </c>
      <c r="R34" s="138"/>
      <c r="S34" s="139"/>
      <c r="T34" s="139"/>
      <c r="U34" s="139"/>
      <c r="V34" s="140"/>
    </row>
    <row r="35" spans="1:36">
      <c r="A35" s="134" t="s">
        <v>140</v>
      </c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Q35" s="30" t="s">
        <v>145</v>
      </c>
      <c r="R35" s="141">
        <v>419600</v>
      </c>
      <c r="S35" s="31" t="s">
        <v>138</v>
      </c>
      <c r="T35" s="31" t="s">
        <v>139</v>
      </c>
      <c r="U35" s="102">
        <v>0</v>
      </c>
      <c r="V35" s="103">
        <f>IF(SUMIF(C3:L3,Q4,C40:L40)&gt;0,SUMIF(C3:L3,Q4,C40:L40),0)</f>
        <v>0</v>
      </c>
    </row>
    <row r="36" spans="1:36" s="134" customFormat="1">
      <c r="A36" s="122">
        <v>191000</v>
      </c>
      <c r="B36" s="135" t="s">
        <v>125</v>
      </c>
      <c r="C36" s="122">
        <v>201706</v>
      </c>
      <c r="D36" s="122">
        <f t="shared" ref="D36" si="24">C36+1</f>
        <v>201707</v>
      </c>
      <c r="E36" s="122">
        <f t="shared" ref="E36" si="25">D36+1</f>
        <v>201708</v>
      </c>
      <c r="F36" s="122">
        <f t="shared" ref="F36" si="26">E36+1</f>
        <v>201709</v>
      </c>
      <c r="G36" s="122">
        <f t="shared" ref="G36" si="27">F36+1</f>
        <v>201710</v>
      </c>
      <c r="H36" s="122">
        <f t="shared" ref="H36" si="28">G36+1</f>
        <v>201711</v>
      </c>
      <c r="I36" s="122">
        <f t="shared" ref="I36" si="29">H36+1</f>
        <v>201712</v>
      </c>
      <c r="J36" s="122">
        <f t="shared" ref="J36:O37" si="30">J3</f>
        <v>201801</v>
      </c>
      <c r="K36" s="122">
        <f t="shared" si="30"/>
        <v>201802</v>
      </c>
      <c r="L36" s="122">
        <f t="shared" si="30"/>
        <v>201803</v>
      </c>
      <c r="M36" s="122">
        <f t="shared" si="30"/>
        <v>201804</v>
      </c>
      <c r="N36" s="122">
        <f t="shared" si="30"/>
        <v>201805</v>
      </c>
      <c r="O36" s="122">
        <f t="shared" si="30"/>
        <v>201806</v>
      </c>
      <c r="P36" s="136"/>
      <c r="Q36" s="32" t="s">
        <v>146</v>
      </c>
      <c r="R36" s="76">
        <v>431600</v>
      </c>
      <c r="S36" s="1" t="s">
        <v>138</v>
      </c>
      <c r="T36" s="1" t="s">
        <v>139</v>
      </c>
      <c r="U36" s="104">
        <f>IF(SUMIF(C36:O36,Q34,C40:O40)&lt;0,-SUMIF(C36:O36,Q34,C40:O40),0)</f>
        <v>1940.4921498586184</v>
      </c>
      <c r="V36" s="99">
        <v>0</v>
      </c>
      <c r="X36" s="111"/>
    </row>
    <row r="37" spans="1:36" s="134" customFormat="1">
      <c r="B37" s="135" t="s">
        <v>126</v>
      </c>
      <c r="C37" s="121">
        <v>3.7100000000000001E-2</v>
      </c>
      <c r="D37" s="121">
        <v>3.9600000000000003E-2</v>
      </c>
      <c r="E37" s="121">
        <v>3.9600000000000003E-2</v>
      </c>
      <c r="F37" s="121">
        <v>3.9600000000000003E-2</v>
      </c>
      <c r="G37" s="121">
        <v>4.2099999999999999E-2</v>
      </c>
      <c r="H37" s="121">
        <v>4.2099999999999999E-2</v>
      </c>
      <c r="I37" s="121">
        <v>4.2099999999999999E-2</v>
      </c>
      <c r="J37" s="121">
        <f t="shared" si="30"/>
        <v>4.2500000000000003E-2</v>
      </c>
      <c r="K37" s="121">
        <f t="shared" si="30"/>
        <v>4.2500000000000003E-2</v>
      </c>
      <c r="L37" s="121">
        <f t="shared" si="30"/>
        <v>4.2500000000000003E-2</v>
      </c>
      <c r="M37" s="121">
        <f t="shared" si="30"/>
        <v>4.4699999999999997E-2</v>
      </c>
      <c r="N37" s="121">
        <f t="shared" si="30"/>
        <v>4.4699999999999997E-2</v>
      </c>
      <c r="O37" s="121">
        <f t="shared" si="30"/>
        <v>4.4699999999999997E-2</v>
      </c>
      <c r="P37" s="136"/>
      <c r="Q37" s="32" t="s">
        <v>147</v>
      </c>
      <c r="R37" s="76">
        <v>191000</v>
      </c>
      <c r="S37" s="1" t="s">
        <v>138</v>
      </c>
      <c r="T37" s="1" t="s">
        <v>139</v>
      </c>
      <c r="U37" s="104">
        <f>IF((SUMIF(C36:O36,Q34,C39:O39)+SUMIF(C36:O36,Q34,C40:O40))&gt;0,(SUMIF(C36:O36,Q34,C39:O39)+SUMIF(C36:O36,Q34,C40:O40)),0)</f>
        <v>395690.87161014136</v>
      </c>
      <c r="V37" s="99">
        <f>IF((SUMIF(C36:O36,Q34,C39:O39)+SUMIF(C36:O36,Q34,C40:O40))&lt;0,-(SUMIF(C36:O36,Q34,C39:O39)+SUMIF(C36:O36,Q34,C40:O40)),0)</f>
        <v>0</v>
      </c>
      <c r="X37" s="111"/>
    </row>
    <row r="38" spans="1:36">
      <c r="A38" s="153"/>
      <c r="B38" s="115" t="s">
        <v>123</v>
      </c>
      <c r="C38" s="111">
        <v>-1028322.8285985981</v>
      </c>
      <c r="D38" s="111">
        <f t="shared" ref="D38" si="31">C43</f>
        <v>-648348.69566836057</v>
      </c>
      <c r="E38" s="111">
        <f t="shared" ref="E38:I38" si="32">D43</f>
        <v>-342730.3402196177</v>
      </c>
      <c r="F38" s="111">
        <f t="shared" si="32"/>
        <v>-33149.237686728884</v>
      </c>
      <c r="G38" s="111">
        <f t="shared" si="32"/>
        <v>429057.38532247738</v>
      </c>
      <c r="H38" s="111">
        <f t="shared" si="32"/>
        <v>1518525.1996199901</v>
      </c>
      <c r="I38" s="111">
        <f t="shared" si="32"/>
        <v>-11530857.693766426</v>
      </c>
      <c r="J38" s="111">
        <f t="shared" ref="J38:O38" si="33">I43</f>
        <v>-8772939.4504982252</v>
      </c>
      <c r="K38" s="111">
        <f t="shared" si="33"/>
        <v>-6449815.9096106971</v>
      </c>
      <c r="L38" s="111">
        <f t="shared" si="33"/>
        <v>-4259121.6503395056</v>
      </c>
      <c r="M38" s="111">
        <f t="shared" si="33"/>
        <v>-2403721.0809566583</v>
      </c>
      <c r="N38" s="111">
        <f t="shared" si="33"/>
        <v>-1190951.9301676266</v>
      </c>
      <c r="O38" s="111">
        <f t="shared" si="33"/>
        <v>-719753.17177493114</v>
      </c>
      <c r="Q38" s="32" t="s">
        <v>148</v>
      </c>
      <c r="R38" s="76">
        <v>805110</v>
      </c>
      <c r="S38" s="1" t="s">
        <v>138</v>
      </c>
      <c r="T38" s="1" t="s">
        <v>139</v>
      </c>
      <c r="U38" s="104">
        <f>IF((SUMIF(C36:O36,Q34,C39:O39))&lt;0,-(SUMIF(C36:O36,Q34,C39:O39)),0)</f>
        <v>0</v>
      </c>
      <c r="V38" s="99">
        <f>IF((SUMIF(C36:O36,Q34,C39:O39))&gt;0,(SUMIF(C36:O36,Q34,C39:O39)),0)</f>
        <v>397631.36375999998</v>
      </c>
      <c r="AD38" s="154" t="s">
        <v>172</v>
      </c>
      <c r="AE38" s="155"/>
      <c r="AF38" s="155"/>
      <c r="AG38" s="155"/>
      <c r="AH38" s="155"/>
      <c r="AI38" s="156"/>
    </row>
    <row r="39" spans="1:36">
      <c r="B39" s="115" t="s">
        <v>7</v>
      </c>
      <c r="C39" s="111">
        <v>382561.98726999998</v>
      </c>
      <c r="D39" s="111">
        <f t="shared" ref="D39:G39" si="34">SUMPRODUCT(D19:D24,D29:D34)</f>
        <v>307250.94208999997</v>
      </c>
      <c r="E39" s="111">
        <f t="shared" si="34"/>
        <v>310200.28219000006</v>
      </c>
      <c r="F39" s="111">
        <f t="shared" si="34"/>
        <v>461554.45064999996</v>
      </c>
      <c r="G39" s="111">
        <f t="shared" si="34"/>
        <v>1086057.4122600001</v>
      </c>
      <c r="H39" s="111">
        <v>1765228</v>
      </c>
      <c r="I39" s="111">
        <v>2662901</v>
      </c>
      <c r="J39" s="111">
        <f t="shared" ref="J39:O39" si="35">SUMPRODUCT(J19:J24,J29:J34)</f>
        <v>2350032.8516000002</v>
      </c>
      <c r="K39" s="111">
        <f t="shared" si="35"/>
        <v>2209994.9905999997</v>
      </c>
      <c r="L39" s="111">
        <f t="shared" si="35"/>
        <v>1867178.4966399998</v>
      </c>
      <c r="M39" s="111">
        <f t="shared" si="35"/>
        <v>1219451.78287</v>
      </c>
      <c r="N39" s="111">
        <f t="shared" si="35"/>
        <v>474750.83091000002</v>
      </c>
      <c r="O39" s="111">
        <f t="shared" si="35"/>
        <v>397631.36375999998</v>
      </c>
      <c r="Q39" s="32" t="s">
        <v>92</v>
      </c>
      <c r="R39" s="76">
        <f>R37</f>
        <v>191000</v>
      </c>
      <c r="S39" s="76" t="str">
        <f t="shared" ref="S39:T39" si="36">S37</f>
        <v>GD</v>
      </c>
      <c r="T39" s="76" t="str">
        <f t="shared" si="36"/>
        <v>WA</v>
      </c>
      <c r="U39" s="104">
        <v>0</v>
      </c>
      <c r="V39" s="99">
        <f>-IF(SUMIF(C36:L36,Q34,C42:L42)&lt;0,SUMIF(C36:L36,Q34,C42:L42),0)</f>
        <v>0</v>
      </c>
      <c r="AD39" s="157" t="s">
        <v>92</v>
      </c>
      <c r="AE39" s="76">
        <v>191000</v>
      </c>
      <c r="AF39" s="132" t="s">
        <v>138</v>
      </c>
      <c r="AG39" s="132" t="s">
        <v>139</v>
      </c>
      <c r="AH39" s="132">
        <v>130571.12</v>
      </c>
      <c r="AI39" s="158">
        <v>0</v>
      </c>
      <c r="AJ39" s="111">
        <f>AH39-V39</f>
        <v>130571.12</v>
      </c>
    </row>
    <row r="40" spans="1:36" ht="16.5" thickBot="1">
      <c r="B40" s="115" t="s">
        <v>2</v>
      </c>
      <c r="C40" s="109">
        <v>-2587.8543397624576</v>
      </c>
      <c r="D40" s="109">
        <f t="shared" ref="D40" si="37">((D38+D41)*(D37/12))+(((D39+D42)/2)*(D37/12))</f>
        <v>-1632.5866412570899</v>
      </c>
      <c r="E40" s="109">
        <f t="shared" ref="E40:G40" si="38">((E38+E41)*(E37/12))+(((E39+E42)/2)*(E37/12))</f>
        <v>-619.17965711123838</v>
      </c>
      <c r="F40" s="109">
        <f t="shared" si="38"/>
        <v>652.17235920629469</v>
      </c>
      <c r="G40" s="109">
        <f t="shared" si="38"/>
        <v>3410.4020375124419</v>
      </c>
      <c r="H40" s="109">
        <f t="shared" ref="H40:L40" si="39">((H38+H41)*(H37/12))+(((H39+H42)/2)*(H37/12))</f>
        <v>-43398.340680410111</v>
      </c>
      <c r="I40" s="109">
        <f t="shared" si="39"/>
        <v>-35553.876731797209</v>
      </c>
      <c r="J40" s="109">
        <f t="shared" si="39"/>
        <v>-26909.310712472885</v>
      </c>
      <c r="K40" s="109">
        <f t="shared" si="39"/>
        <v>-18930.221328808722</v>
      </c>
      <c r="L40" s="109">
        <f t="shared" si="39"/>
        <v>-11777.927257152416</v>
      </c>
      <c r="M40" s="109">
        <f>((M38+M41)*(M37/12))+(((M39+M42)/2)*(M37/12))</f>
        <v>-6682.6320809681765</v>
      </c>
      <c r="N40" s="109">
        <f>((N38+N41)*(N37/12))+(((N39+N42)/2)*(N37/12))</f>
        <v>-3552.0725173045339</v>
      </c>
      <c r="O40" s="109">
        <f>((O38+O41)*(O37/12))+(((O39+O42)/2)*(O37/12))</f>
        <v>-1940.4921498586184</v>
      </c>
      <c r="Q40" s="33" t="str">
        <f>Q39</f>
        <v>Large Customer Refund</v>
      </c>
      <c r="R40" s="110">
        <f>R38</f>
        <v>805110</v>
      </c>
      <c r="S40" s="110" t="str">
        <f t="shared" ref="S40:T40" si="40">S38</f>
        <v>GD</v>
      </c>
      <c r="T40" s="110" t="str">
        <f t="shared" si="40"/>
        <v>WA</v>
      </c>
      <c r="U40" s="100">
        <f>V39</f>
        <v>0</v>
      </c>
      <c r="V40" s="105">
        <v>0</v>
      </c>
      <c r="AD40" s="159" t="s">
        <v>92</v>
      </c>
      <c r="AE40" s="77">
        <v>805110</v>
      </c>
      <c r="AF40" s="160" t="s">
        <v>138</v>
      </c>
      <c r="AG40" s="160" t="s">
        <v>139</v>
      </c>
      <c r="AH40" s="160">
        <v>0</v>
      </c>
      <c r="AI40" s="161">
        <v>130571.12</v>
      </c>
      <c r="AJ40" s="111">
        <f>AI40-U40</f>
        <v>130571.12</v>
      </c>
    </row>
    <row r="41" spans="1:36" ht="16.5" thickBot="1">
      <c r="B41" s="115" t="s">
        <v>128</v>
      </c>
      <c r="C41" s="111">
        <v>0</v>
      </c>
      <c r="D41" s="111">
        <v>0</v>
      </c>
      <c r="E41" s="111">
        <v>0</v>
      </c>
      <c r="F41" s="111">
        <v>0</v>
      </c>
      <c r="G41" s="111">
        <v>0</v>
      </c>
      <c r="H41" s="162">
        <f>-H9-H10-H11-H12</f>
        <v>-14771212.552706005</v>
      </c>
      <c r="I41" s="111">
        <v>0</v>
      </c>
      <c r="J41" s="111">
        <v>0</v>
      </c>
      <c r="K41" s="111">
        <v>0</v>
      </c>
      <c r="L41" s="111">
        <v>0</v>
      </c>
      <c r="M41" s="111">
        <v>0</v>
      </c>
      <c r="N41" s="111">
        <v>0</v>
      </c>
      <c r="O41" s="111">
        <v>0</v>
      </c>
      <c r="Q41" s="144"/>
      <c r="R41" s="145"/>
      <c r="S41" s="146"/>
      <c r="T41" s="146"/>
      <c r="U41" s="146" t="s">
        <v>93</v>
      </c>
      <c r="V41" s="147">
        <f>SUM(U35:U40)-SUM(V35:V40)</f>
        <v>0</v>
      </c>
    </row>
    <row r="42" spans="1:36">
      <c r="B42" s="115" t="s">
        <v>86</v>
      </c>
      <c r="C42" s="111">
        <v>0</v>
      </c>
      <c r="D42" s="111">
        <v>0</v>
      </c>
      <c r="E42" s="111">
        <v>0</v>
      </c>
      <c r="F42" s="111">
        <v>0</v>
      </c>
      <c r="G42" s="111">
        <v>0</v>
      </c>
      <c r="H42" s="111">
        <v>0</v>
      </c>
      <c r="I42" s="111">
        <v>130571.12</v>
      </c>
      <c r="J42" s="111">
        <v>0</v>
      </c>
      <c r="K42" s="111">
        <f>-158.62-25.94-185.95</f>
        <v>-370.51</v>
      </c>
      <c r="L42" s="111">
        <v>0</v>
      </c>
      <c r="M42" s="111">
        <v>0</v>
      </c>
      <c r="N42" s="111">
        <v>0</v>
      </c>
      <c r="O42" s="111">
        <v>0</v>
      </c>
    </row>
    <row r="43" spans="1:36" ht="16.5" thickBot="1">
      <c r="B43" s="115" t="s">
        <v>24</v>
      </c>
      <c r="C43" s="170">
        <v>-648348.69566836057</v>
      </c>
      <c r="D43" s="170">
        <f>SUM(D38:D42)</f>
        <v>-342730.3402196177</v>
      </c>
      <c r="E43" s="170">
        <f t="shared" ref="E43:G43" si="41">SUM(E38:E42)</f>
        <v>-33149.237686728884</v>
      </c>
      <c r="F43" s="170">
        <f t="shared" si="41"/>
        <v>429057.38532247738</v>
      </c>
      <c r="G43" s="170">
        <f t="shared" si="41"/>
        <v>1518525.1996199901</v>
      </c>
      <c r="H43" s="170">
        <f t="shared" ref="H43:L43" si="42">SUM(H38:H42)</f>
        <v>-11530857.693766426</v>
      </c>
      <c r="I43" s="170">
        <f t="shared" si="42"/>
        <v>-8772939.4504982252</v>
      </c>
      <c r="J43" s="170">
        <f t="shared" si="42"/>
        <v>-6449815.9096106971</v>
      </c>
      <c r="K43" s="170">
        <f t="shared" si="42"/>
        <v>-4259121.6503395056</v>
      </c>
      <c r="L43" s="170">
        <f t="shared" si="42"/>
        <v>-2403721.0809566583</v>
      </c>
      <c r="M43" s="170">
        <f>SUM(M38:M42)</f>
        <v>-1190951.9301676266</v>
      </c>
      <c r="N43" s="170">
        <f t="shared" ref="N43:O43" si="43">SUM(N38:N42)</f>
        <v>-719753.17177493114</v>
      </c>
      <c r="O43" s="170">
        <f t="shared" si="43"/>
        <v>-324062.30016478978</v>
      </c>
      <c r="Q43" s="1"/>
      <c r="R43" s="76"/>
      <c r="S43" s="1"/>
      <c r="T43" s="1"/>
      <c r="U43" s="104"/>
      <c r="V43" s="104"/>
      <c r="W43" s="132"/>
      <c r="X43" s="132"/>
      <c r="Y43" s="132"/>
      <c r="Z43" s="132"/>
    </row>
    <row r="44" spans="1:36" ht="16.5" thickTop="1">
      <c r="B44" s="115" t="s">
        <v>129</v>
      </c>
      <c r="Q44" s="1"/>
      <c r="R44" s="76"/>
      <c r="S44" s="1"/>
      <c r="T44" s="1"/>
      <c r="U44" s="104"/>
      <c r="V44" s="104"/>
      <c r="W44" s="132"/>
      <c r="X44" s="132"/>
      <c r="Y44" s="132"/>
      <c r="Z44" s="132"/>
    </row>
    <row r="45" spans="1:36">
      <c r="B45" s="115" t="s">
        <v>122</v>
      </c>
    </row>
    <row r="47" spans="1:36" hidden="1" outlineLevel="1">
      <c r="A47" s="134" t="s">
        <v>162</v>
      </c>
      <c r="C47" s="128"/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</row>
    <row r="48" spans="1:36" hidden="1" outlineLevel="1">
      <c r="A48" s="122">
        <v>191025</v>
      </c>
      <c r="B48" s="135" t="s">
        <v>125</v>
      </c>
      <c r="C48" s="122">
        <v>201706</v>
      </c>
      <c r="D48" s="122">
        <f t="shared" ref="D48" si="44">C48+1</f>
        <v>201707</v>
      </c>
      <c r="E48" s="122">
        <f t="shared" ref="E48" si="45">D48+1</f>
        <v>201708</v>
      </c>
      <c r="F48" s="122">
        <f t="shared" ref="F48" si="46">E48+1</f>
        <v>201709</v>
      </c>
      <c r="G48" s="122">
        <f t="shared" ref="G48" si="47">F48+1</f>
        <v>201710</v>
      </c>
      <c r="H48" s="122">
        <f t="shared" ref="H48" si="48">G48+1</f>
        <v>201711</v>
      </c>
      <c r="I48" s="122">
        <f t="shared" ref="I48" si="49">H48+1</f>
        <v>201712</v>
      </c>
      <c r="J48" s="122">
        <f t="shared" ref="J48:O48" si="50">J3</f>
        <v>201801</v>
      </c>
      <c r="K48" s="122">
        <f t="shared" si="50"/>
        <v>201802</v>
      </c>
      <c r="L48" s="122">
        <f t="shared" si="50"/>
        <v>201803</v>
      </c>
      <c r="M48" s="122">
        <f t="shared" si="50"/>
        <v>201804</v>
      </c>
      <c r="N48" s="122">
        <f t="shared" si="50"/>
        <v>201805</v>
      </c>
      <c r="O48" s="122">
        <f t="shared" si="50"/>
        <v>201806</v>
      </c>
    </row>
    <row r="49" spans="1:18" hidden="1" outlineLevel="1">
      <c r="A49" s="134"/>
      <c r="B49" s="115" t="s">
        <v>15</v>
      </c>
      <c r="C49" s="112">
        <v>2630854</v>
      </c>
      <c r="D49" s="112" t="e">
        <f>#REF!</f>
        <v>#REF!</v>
      </c>
      <c r="E49" s="112" t="e">
        <f>#REF!</f>
        <v>#REF!</v>
      </c>
      <c r="F49" s="112" t="e">
        <f>#REF!</f>
        <v>#REF!</v>
      </c>
      <c r="G49" s="112" t="e">
        <f>#REF!</f>
        <v>#REF!</v>
      </c>
      <c r="H49" s="112" t="e">
        <f>#REF!</f>
        <v>#REF!</v>
      </c>
      <c r="I49" s="112" t="e">
        <f>#REF!</f>
        <v>#REF!</v>
      </c>
      <c r="J49" s="112">
        <f>Jan!G23</f>
        <v>20257484</v>
      </c>
      <c r="K49" s="112">
        <f>Feb!G23</f>
        <v>18179866</v>
      </c>
      <c r="L49" s="112" t="str">
        <f>Feb!H23</f>
        <v>MAIN CALC</v>
      </c>
      <c r="M49" s="112">
        <f>Feb!I23</f>
        <v>2081351</v>
      </c>
      <c r="N49" s="112">
        <f>Feb!G23</f>
        <v>18179866</v>
      </c>
      <c r="O49" s="112" t="str">
        <f>Feb!H23</f>
        <v>MAIN CALC</v>
      </c>
    </row>
    <row r="50" spans="1:18" hidden="1" outlineLevel="1">
      <c r="A50" s="134"/>
      <c r="B50" s="115" t="s">
        <v>156</v>
      </c>
      <c r="C50" s="112">
        <v>2604</v>
      </c>
      <c r="D50" s="112" t="e">
        <f>#REF!</f>
        <v>#REF!</v>
      </c>
      <c r="E50" s="112" t="e">
        <f>#REF!</f>
        <v>#REF!</v>
      </c>
      <c r="F50" s="112" t="e">
        <f>#REF!</f>
        <v>#REF!</v>
      </c>
      <c r="G50" s="112" t="e">
        <f>#REF!</f>
        <v>#REF!</v>
      </c>
      <c r="H50" s="112" t="e">
        <f>#REF!</f>
        <v>#REF!</v>
      </c>
      <c r="I50" s="112" t="e">
        <f>#REF!</f>
        <v>#REF!</v>
      </c>
      <c r="J50" s="112">
        <f>Jan!G24</f>
        <v>22671</v>
      </c>
      <c r="K50" s="112">
        <f>Feb!G24</f>
        <v>21014</v>
      </c>
      <c r="L50" s="112" t="str">
        <f>Feb!H24</f>
        <v>MAIN CALC</v>
      </c>
      <c r="M50" s="112">
        <f>Feb!I24</f>
        <v>2402</v>
      </c>
      <c r="N50" s="112">
        <f>Feb!G24</f>
        <v>21014</v>
      </c>
      <c r="O50" s="112" t="str">
        <f>Feb!H24</f>
        <v>MAIN CALC</v>
      </c>
    </row>
    <row r="51" spans="1:18" hidden="1" outlineLevel="1">
      <c r="A51" s="134"/>
      <c r="B51" s="115" t="s">
        <v>16</v>
      </c>
      <c r="C51" s="112">
        <v>1922676</v>
      </c>
      <c r="D51" s="112" t="e">
        <f>#REF!</f>
        <v>#REF!</v>
      </c>
      <c r="E51" s="112" t="e">
        <f>#REF!</f>
        <v>#REF!</v>
      </c>
      <c r="F51" s="112" t="e">
        <f>#REF!</f>
        <v>#REF!</v>
      </c>
      <c r="G51" s="112" t="e">
        <f>#REF!</f>
        <v>#REF!</v>
      </c>
      <c r="H51" s="112" t="e">
        <f>#REF!</f>
        <v>#REF!</v>
      </c>
      <c r="I51" s="112" t="e">
        <f>#REF!</f>
        <v>#REF!</v>
      </c>
      <c r="J51" s="112">
        <f>Jan!G25</f>
        <v>6608892</v>
      </c>
      <c r="K51" s="112">
        <f>Feb!G25</f>
        <v>7202971</v>
      </c>
      <c r="L51" s="112" t="str">
        <f>Feb!H25</f>
        <v>MAIN CALC</v>
      </c>
      <c r="M51" s="112">
        <f>Feb!I25</f>
        <v>759003</v>
      </c>
      <c r="N51" s="112">
        <f>Feb!G25</f>
        <v>7202971</v>
      </c>
      <c r="O51" s="112" t="str">
        <f>Feb!H25</f>
        <v>MAIN CALC</v>
      </c>
    </row>
    <row r="52" spans="1:18" hidden="1" outlineLevel="1">
      <c r="A52" s="134"/>
      <c r="B52" s="115" t="s">
        <v>17</v>
      </c>
      <c r="C52" s="112">
        <v>6600</v>
      </c>
      <c r="D52" s="112" t="e">
        <f>#REF!</f>
        <v>#REF!</v>
      </c>
      <c r="E52" s="112" t="e">
        <f>#REF!</f>
        <v>#REF!</v>
      </c>
      <c r="F52" s="112" t="e">
        <f>#REF!</f>
        <v>#REF!</v>
      </c>
      <c r="G52" s="112" t="e">
        <f>#REF!</f>
        <v>#REF!</v>
      </c>
      <c r="H52" s="112" t="e">
        <f>#REF!</f>
        <v>#REF!</v>
      </c>
      <c r="I52" s="112" t="e">
        <f>#REF!</f>
        <v>#REF!</v>
      </c>
      <c r="J52" s="112">
        <f>Jan!G26</f>
        <v>10558</v>
      </c>
      <c r="K52" s="112">
        <f>Feb!G26</f>
        <v>21563</v>
      </c>
      <c r="L52" s="112" t="str">
        <f>Feb!H26</f>
        <v>MAIN CALC</v>
      </c>
      <c r="M52" s="112">
        <f>Feb!I26</f>
        <v>2123</v>
      </c>
      <c r="N52" s="112">
        <f>Feb!G26</f>
        <v>21563</v>
      </c>
      <c r="O52" s="112" t="str">
        <f>Feb!H26</f>
        <v>MAIN CALC</v>
      </c>
    </row>
    <row r="53" spans="1:18" hidden="1" outlineLevel="1">
      <c r="A53" s="134"/>
      <c r="B53" s="115" t="s">
        <v>18</v>
      </c>
      <c r="C53" s="112">
        <v>318982</v>
      </c>
      <c r="D53" s="112" t="e">
        <f>#REF!</f>
        <v>#REF!</v>
      </c>
      <c r="E53" s="112" t="e">
        <f>#REF!</f>
        <v>#REF!</v>
      </c>
      <c r="F53" s="112" t="e">
        <f>#REF!</f>
        <v>#REF!</v>
      </c>
      <c r="G53" s="112" t="e">
        <f>#REF!</f>
        <v>#REF!</v>
      </c>
      <c r="H53" s="112" t="e">
        <f>#REF!</f>
        <v>#REF!</v>
      </c>
      <c r="I53" s="112" t="e">
        <f>#REF!</f>
        <v>#REF!</v>
      </c>
      <c r="J53" s="112">
        <f>Jan!G27</f>
        <v>362835</v>
      </c>
      <c r="K53" s="112">
        <f>Feb!G27</f>
        <v>448875</v>
      </c>
      <c r="L53" s="112" t="str">
        <f>Feb!H27</f>
        <v>MAIN CALC</v>
      </c>
      <c r="M53" s="112">
        <f>Feb!I27</f>
        <v>48583</v>
      </c>
      <c r="N53" s="112">
        <f>Feb!G27</f>
        <v>448875</v>
      </c>
      <c r="O53" s="112" t="str">
        <f>Feb!H27</f>
        <v>MAIN CALC</v>
      </c>
    </row>
    <row r="54" spans="1:18" hidden="1" outlineLevel="1">
      <c r="A54" s="134"/>
      <c r="B54" s="115" t="s">
        <v>19</v>
      </c>
      <c r="C54" s="112">
        <v>31254</v>
      </c>
      <c r="D54" s="112" t="e">
        <f>#REF!</f>
        <v>#REF!</v>
      </c>
      <c r="E54" s="112" t="e">
        <f>#REF!</f>
        <v>#REF!</v>
      </c>
      <c r="F54" s="112" t="e">
        <f>#REF!</f>
        <v>#REF!</v>
      </c>
      <c r="G54" s="112" t="e">
        <f>#REF!</f>
        <v>#REF!</v>
      </c>
      <c r="H54" s="112" t="e">
        <f>#REF!</f>
        <v>#REF!</v>
      </c>
      <c r="I54" s="112" t="e">
        <f>#REF!</f>
        <v>#REF!</v>
      </c>
      <c r="J54" s="112">
        <f>Jan!G28</f>
        <v>65295</v>
      </c>
      <c r="K54" s="112">
        <f>Feb!G28</f>
        <v>48826</v>
      </c>
      <c r="L54" s="112" t="str">
        <f>Feb!H28</f>
        <v>MAIN CALC</v>
      </c>
      <c r="M54" s="112">
        <f>Feb!I28</f>
        <v>5622</v>
      </c>
      <c r="N54" s="112">
        <f>Feb!G28</f>
        <v>48826</v>
      </c>
      <c r="O54" s="112" t="str">
        <f>Feb!H28</f>
        <v>MAIN CALC</v>
      </c>
    </row>
    <row r="55" spans="1:18" hidden="1" outlineLevel="1">
      <c r="A55" s="134"/>
      <c r="B55" s="115" t="s">
        <v>20</v>
      </c>
      <c r="C55" s="112">
        <v>0</v>
      </c>
      <c r="D55" s="112" t="e">
        <f>#REF!</f>
        <v>#REF!</v>
      </c>
      <c r="E55" s="112" t="e">
        <f>#REF!</f>
        <v>#REF!</v>
      </c>
      <c r="F55" s="112" t="e">
        <f>#REF!</f>
        <v>#REF!</v>
      </c>
      <c r="G55" s="112" t="e">
        <f>#REF!</f>
        <v>#REF!</v>
      </c>
      <c r="H55" s="112" t="e">
        <f>#REF!</f>
        <v>#REF!</v>
      </c>
      <c r="I55" s="112" t="e">
        <f>#REF!</f>
        <v>#REF!</v>
      </c>
      <c r="J55" s="112">
        <f>Jan!G29</f>
        <v>0</v>
      </c>
      <c r="K55" s="112">
        <f>Feb!G29</f>
        <v>0</v>
      </c>
      <c r="L55" s="112" t="str">
        <f>Feb!H29</f>
        <v>MAIN CALC</v>
      </c>
      <c r="M55" s="112">
        <f>Feb!I29</f>
        <v>0</v>
      </c>
      <c r="N55" s="112">
        <f>Feb!G29</f>
        <v>0</v>
      </c>
      <c r="O55" s="112" t="str">
        <f>Feb!H29</f>
        <v>MAIN CALC</v>
      </c>
    </row>
    <row r="56" spans="1:18" hidden="1" outlineLevel="1">
      <c r="A56" s="134"/>
      <c r="B56" s="115" t="s">
        <v>21</v>
      </c>
      <c r="C56" s="112">
        <v>47470</v>
      </c>
      <c r="D56" s="112" t="e">
        <f>#REF!</f>
        <v>#REF!</v>
      </c>
      <c r="E56" s="112" t="e">
        <f>#REF!</f>
        <v>#REF!</v>
      </c>
      <c r="F56" s="112" t="e">
        <f>#REF!</f>
        <v>#REF!</v>
      </c>
      <c r="G56" s="112" t="e">
        <f>#REF!</f>
        <v>#REF!</v>
      </c>
      <c r="H56" s="112" t="e">
        <f>#REF!</f>
        <v>#REF!</v>
      </c>
      <c r="I56" s="112" t="e">
        <f>#REF!</f>
        <v>#REF!</v>
      </c>
      <c r="J56" s="112">
        <f>Jan!G30</f>
        <v>139102</v>
      </c>
      <c r="K56" s="112">
        <f>Feb!G30</f>
        <v>117328</v>
      </c>
      <c r="L56" s="112" t="str">
        <f>Feb!H30</f>
        <v>MAIN CALC</v>
      </c>
      <c r="M56" s="112">
        <f>Feb!I30</f>
        <v>7875</v>
      </c>
      <c r="N56" s="112">
        <f>Feb!G30</f>
        <v>117328</v>
      </c>
      <c r="O56" s="112" t="str">
        <f>Feb!H30</f>
        <v>MAIN CALC</v>
      </c>
    </row>
    <row r="57" spans="1:18" hidden="1" outlineLevel="1">
      <c r="A57" s="134"/>
      <c r="B57" s="115" t="s">
        <v>36</v>
      </c>
      <c r="C57" s="112">
        <v>2373589</v>
      </c>
      <c r="D57" s="112" t="e">
        <f>#REF!</f>
        <v>#REF!</v>
      </c>
      <c r="E57" s="112" t="e">
        <f>#REF!</f>
        <v>#REF!</v>
      </c>
      <c r="F57" s="112" t="e">
        <f>#REF!</f>
        <v>#REF!</v>
      </c>
      <c r="G57" s="112" t="e">
        <f>#REF!</f>
        <v>#REF!</v>
      </c>
      <c r="H57" s="112" t="e">
        <f>#REF!</f>
        <v>#REF!</v>
      </c>
      <c r="I57" s="112" t="e">
        <f>#REF!</f>
        <v>#REF!</v>
      </c>
      <c r="J57" s="112">
        <f>Jan!G31</f>
        <v>3629622</v>
      </c>
      <c r="K57" s="112">
        <f>Feb!G31</f>
        <v>3567188</v>
      </c>
      <c r="L57" s="112" t="str">
        <f>Feb!H31</f>
        <v>MAIN CALC</v>
      </c>
      <c r="M57" s="112">
        <f>Feb!I31</f>
        <v>1901</v>
      </c>
      <c r="N57" s="112">
        <f>Feb!G31</f>
        <v>3567188</v>
      </c>
      <c r="O57" s="112" t="str">
        <f>Feb!H31</f>
        <v>MAIN CALC</v>
      </c>
    </row>
    <row r="58" spans="1:18" ht="16.5" hidden="1" outlineLevel="1" thickBot="1">
      <c r="A58" s="134"/>
      <c r="B58" s="115" t="s">
        <v>5</v>
      </c>
      <c r="C58" s="127">
        <v>7334029</v>
      </c>
      <c r="D58" s="127" t="e">
        <f>SUM(D49:D57)</f>
        <v>#REF!</v>
      </c>
      <c r="E58" s="127" t="e">
        <f t="shared" ref="E58:F58" si="51">SUM(E49:E57)</f>
        <v>#REF!</v>
      </c>
      <c r="F58" s="127" t="e">
        <f t="shared" si="51"/>
        <v>#REF!</v>
      </c>
      <c r="G58" s="127" t="e">
        <f>SUM(G49:G57)</f>
        <v>#REF!</v>
      </c>
      <c r="H58" s="127" t="e">
        <f t="shared" ref="H58:I58" si="52">SUM(H49:H57)</f>
        <v>#REF!</v>
      </c>
      <c r="I58" s="127" t="e">
        <f t="shared" si="52"/>
        <v>#REF!</v>
      </c>
      <c r="J58" s="127">
        <f t="shared" ref="J58" si="53">SUM(J49:J57)</f>
        <v>31096459</v>
      </c>
      <c r="K58" s="127">
        <f>SUM(K49:K57)</f>
        <v>29607631</v>
      </c>
      <c r="L58" s="127">
        <f>SUM(L49:L57)</f>
        <v>0</v>
      </c>
      <c r="M58" s="127">
        <f>SUM(M49:M57)</f>
        <v>2908860</v>
      </c>
      <c r="N58" s="127">
        <f>SUM(N49:N57)</f>
        <v>29607631</v>
      </c>
      <c r="O58" s="127">
        <f>SUM(O49:O57)</f>
        <v>0</v>
      </c>
    </row>
    <row r="59" spans="1:18" hidden="1" outlineLevel="1">
      <c r="A59" s="134"/>
      <c r="B59" s="115" t="s">
        <v>136</v>
      </c>
      <c r="C59" s="113">
        <v>7316509</v>
      </c>
      <c r="D59" s="113">
        <v>6050612</v>
      </c>
      <c r="E59" s="113">
        <v>6226148</v>
      </c>
      <c r="F59" s="113">
        <v>7933229</v>
      </c>
      <c r="G59" s="113">
        <v>15888438</v>
      </c>
      <c r="H59" s="113">
        <v>24226314</v>
      </c>
      <c r="I59" s="113">
        <v>35147549</v>
      </c>
      <c r="J59" s="113">
        <v>31096459</v>
      </c>
      <c r="K59" s="113">
        <v>31096459</v>
      </c>
      <c r="L59" s="113">
        <v>31096459</v>
      </c>
      <c r="M59" s="113">
        <v>31096459</v>
      </c>
      <c r="N59" s="113">
        <v>31096459</v>
      </c>
      <c r="O59" s="113">
        <v>31096459</v>
      </c>
      <c r="P59" s="149"/>
    </row>
    <row r="60" spans="1:18" hidden="1" outlineLevel="1">
      <c r="A60" s="134" t="s">
        <v>6</v>
      </c>
      <c r="C60" s="128"/>
      <c r="D60" s="128"/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R60" s="163"/>
    </row>
    <row r="61" spans="1:18" hidden="1" outlineLevel="1">
      <c r="A61" s="122">
        <v>191025</v>
      </c>
      <c r="B61" s="135" t="s">
        <v>125</v>
      </c>
      <c r="C61" s="122">
        <v>201706</v>
      </c>
      <c r="D61" s="122">
        <f t="shared" ref="D61" si="54">C61+1</f>
        <v>201707</v>
      </c>
      <c r="E61" s="122">
        <f t="shared" ref="E61" si="55">D61+1</f>
        <v>201708</v>
      </c>
      <c r="F61" s="122">
        <f t="shared" ref="F61" si="56">E61+1</f>
        <v>201709</v>
      </c>
      <c r="G61" s="122">
        <f t="shared" ref="G61" si="57">F61+1</f>
        <v>201710</v>
      </c>
      <c r="H61" s="122">
        <f t="shared" ref="H61" si="58">G61+1</f>
        <v>201711</v>
      </c>
      <c r="I61" s="122">
        <f t="shared" ref="I61" si="59">H61+1</f>
        <v>201712</v>
      </c>
      <c r="J61" s="122">
        <f t="shared" ref="J61:O61" si="60">J3</f>
        <v>201801</v>
      </c>
      <c r="K61" s="122">
        <f t="shared" si="60"/>
        <v>201802</v>
      </c>
      <c r="L61" s="122">
        <f t="shared" si="60"/>
        <v>201803</v>
      </c>
      <c r="M61" s="122">
        <f t="shared" si="60"/>
        <v>201804</v>
      </c>
      <c r="N61" s="122">
        <f t="shared" si="60"/>
        <v>201805</v>
      </c>
      <c r="O61" s="122">
        <f t="shared" si="60"/>
        <v>201806</v>
      </c>
    </row>
    <row r="62" spans="1:18" hidden="1" outlineLevel="1">
      <c r="A62" s="134"/>
      <c r="B62" s="115" t="s">
        <v>15</v>
      </c>
      <c r="C62" s="150">
        <v>1.0000000000000001E-5</v>
      </c>
      <c r="D62" s="150">
        <v>1.0000000000000001E-5</v>
      </c>
      <c r="E62" s="150">
        <v>1.0000000000000001E-5</v>
      </c>
      <c r="F62" s="150">
        <v>1.0000000000000001E-5</v>
      </c>
      <c r="G62" s="150">
        <v>1.0000000000000001E-5</v>
      </c>
      <c r="H62" s="129" t="s">
        <v>158</v>
      </c>
      <c r="I62" s="129" t="s">
        <v>158</v>
      </c>
      <c r="J62" s="129" t="s">
        <v>171</v>
      </c>
      <c r="K62" s="129" t="s">
        <v>171</v>
      </c>
      <c r="L62" s="129" t="s">
        <v>171</v>
      </c>
      <c r="M62" s="129" t="s">
        <v>171</v>
      </c>
      <c r="N62" s="129" t="s">
        <v>171</v>
      </c>
      <c r="O62" s="129" t="s">
        <v>171</v>
      </c>
    </row>
    <row r="63" spans="1:18" hidden="1" outlineLevel="1">
      <c r="A63" s="134"/>
      <c r="B63" s="115" t="s">
        <v>156</v>
      </c>
      <c r="C63" s="150">
        <v>1.0000000000000001E-5</v>
      </c>
      <c r="D63" s="150">
        <v>1.0000000000000001E-5</v>
      </c>
      <c r="E63" s="150">
        <v>1.0000000000000001E-5</v>
      </c>
      <c r="F63" s="150">
        <v>1.0000000000000001E-5</v>
      </c>
      <c r="G63" s="150">
        <v>1.0000000000000001E-5</v>
      </c>
      <c r="H63" s="129" t="s">
        <v>158</v>
      </c>
      <c r="I63" s="129" t="s">
        <v>158</v>
      </c>
      <c r="J63" s="129" t="s">
        <v>171</v>
      </c>
      <c r="K63" s="129" t="s">
        <v>171</v>
      </c>
      <c r="L63" s="129" t="s">
        <v>171</v>
      </c>
      <c r="M63" s="129" t="s">
        <v>171</v>
      </c>
      <c r="N63" s="129" t="s">
        <v>171</v>
      </c>
      <c r="O63" s="129" t="s">
        <v>171</v>
      </c>
    </row>
    <row r="64" spans="1:18" hidden="1" outlineLevel="1">
      <c r="A64" s="134"/>
      <c r="B64" s="115" t="s">
        <v>16</v>
      </c>
      <c r="C64" s="150">
        <v>1.0000000000000001E-5</v>
      </c>
      <c r="D64" s="150">
        <v>1.0000000000000001E-5</v>
      </c>
      <c r="E64" s="150">
        <v>1.0000000000000001E-5</v>
      </c>
      <c r="F64" s="150">
        <v>1.0000000000000001E-5</v>
      </c>
      <c r="G64" s="150">
        <v>1.0000000000000001E-5</v>
      </c>
      <c r="H64" s="129" t="s">
        <v>158</v>
      </c>
      <c r="I64" s="129" t="s">
        <v>158</v>
      </c>
      <c r="J64" s="129" t="s">
        <v>171</v>
      </c>
      <c r="K64" s="129" t="s">
        <v>171</v>
      </c>
      <c r="L64" s="129" t="s">
        <v>171</v>
      </c>
      <c r="M64" s="129" t="s">
        <v>171</v>
      </c>
      <c r="N64" s="129" t="s">
        <v>171</v>
      </c>
      <c r="O64" s="129" t="s">
        <v>171</v>
      </c>
    </row>
    <row r="65" spans="1:24" hidden="1" outlineLevel="1">
      <c r="A65" s="134"/>
      <c r="B65" s="115" t="s">
        <v>17</v>
      </c>
      <c r="C65" s="150">
        <v>1.0000000000000001E-5</v>
      </c>
      <c r="D65" s="150">
        <v>1.0000000000000001E-5</v>
      </c>
      <c r="E65" s="150">
        <v>1.0000000000000001E-5</v>
      </c>
      <c r="F65" s="150">
        <v>1.0000000000000001E-5</v>
      </c>
      <c r="G65" s="150">
        <v>1.0000000000000001E-5</v>
      </c>
      <c r="H65" s="129" t="s">
        <v>158</v>
      </c>
      <c r="I65" s="129" t="s">
        <v>158</v>
      </c>
      <c r="J65" s="129" t="s">
        <v>171</v>
      </c>
      <c r="K65" s="129" t="s">
        <v>171</v>
      </c>
      <c r="L65" s="129" t="s">
        <v>171</v>
      </c>
      <c r="M65" s="129" t="s">
        <v>171</v>
      </c>
      <c r="N65" s="129" t="s">
        <v>171</v>
      </c>
      <c r="O65" s="129" t="s">
        <v>171</v>
      </c>
    </row>
    <row r="66" spans="1:24" hidden="1" outlineLevel="1">
      <c r="A66" s="134"/>
      <c r="B66" s="115" t="s">
        <v>18</v>
      </c>
      <c r="C66" s="150">
        <v>1.0000000000000001E-5</v>
      </c>
      <c r="D66" s="150">
        <v>1.0000000000000001E-5</v>
      </c>
      <c r="E66" s="150">
        <v>1.0000000000000001E-5</v>
      </c>
      <c r="F66" s="150">
        <v>1.0000000000000001E-5</v>
      </c>
      <c r="G66" s="150">
        <v>1.0000000000000001E-5</v>
      </c>
      <c r="H66" s="129" t="s">
        <v>158</v>
      </c>
      <c r="I66" s="129" t="s">
        <v>158</v>
      </c>
      <c r="J66" s="129" t="s">
        <v>171</v>
      </c>
      <c r="K66" s="129" t="s">
        <v>171</v>
      </c>
      <c r="L66" s="129" t="s">
        <v>171</v>
      </c>
      <c r="M66" s="129" t="s">
        <v>171</v>
      </c>
      <c r="N66" s="129" t="s">
        <v>171</v>
      </c>
      <c r="O66" s="129" t="s">
        <v>171</v>
      </c>
    </row>
    <row r="67" spans="1:24" hidden="1" outlineLevel="1">
      <c r="A67" s="134"/>
      <c r="B67" s="115" t="s">
        <v>19</v>
      </c>
      <c r="C67" s="150">
        <v>1.0000000000000001E-5</v>
      </c>
      <c r="D67" s="150">
        <v>1.0000000000000001E-5</v>
      </c>
      <c r="E67" s="150">
        <v>1.0000000000000001E-5</v>
      </c>
      <c r="F67" s="150">
        <v>1.0000000000000001E-5</v>
      </c>
      <c r="G67" s="150">
        <v>1.0000000000000001E-5</v>
      </c>
      <c r="H67" s="129" t="s">
        <v>158</v>
      </c>
      <c r="I67" s="129" t="s">
        <v>158</v>
      </c>
      <c r="J67" s="129" t="s">
        <v>171</v>
      </c>
      <c r="K67" s="129" t="s">
        <v>171</v>
      </c>
      <c r="L67" s="129" t="s">
        <v>171</v>
      </c>
      <c r="M67" s="129" t="s">
        <v>171</v>
      </c>
      <c r="N67" s="129" t="s">
        <v>171</v>
      </c>
      <c r="O67" s="129" t="s">
        <v>171</v>
      </c>
    </row>
    <row r="68" spans="1:24" hidden="1" outlineLevel="1">
      <c r="A68" s="134"/>
      <c r="B68" s="115" t="s">
        <v>20</v>
      </c>
      <c r="C68" s="150">
        <v>1.0000000000000001E-5</v>
      </c>
      <c r="D68" s="150">
        <v>1.0000000000000001E-5</v>
      </c>
      <c r="E68" s="150">
        <v>1.0000000000000001E-5</v>
      </c>
      <c r="F68" s="150">
        <v>1.0000000000000001E-5</v>
      </c>
      <c r="G68" s="150">
        <v>1.0000000000000001E-5</v>
      </c>
      <c r="H68" s="129" t="s">
        <v>158</v>
      </c>
      <c r="I68" s="129" t="s">
        <v>158</v>
      </c>
      <c r="J68" s="129" t="s">
        <v>171</v>
      </c>
      <c r="K68" s="129" t="s">
        <v>171</v>
      </c>
      <c r="L68" s="129" t="s">
        <v>171</v>
      </c>
      <c r="M68" s="129" t="s">
        <v>171</v>
      </c>
      <c r="N68" s="129" t="s">
        <v>171</v>
      </c>
      <c r="O68" s="129" t="s">
        <v>171</v>
      </c>
    </row>
    <row r="69" spans="1:24" ht="16.5" hidden="1" outlineLevel="1" thickBot="1">
      <c r="A69" s="134"/>
      <c r="B69" s="115" t="s">
        <v>21</v>
      </c>
      <c r="C69" s="150">
        <v>1.0000000000000001E-5</v>
      </c>
      <c r="D69" s="150">
        <v>1.0000000000000001E-5</v>
      </c>
      <c r="E69" s="150">
        <v>1.0000000000000001E-5</v>
      </c>
      <c r="F69" s="150">
        <v>1.0000000000000001E-5</v>
      </c>
      <c r="G69" s="150">
        <v>1.0000000000000001E-5</v>
      </c>
      <c r="H69" s="129" t="s">
        <v>158</v>
      </c>
      <c r="I69" s="129" t="s">
        <v>158</v>
      </c>
      <c r="J69" s="129" t="s">
        <v>171</v>
      </c>
      <c r="K69" s="129" t="s">
        <v>171</v>
      </c>
      <c r="L69" s="129" t="s">
        <v>171</v>
      </c>
      <c r="M69" s="129" t="s">
        <v>171</v>
      </c>
      <c r="N69" s="129" t="s">
        <v>171</v>
      </c>
      <c r="O69" s="129" t="s">
        <v>171</v>
      </c>
      <c r="Q69" s="164">
        <f>Q4</f>
        <v>201806</v>
      </c>
      <c r="R69" s="165"/>
      <c r="S69" s="166"/>
      <c r="T69" s="167" t="s">
        <v>170</v>
      </c>
      <c r="U69" s="166"/>
      <c r="V69" s="168"/>
    </row>
    <row r="70" spans="1:24" hidden="1" outlineLevel="1">
      <c r="A70" s="134"/>
      <c r="B70" s="115" t="s">
        <v>36</v>
      </c>
      <c r="C70" s="150">
        <v>0</v>
      </c>
      <c r="D70" s="150">
        <v>0</v>
      </c>
      <c r="E70" s="150">
        <v>0</v>
      </c>
      <c r="F70" s="150">
        <v>0</v>
      </c>
      <c r="G70" s="150">
        <v>0</v>
      </c>
      <c r="H70" s="129" t="s">
        <v>158</v>
      </c>
      <c r="I70" s="129" t="s">
        <v>158</v>
      </c>
      <c r="J70" s="129" t="s">
        <v>171</v>
      </c>
      <c r="K70" s="129" t="s">
        <v>171</v>
      </c>
      <c r="L70" s="129" t="s">
        <v>171</v>
      </c>
      <c r="M70" s="129" t="s">
        <v>171</v>
      </c>
      <c r="N70" s="129" t="s">
        <v>171</v>
      </c>
      <c r="O70" s="129" t="s">
        <v>171</v>
      </c>
      <c r="Q70" s="32" t="s">
        <v>149</v>
      </c>
      <c r="R70" s="76">
        <v>191025</v>
      </c>
      <c r="S70" s="1" t="s">
        <v>138</v>
      </c>
      <c r="T70" s="1" t="s">
        <v>139</v>
      </c>
      <c r="U70" s="104">
        <v>0</v>
      </c>
      <c r="V70" s="99">
        <f>IF((SUMIF(C72:I72,Q69,C74:I74))&lt;0,-(SUMIF(C72:I72,Q69,C74:I74)),0)</f>
        <v>0</v>
      </c>
    </row>
    <row r="71" spans="1:24" hidden="1" outlineLevel="1">
      <c r="A71" s="134" t="s">
        <v>140</v>
      </c>
      <c r="C71" s="114"/>
      <c r="D71" s="114"/>
      <c r="E71" s="114"/>
      <c r="F71" s="114"/>
      <c r="G71" s="114"/>
      <c r="H71" s="114"/>
      <c r="I71" s="114"/>
      <c r="J71" s="114"/>
      <c r="K71" s="114"/>
      <c r="L71" s="114"/>
      <c r="M71" s="114"/>
      <c r="N71" s="114"/>
      <c r="O71" s="114"/>
      <c r="Q71" s="32" t="s">
        <v>150</v>
      </c>
      <c r="R71" s="76">
        <v>805110</v>
      </c>
      <c r="S71" s="1" t="s">
        <v>138</v>
      </c>
      <c r="T71" s="1" t="s">
        <v>139</v>
      </c>
      <c r="U71" s="104">
        <f>IF((SUMIF(C72:I72,Q69,C74:I74))&lt;0,-(SUMIF(C72:I72,Q69,C74:I74)),0)</f>
        <v>0</v>
      </c>
      <c r="V71" s="99">
        <f>U70</f>
        <v>0</v>
      </c>
    </row>
    <row r="72" spans="1:24" s="134" customFormat="1" hidden="1" outlineLevel="1">
      <c r="A72" s="122">
        <v>191025</v>
      </c>
      <c r="B72" s="135" t="s">
        <v>125</v>
      </c>
      <c r="C72" s="122">
        <v>201706</v>
      </c>
      <c r="D72" s="122">
        <f t="shared" ref="D72" si="61">C72+1</f>
        <v>201707</v>
      </c>
      <c r="E72" s="122">
        <f t="shared" ref="E72" si="62">D72+1</f>
        <v>201708</v>
      </c>
      <c r="F72" s="122">
        <f t="shared" ref="F72" si="63">E72+1</f>
        <v>201709</v>
      </c>
      <c r="G72" s="122">
        <f t="shared" ref="G72" si="64">F72+1</f>
        <v>201710</v>
      </c>
      <c r="H72" s="122">
        <f t="shared" ref="H72" si="65">G72+1</f>
        <v>201711</v>
      </c>
      <c r="I72" s="122">
        <f t="shared" ref="I72" si="66">H72+1</f>
        <v>201712</v>
      </c>
      <c r="J72" s="122">
        <f t="shared" ref="J72:O72" si="67">J3</f>
        <v>201801</v>
      </c>
      <c r="K72" s="122">
        <f t="shared" si="67"/>
        <v>201802</v>
      </c>
      <c r="L72" s="122">
        <f t="shared" si="67"/>
        <v>201803</v>
      </c>
      <c r="M72" s="122">
        <f t="shared" si="67"/>
        <v>201804</v>
      </c>
      <c r="N72" s="122">
        <f t="shared" si="67"/>
        <v>201805</v>
      </c>
      <c r="O72" s="122">
        <f t="shared" si="67"/>
        <v>201806</v>
      </c>
      <c r="P72" s="136"/>
      <c r="Q72" s="32" t="s">
        <v>137</v>
      </c>
      <c r="R72" s="76">
        <v>191025</v>
      </c>
      <c r="S72" s="1" t="s">
        <v>138</v>
      </c>
      <c r="T72" s="1" t="s">
        <v>139</v>
      </c>
      <c r="U72" s="104">
        <f>IF((SUMIF(C72:I72,Q69,C75:I75))&gt;0,(SUMIF(C72:I72,Q69,C75:I75)),0)</f>
        <v>0</v>
      </c>
      <c r="V72" s="99">
        <v>0</v>
      </c>
      <c r="X72" s="111"/>
    </row>
    <row r="73" spans="1:24" hidden="1" outlineLevel="1">
      <c r="A73" s="153"/>
      <c r="B73" s="115" t="s">
        <v>123</v>
      </c>
      <c r="C73" s="111">
        <v>-2852.2313400000116</v>
      </c>
      <c r="D73" s="111">
        <f t="shared" ref="D73" si="68">C76</f>
        <v>-2802.6269400000115</v>
      </c>
      <c r="E73" s="111" t="e">
        <f t="shared" ref="E73" si="69">D76</f>
        <v>#REF!</v>
      </c>
      <c r="F73" s="111" t="e">
        <f t="shared" ref="F73" si="70">E76</f>
        <v>#REF!</v>
      </c>
      <c r="G73" s="111" t="e">
        <f>F76</f>
        <v>#REF!</v>
      </c>
      <c r="H73" s="111" t="e">
        <f>G76</f>
        <v>#REF!</v>
      </c>
      <c r="I73" s="111" t="e">
        <f>H76</f>
        <v>#REF!</v>
      </c>
      <c r="J73" s="111" t="e">
        <f>H76</f>
        <v>#REF!</v>
      </c>
      <c r="K73" s="111" t="e">
        <f>I76</f>
        <v>#REF!</v>
      </c>
      <c r="L73" s="111" t="e">
        <f>J76</f>
        <v>#REF!</v>
      </c>
      <c r="M73" s="111" t="e">
        <f>K76</f>
        <v>#REF!</v>
      </c>
      <c r="N73" s="111" t="e">
        <f>I76</f>
        <v>#REF!</v>
      </c>
      <c r="O73" s="111" t="e">
        <f>J76</f>
        <v>#REF!</v>
      </c>
      <c r="Q73" s="32" t="s">
        <v>137</v>
      </c>
      <c r="R73" s="76">
        <v>426500</v>
      </c>
      <c r="S73" s="1" t="s">
        <v>169</v>
      </c>
      <c r="T73" s="1" t="s">
        <v>169</v>
      </c>
      <c r="U73" s="104">
        <v>0</v>
      </c>
      <c r="V73" s="99">
        <f>U72</f>
        <v>0</v>
      </c>
    </row>
    <row r="74" spans="1:24" ht="16.5" hidden="1" outlineLevel="1" thickBot="1">
      <c r="B74" s="115" t="s">
        <v>7</v>
      </c>
      <c r="C74" s="111">
        <v>49.604399999999998</v>
      </c>
      <c r="D74" s="111" t="e">
        <f>SUMPRODUCT(D49:D57,D62:D70)</f>
        <v>#REF!</v>
      </c>
      <c r="E74" s="111" t="e">
        <f>SUMPRODUCT(E49:E57,E62:E70)</f>
        <v>#REF!</v>
      </c>
      <c r="F74" s="111" t="e">
        <f>SUMPRODUCT(F49:F57,F62:F70)</f>
        <v>#REF!</v>
      </c>
      <c r="G74" s="111" t="e">
        <f>SUMPRODUCT(G49:G57,G62:G70)</f>
        <v>#REF!</v>
      </c>
      <c r="H74" s="115">
        <v>-83</v>
      </c>
      <c r="I74" s="111">
        <v>0</v>
      </c>
      <c r="J74" s="111">
        <v>0</v>
      </c>
      <c r="K74" s="111">
        <v>0</v>
      </c>
      <c r="L74" s="111">
        <v>0</v>
      </c>
      <c r="M74" s="111">
        <v>0</v>
      </c>
      <c r="N74" s="111">
        <v>0</v>
      </c>
      <c r="O74" s="111">
        <v>0</v>
      </c>
      <c r="Q74" s="169"/>
      <c r="R74" s="165"/>
      <c r="S74" s="166"/>
      <c r="T74" s="166"/>
      <c r="U74" s="166" t="s">
        <v>93</v>
      </c>
      <c r="V74" s="168">
        <f>SUM(U70:U73)-SUM(V70:V73)</f>
        <v>0</v>
      </c>
    </row>
    <row r="75" spans="1:24" hidden="1" outlineLevel="1">
      <c r="B75" s="115" t="s">
        <v>86</v>
      </c>
      <c r="C75" s="111">
        <v>0</v>
      </c>
      <c r="D75" s="111">
        <v>0</v>
      </c>
      <c r="E75" s="111">
        <v>0</v>
      </c>
      <c r="F75" s="111">
        <v>0</v>
      </c>
      <c r="G75" s="111">
        <v>0</v>
      </c>
      <c r="H75" s="111">
        <v>2613.9699999999998</v>
      </c>
      <c r="I75" s="111">
        <v>0</v>
      </c>
      <c r="J75" s="111">
        <v>0</v>
      </c>
      <c r="K75" s="111">
        <v>0</v>
      </c>
      <c r="L75" s="111">
        <v>0</v>
      </c>
      <c r="M75" s="111">
        <v>0</v>
      </c>
      <c r="N75" s="111">
        <v>0</v>
      </c>
      <c r="O75" s="111">
        <v>0</v>
      </c>
    </row>
    <row r="76" spans="1:24" ht="16.5" hidden="1" outlineLevel="1" thickBot="1">
      <c r="B76" s="115" t="s">
        <v>24</v>
      </c>
      <c r="C76" s="124">
        <v>-2802.6269400000115</v>
      </c>
      <c r="D76" s="124" t="e">
        <f t="shared" ref="D76:I76" si="71">SUM(D73:D75)</f>
        <v>#REF!</v>
      </c>
      <c r="E76" s="124" t="e">
        <f t="shared" si="71"/>
        <v>#REF!</v>
      </c>
      <c r="F76" s="124" t="e">
        <f t="shared" si="71"/>
        <v>#REF!</v>
      </c>
      <c r="G76" s="124" t="e">
        <f t="shared" si="71"/>
        <v>#REF!</v>
      </c>
      <c r="H76" s="124" t="e">
        <f t="shared" si="71"/>
        <v>#REF!</v>
      </c>
      <c r="I76" s="124" t="e">
        <f t="shared" si="71"/>
        <v>#REF!</v>
      </c>
      <c r="J76" s="124" t="e">
        <f t="shared" ref="J76:K76" si="72">SUM(J73:J75)</f>
        <v>#REF!</v>
      </c>
      <c r="K76" s="124" t="e">
        <f t="shared" si="72"/>
        <v>#REF!</v>
      </c>
      <c r="L76" s="124" t="e">
        <f t="shared" ref="L76" si="73">SUM(L73:L75)</f>
        <v>#REF!</v>
      </c>
      <c r="M76" s="124" t="e">
        <f>SUM(M73:M75)</f>
        <v>#REF!</v>
      </c>
      <c r="N76" s="124" t="e">
        <f t="shared" ref="N76:O76" si="74">SUM(N73:N75)</f>
        <v>#REF!</v>
      </c>
      <c r="O76" s="124" t="e">
        <f t="shared" si="74"/>
        <v>#REF!</v>
      </c>
    </row>
    <row r="77" spans="1:24" hidden="1" outlineLevel="1">
      <c r="B77" s="115" t="s">
        <v>129</v>
      </c>
      <c r="C77" s="111" t="s">
        <v>173</v>
      </c>
      <c r="D77" s="111" t="str">
        <f>_xll.Get_Balance(D72,"YTD","USD","Total","A","","001",$A$72,"GD","WA","DL")</f>
        <v>Error (Logon)</v>
      </c>
      <c r="E77" s="111" t="str">
        <f>_xll.Get_Balance(E72,"YTD","USD","Total","A","","001",$A$72,"GD","WA","DL")</f>
        <v>Error (Logon)</v>
      </c>
      <c r="F77" s="111" t="str">
        <f>_xll.Get_Balance(F72,"YTD","USD","Total","A","","001",$A$72,"GD","WA","DL")</f>
        <v>Error (Logon)</v>
      </c>
      <c r="G77" s="111" t="str">
        <f>_xll.Get_Balance(G72,"YTD","USD","Total","A","","001",$A$72,"GD","WA","DL")</f>
        <v>Error (Logon)</v>
      </c>
      <c r="H77" s="111" t="str">
        <f>_xll.Get_Balance(H72,"YTD","USD","Total","A","","001",$A$72,"GD","WA","DL")</f>
        <v>Error (Logon)</v>
      </c>
      <c r="I77" s="111" t="str">
        <f>_xll.Get_Balance(I72,"YTD","USD","Total","A","","001",$A$72,"GD","WA","DL")</f>
        <v>Error (Logon)</v>
      </c>
      <c r="J77" s="111" t="str">
        <f>_xll.Get_Balance(J72,"YTD","USD","Total","A","","001",$A$72,"GD","WA","DL")</f>
        <v>Error (Logon)</v>
      </c>
      <c r="K77" s="111" t="str">
        <f>_xll.Get_Balance(K72,"YTD","USD","Total","A","","001",$A$72,"GD","WA","DL")</f>
        <v>Error (Logon)</v>
      </c>
      <c r="L77" s="111" t="str">
        <f>_xll.Get_Balance(L72,"YTD","USD","Total","A","","001",$A$72,"GD","WA","DL")</f>
        <v>Error (Logon)</v>
      </c>
      <c r="M77" s="111" t="str">
        <f>_xll.Get_Balance(M72,"YTD","USD","Total","A","","001",$A$72,"GD","WA","DL")</f>
        <v>Error (Logon)</v>
      </c>
      <c r="N77" s="111" t="str">
        <f>_xll.Get_Balance(N72,"YTD","USD","Total","A","","001",$A$72,"GD","WA","DL")</f>
        <v>Error (Logon)</v>
      </c>
      <c r="O77" s="111" t="str">
        <f>_xll.Get_Balance(O72,"YTD","USD","Total","A","","001",$A$72,"GD","WA","DL")</f>
        <v>Error (Logon)</v>
      </c>
    </row>
    <row r="78" spans="1:24" hidden="1" outlineLevel="1">
      <c r="B78" s="115" t="s">
        <v>122</v>
      </c>
      <c r="C78" s="111" t="e">
        <v>#VALUE!</v>
      </c>
      <c r="D78" s="111" t="e">
        <f>D76-D77</f>
        <v>#REF!</v>
      </c>
      <c r="E78" s="111" t="e">
        <f t="shared" ref="E78:I78" si="75">E76-E77</f>
        <v>#REF!</v>
      </c>
      <c r="F78" s="111" t="e">
        <f t="shared" si="75"/>
        <v>#REF!</v>
      </c>
      <c r="G78" s="111" t="e">
        <f t="shared" si="75"/>
        <v>#REF!</v>
      </c>
      <c r="H78" s="111" t="e">
        <f t="shared" si="75"/>
        <v>#REF!</v>
      </c>
      <c r="I78" s="111" t="e">
        <f t="shared" si="75"/>
        <v>#REF!</v>
      </c>
      <c r="J78" s="111" t="e">
        <f t="shared" ref="J78:K78" si="76">J76-J77</f>
        <v>#REF!</v>
      </c>
      <c r="K78" s="111" t="e">
        <f t="shared" si="76"/>
        <v>#REF!</v>
      </c>
      <c r="L78" s="111" t="e">
        <f t="shared" ref="L78" si="77">L76-L77</f>
        <v>#REF!</v>
      </c>
      <c r="M78" s="111" t="e">
        <f>M76-M77</f>
        <v>#REF!</v>
      </c>
      <c r="N78" s="111" t="e">
        <f t="shared" ref="N78:O78" si="78">N76-N77</f>
        <v>#REF!</v>
      </c>
      <c r="O78" s="111" t="e">
        <f t="shared" si="78"/>
        <v>#REF!</v>
      </c>
    </row>
    <row r="79" spans="1:24" collapsed="1"/>
  </sheetData>
  <conditionalFormatting sqref="V74 V41 V11">
    <cfRule type="cellIs" dxfId="106" priority="45" operator="notEqual">
      <formula>0</formula>
    </cfRule>
  </conditionalFormatting>
  <conditionalFormatting sqref="E26:I26 E59:F59 H59:I59">
    <cfRule type="cellIs" dxfId="105" priority="21" operator="notEqual">
      <formula>E25</formula>
    </cfRule>
  </conditionalFormatting>
  <conditionalFormatting sqref="C26">
    <cfRule type="cellIs" dxfId="104" priority="20" operator="notEqual">
      <formula>C25</formula>
    </cfRule>
  </conditionalFormatting>
  <conditionalFormatting sqref="C59">
    <cfRule type="cellIs" dxfId="103" priority="18" operator="notEqual">
      <formula>C58</formula>
    </cfRule>
  </conditionalFormatting>
  <conditionalFormatting sqref="D26">
    <cfRule type="cellIs" dxfId="102" priority="17" operator="notEqual">
      <formula>D25</formula>
    </cfRule>
  </conditionalFormatting>
  <conditionalFormatting sqref="D59">
    <cfRule type="cellIs" dxfId="101" priority="16" operator="notEqual">
      <formula>D58</formula>
    </cfRule>
  </conditionalFormatting>
  <conditionalFormatting sqref="G59">
    <cfRule type="cellIs" dxfId="100" priority="15" operator="notEqual">
      <formula>G58</formula>
    </cfRule>
  </conditionalFormatting>
  <conditionalFormatting sqref="K26 K59">
    <cfRule type="cellIs" dxfId="99" priority="14" operator="notEqual">
      <formula>K25</formula>
    </cfRule>
  </conditionalFormatting>
  <conditionalFormatting sqref="P26 P59">
    <cfRule type="cellIs" dxfId="98" priority="13" operator="notEqual">
      <formula>P25</formula>
    </cfRule>
  </conditionalFormatting>
  <conditionalFormatting sqref="J26">
    <cfRule type="cellIs" dxfId="97" priority="12" operator="notEqual">
      <formula>J25</formula>
    </cfRule>
  </conditionalFormatting>
  <conditionalFormatting sqref="J59">
    <cfRule type="cellIs" dxfId="96" priority="11" operator="notEqual">
      <formula>J58</formula>
    </cfRule>
  </conditionalFormatting>
  <conditionalFormatting sqref="L26 L59">
    <cfRule type="cellIs" dxfId="95" priority="10" operator="notEqual">
      <formula>L25</formula>
    </cfRule>
  </conditionalFormatting>
  <conditionalFormatting sqref="V30">
    <cfRule type="cellIs" dxfId="94" priority="8" operator="notEqual">
      <formula>0</formula>
    </cfRule>
  </conditionalFormatting>
  <conditionalFormatting sqref="M26 M59">
    <cfRule type="cellIs" dxfId="93" priority="3" operator="notEqual">
      <formula>M25</formula>
    </cfRule>
  </conditionalFormatting>
  <conditionalFormatting sqref="O26 O59">
    <cfRule type="cellIs" dxfId="92" priority="2" operator="notEqual">
      <formula>O25</formula>
    </cfRule>
  </conditionalFormatting>
  <conditionalFormatting sqref="N26 N59">
    <cfRule type="cellIs" dxfId="91" priority="1" operator="notEqual">
      <formula>N25</formula>
    </cfRule>
  </conditionalFormatting>
  <pageMargins left="0" right="0" top="0.75" bottom="0.75" header="0.3" footer="0.3"/>
  <pageSetup scale="38" orientation="landscape" r:id="rId1"/>
  <customProperties>
    <customPr name="xxe4aPID" r:id="rId2"/>
  </customProperties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8">
    <tabColor rgb="FF00CC66"/>
    <pageSetUpPr fitToPage="1"/>
  </sheetPr>
  <dimension ref="A1:U1485"/>
  <sheetViews>
    <sheetView showGridLines="0" tabSelected="1" topLeftCell="A28" zoomScale="70" zoomScaleNormal="70" workbookViewId="0">
      <selection activeCell="X1" sqref="X1:X1048576"/>
    </sheetView>
  </sheetViews>
  <sheetFormatPr defaultColWidth="16" defaultRowHeight="15"/>
  <cols>
    <col min="1" max="1" width="44.85546875" style="95" customWidth="1"/>
    <col min="2" max="2" width="25.5703125" style="95" customWidth="1"/>
    <col min="3" max="3" width="25.28515625" style="95" customWidth="1"/>
    <col min="4" max="4" width="2.7109375" style="95" customWidth="1"/>
    <col min="5" max="5" width="4.28515625" style="95" customWidth="1"/>
    <col min="6" max="6" width="26.7109375" style="95" customWidth="1"/>
    <col min="7" max="7" width="19" style="95" customWidth="1"/>
    <col min="8" max="8" width="22" style="95" customWidth="1"/>
    <col min="9" max="9" width="20.42578125" style="95" customWidth="1"/>
    <col min="10" max="10" width="26.28515625" style="95" customWidth="1"/>
    <col min="11" max="11" width="21.85546875" style="95" bestFit="1" customWidth="1"/>
    <col min="12" max="12" width="23.85546875" style="95" customWidth="1"/>
    <col min="13" max="13" width="20.85546875" style="95" bestFit="1" customWidth="1"/>
    <col min="14" max="15" width="16" style="95"/>
    <col min="16" max="16" width="16.28515625" style="95" bestFit="1" customWidth="1"/>
    <col min="17" max="16384" width="16" style="95"/>
  </cols>
  <sheetData>
    <row r="1" spans="1:12" ht="16.5" thickBot="1">
      <c r="A1" s="172" t="s">
        <v>26</v>
      </c>
      <c r="B1" s="173"/>
      <c r="C1" s="107">
        <f>Feb!C1+1</f>
        <v>201803</v>
      </c>
      <c r="F1" s="107">
        <f>C1</f>
        <v>201803</v>
      </c>
      <c r="H1" s="35" t="s">
        <v>31</v>
      </c>
      <c r="I1" s="22" t="s">
        <v>1</v>
      </c>
      <c r="J1" s="22" t="s">
        <v>1</v>
      </c>
      <c r="K1" s="22" t="s">
        <v>28</v>
      </c>
      <c r="L1" s="22" t="s">
        <v>28</v>
      </c>
    </row>
    <row r="2" spans="1:12" ht="15.75">
      <c r="C2" s="6"/>
      <c r="H2" s="36" t="s">
        <v>10</v>
      </c>
      <c r="I2" s="37" t="s">
        <v>27</v>
      </c>
      <c r="J2" s="37" t="s">
        <v>27</v>
      </c>
      <c r="K2" s="37" t="s">
        <v>29</v>
      </c>
      <c r="L2" s="37" t="s">
        <v>29</v>
      </c>
    </row>
    <row r="3" spans="1:12" ht="16.5" thickBot="1">
      <c r="A3" s="10" t="s">
        <v>52</v>
      </c>
      <c r="C3" s="7"/>
      <c r="D3" s="174"/>
      <c r="F3" s="9" t="s">
        <v>34</v>
      </c>
      <c r="H3" s="38" t="s">
        <v>30</v>
      </c>
      <c r="I3" s="38" t="s">
        <v>13</v>
      </c>
      <c r="J3" s="38" t="s">
        <v>25</v>
      </c>
      <c r="K3" s="38" t="s">
        <v>13</v>
      </c>
      <c r="L3" s="38" t="s">
        <v>25</v>
      </c>
    </row>
    <row r="4" spans="1:12" ht="15.75">
      <c r="A4" s="95" t="s">
        <v>38</v>
      </c>
      <c r="C4" s="20">
        <f>3655974.78</f>
        <v>3655974.78</v>
      </c>
      <c r="D4" s="6"/>
      <c r="H4" s="3"/>
    </row>
    <row r="5" spans="1:12" ht="14.25" customHeight="1">
      <c r="A5" s="95" t="s">
        <v>9</v>
      </c>
      <c r="C5" s="20">
        <f>19618.65</f>
        <v>19618.650000000001</v>
      </c>
      <c r="D5" s="6"/>
      <c r="H5" s="3"/>
      <c r="I5" s="175">
        <v>0.69059999999999999</v>
      </c>
      <c r="J5" s="175">
        <v>0.30940000000000001</v>
      </c>
      <c r="K5" s="97">
        <f>ROUND(G45/(G45+K43),4)</f>
        <v>0.68479999999999996</v>
      </c>
      <c r="L5" s="97">
        <f>1-K5</f>
        <v>0.31520000000000004</v>
      </c>
    </row>
    <row r="6" spans="1:12" ht="16.5" thickBot="1">
      <c r="A6" s="8" t="s">
        <v>8</v>
      </c>
      <c r="C6" s="116">
        <f>-78568.35-98131.26-1494747.7-426339.9-121811.4-137037.83</f>
        <v>-2356636.44</v>
      </c>
      <c r="D6" s="6"/>
    </row>
    <row r="7" spans="1:12" ht="16.5" thickBot="1">
      <c r="A7" s="12" t="s">
        <v>82</v>
      </c>
      <c r="C7" s="17">
        <f>SUM(C4:C6)</f>
        <v>1318956.9899999998</v>
      </c>
      <c r="D7" s="7"/>
      <c r="F7" s="39" t="s">
        <v>81</v>
      </c>
      <c r="G7" s="39"/>
      <c r="H7" s="176">
        <f>C34</f>
        <v>2206228.3000000003</v>
      </c>
      <c r="I7" s="40">
        <f>H7*I5</f>
        <v>1523621.2639800003</v>
      </c>
      <c r="J7" s="40">
        <f>H7*J5</f>
        <v>682607.03602000012</v>
      </c>
      <c r="K7" s="40"/>
      <c r="L7" s="40"/>
    </row>
    <row r="8" spans="1:12" ht="15.75">
      <c r="A8" s="95" t="s">
        <v>39</v>
      </c>
      <c r="C8" s="20">
        <f>252729.32</f>
        <v>252729.32</v>
      </c>
      <c r="D8" s="7"/>
      <c r="H8" s="41"/>
      <c r="I8" s="41"/>
      <c r="J8" s="41"/>
      <c r="K8" s="41"/>
      <c r="L8" s="41"/>
    </row>
    <row r="9" spans="1:12" ht="15.75">
      <c r="A9" s="95" t="s">
        <v>40</v>
      </c>
      <c r="C9" s="20">
        <f>8961.92</f>
        <v>8961.92</v>
      </c>
      <c r="D9" s="177"/>
      <c r="F9" s="39" t="s">
        <v>61</v>
      </c>
      <c r="H9" s="40">
        <f>C56</f>
        <v>5743116.8900000006</v>
      </c>
      <c r="I9" s="40"/>
      <c r="J9" s="40"/>
      <c r="K9" s="40">
        <f>H9*K5</f>
        <v>3932886.4462720002</v>
      </c>
      <c r="L9" s="40">
        <f>H9*L5</f>
        <v>1810230.4437280004</v>
      </c>
    </row>
    <row r="10" spans="1:12" ht="15.75">
      <c r="A10" s="8" t="s">
        <v>41</v>
      </c>
      <c r="C10" s="116">
        <v>-3418.47</v>
      </c>
      <c r="D10" s="177"/>
      <c r="F10" s="42" t="s">
        <v>22</v>
      </c>
      <c r="H10" s="40">
        <f>C57</f>
        <v>-74701.33</v>
      </c>
      <c r="I10" s="40"/>
      <c r="J10" s="40"/>
      <c r="K10" s="40">
        <f>H10</f>
        <v>-74701.33</v>
      </c>
      <c r="L10" s="40"/>
    </row>
    <row r="11" spans="1:12">
      <c r="A11" s="12" t="s">
        <v>83</v>
      </c>
      <c r="C11" s="17">
        <f>SUM(C8:C10)</f>
        <v>258272.77000000002</v>
      </c>
      <c r="D11" s="177"/>
      <c r="F11" s="42" t="s">
        <v>23</v>
      </c>
      <c r="H11" s="43">
        <f>C58</f>
        <v>-34446.04</v>
      </c>
      <c r="I11" s="40"/>
      <c r="J11" s="40"/>
      <c r="K11" s="43"/>
      <c r="L11" s="43">
        <f>H11</f>
        <v>-34446.04</v>
      </c>
    </row>
    <row r="12" spans="1:12" ht="15.75">
      <c r="A12" s="95" t="s">
        <v>98</v>
      </c>
      <c r="C12" s="20">
        <f>191628.73-1256.28</f>
        <v>190372.45</v>
      </c>
      <c r="D12" s="177"/>
      <c r="F12" s="42" t="s">
        <v>80</v>
      </c>
      <c r="H12" s="40">
        <f>H9+H10+H11</f>
        <v>5633969.5200000005</v>
      </c>
      <c r="I12" s="40"/>
      <c r="J12" s="40"/>
      <c r="K12" s="40">
        <f>SUM(K9:K11)</f>
        <v>3858185.1162720001</v>
      </c>
      <c r="L12" s="40">
        <f>SUM(L9:L11)</f>
        <v>1775784.4037280004</v>
      </c>
    </row>
    <row r="13" spans="1:12" ht="16.5" thickBot="1">
      <c r="A13" s="8" t="s">
        <v>99</v>
      </c>
      <c r="C13" s="116">
        <v>0</v>
      </c>
      <c r="D13" s="177"/>
      <c r="F13" s="44"/>
      <c r="G13" s="45"/>
      <c r="H13" s="46"/>
      <c r="I13" s="47"/>
      <c r="J13" s="46"/>
      <c r="K13" s="41"/>
      <c r="L13" s="46"/>
    </row>
    <row r="14" spans="1:12" ht="16.5" thickBot="1">
      <c r="A14" s="12" t="s">
        <v>42</v>
      </c>
      <c r="C14" s="17">
        <f>SUM(C12:C13)</f>
        <v>190372.45</v>
      </c>
      <c r="D14" s="2"/>
      <c r="F14" s="9" t="s">
        <v>31</v>
      </c>
      <c r="G14" s="48"/>
      <c r="H14" s="176">
        <f>H12+H7</f>
        <v>7840197.8200000003</v>
      </c>
      <c r="I14" s="49">
        <f>SUM(I7:I13)</f>
        <v>1523621.2639800003</v>
      </c>
      <c r="J14" s="49">
        <f>SUM(J7:J13)</f>
        <v>682607.03602000012</v>
      </c>
      <c r="K14" s="49">
        <f>K12</f>
        <v>3858185.1162720001</v>
      </c>
      <c r="L14" s="49">
        <f>L12</f>
        <v>1775784.4037280004</v>
      </c>
    </row>
    <row r="15" spans="1:12" ht="15.75">
      <c r="A15" s="95" t="s">
        <v>113</v>
      </c>
      <c r="C15" s="20">
        <f>392987.14-2576.2</f>
        <v>390410.94</v>
      </c>
      <c r="D15" s="177"/>
      <c r="F15" s="44"/>
      <c r="G15" s="45" t="s">
        <v>48</v>
      </c>
      <c r="H15" s="46">
        <f>H14-C61</f>
        <v>0</v>
      </c>
      <c r="I15" s="50"/>
      <c r="J15" s="46">
        <f>J7+I7-H7</f>
        <v>0</v>
      </c>
      <c r="L15" s="46">
        <f>H12-K14-L14</f>
        <v>0</v>
      </c>
    </row>
    <row r="16" spans="1:12" ht="15.75">
      <c r="A16" s="8" t="s">
        <v>114</v>
      </c>
      <c r="C16" s="116">
        <v>0</v>
      </c>
      <c r="D16" s="177"/>
      <c r="F16" s="51"/>
      <c r="G16" s="45"/>
      <c r="H16" s="52"/>
      <c r="I16" s="53"/>
      <c r="J16" s="52"/>
      <c r="L16" s="52"/>
    </row>
    <row r="17" spans="1:13" ht="15.75" thickBot="1">
      <c r="A17" s="12" t="s">
        <v>115</v>
      </c>
      <c r="C17" s="17">
        <f>SUM(C15:C16)</f>
        <v>390410.94</v>
      </c>
      <c r="D17" s="2"/>
      <c r="F17" s="44"/>
      <c r="G17" s="45"/>
      <c r="H17" s="52"/>
      <c r="I17" s="53"/>
      <c r="J17" s="56"/>
      <c r="L17" s="52"/>
    </row>
    <row r="18" spans="1:13" ht="16.5" thickBot="1">
      <c r="A18" s="95" t="s">
        <v>96</v>
      </c>
      <c r="C18" s="20">
        <f>79450.67+10089.3-460.96</f>
        <v>89079.01</v>
      </c>
      <c r="D18" s="177"/>
      <c r="F18" s="204" t="s">
        <v>76</v>
      </c>
      <c r="G18" s="205"/>
      <c r="H18" s="205"/>
      <c r="I18" s="206"/>
      <c r="J18" s="204" t="s">
        <v>77</v>
      </c>
      <c r="K18" s="205"/>
      <c r="L18" s="205"/>
      <c r="M18" s="206"/>
    </row>
    <row r="19" spans="1:13" ht="15.75">
      <c r="A19" s="8" t="s">
        <v>97</v>
      </c>
      <c r="C19" s="116">
        <v>0</v>
      </c>
      <c r="D19" s="177"/>
      <c r="F19" s="74" t="s">
        <v>50</v>
      </c>
      <c r="G19" s="37" t="s">
        <v>11</v>
      </c>
      <c r="H19" s="37" t="s">
        <v>11</v>
      </c>
      <c r="I19" s="37" t="s">
        <v>11</v>
      </c>
      <c r="J19" s="74" t="s">
        <v>50</v>
      </c>
      <c r="K19" s="37" t="s">
        <v>11</v>
      </c>
      <c r="L19" s="37" t="s">
        <v>11</v>
      </c>
      <c r="M19" s="58" t="s">
        <v>11</v>
      </c>
    </row>
    <row r="20" spans="1:13" ht="16.5" thickBot="1">
      <c r="A20" s="11" t="s">
        <v>43</v>
      </c>
      <c r="C20" s="17">
        <f>SUM(C18:C19)</f>
        <v>89079.01</v>
      </c>
      <c r="D20" s="177"/>
      <c r="F20" s="68" t="s">
        <v>95</v>
      </c>
      <c r="G20" s="38" t="s">
        <v>47</v>
      </c>
      <c r="H20" s="38" t="s">
        <v>14</v>
      </c>
      <c r="I20" s="38" t="s">
        <v>12</v>
      </c>
      <c r="J20" s="68" t="s">
        <v>95</v>
      </c>
      <c r="K20" s="38" t="s">
        <v>47</v>
      </c>
      <c r="L20" s="38" t="s">
        <v>14</v>
      </c>
      <c r="M20" s="38" t="s">
        <v>12</v>
      </c>
    </row>
    <row r="21" spans="1:13" ht="15.75">
      <c r="A21" s="8" t="s">
        <v>87</v>
      </c>
      <c r="C21" s="20">
        <f>1850+2129.49</f>
        <v>3979.49</v>
      </c>
      <c r="D21" s="177"/>
      <c r="F21" s="57"/>
      <c r="G21" s="4"/>
      <c r="H21" s="4"/>
      <c r="I21" s="58"/>
      <c r="J21" s="25"/>
      <c r="K21" s="5"/>
      <c r="L21" s="5"/>
      <c r="M21" s="75"/>
    </row>
    <row r="22" spans="1:13" ht="18" customHeight="1">
      <c r="A22" s="11" t="s">
        <v>87</v>
      </c>
      <c r="C22" s="17">
        <f>SUM(C21)</f>
        <v>3979.49</v>
      </c>
      <c r="D22" s="177"/>
      <c r="F22" s="72" t="s">
        <v>68</v>
      </c>
      <c r="G22" s="1"/>
      <c r="H22" s="1"/>
      <c r="I22" s="16"/>
      <c r="J22" s="72" t="s">
        <v>68</v>
      </c>
      <c r="K22" s="1"/>
      <c r="L22" s="1"/>
      <c r="M22" s="16"/>
    </row>
    <row r="23" spans="1:13" ht="15.75">
      <c r="A23" s="76" t="s">
        <v>110</v>
      </c>
      <c r="C23" s="17">
        <v>0</v>
      </c>
      <c r="D23" s="177"/>
      <c r="F23" s="73" t="s">
        <v>15</v>
      </c>
      <c r="G23" s="91">
        <v>15771469</v>
      </c>
      <c r="H23" s="96" t="s">
        <v>157</v>
      </c>
      <c r="I23" s="69">
        <v>1689163</v>
      </c>
      <c r="J23" s="73" t="s">
        <v>15</v>
      </c>
      <c r="K23" s="91">
        <v>7413396</v>
      </c>
      <c r="L23" s="96" t="s">
        <v>157</v>
      </c>
      <c r="M23" s="69">
        <v>779254</v>
      </c>
    </row>
    <row r="24" spans="1:13" ht="15.75">
      <c r="A24" s="76" t="s">
        <v>116</v>
      </c>
      <c r="C24" s="20">
        <v>0</v>
      </c>
      <c r="D24" s="177"/>
      <c r="F24" s="73" t="s">
        <v>156</v>
      </c>
      <c r="G24" s="91">
        <v>19043</v>
      </c>
      <c r="H24" s="96" t="s">
        <v>157</v>
      </c>
      <c r="I24" s="69">
        <v>2041</v>
      </c>
      <c r="J24" s="73" t="s">
        <v>16</v>
      </c>
      <c r="K24" s="91">
        <v>2669250</v>
      </c>
      <c r="L24" s="96" t="s">
        <v>157</v>
      </c>
      <c r="M24" s="69">
        <v>281330</v>
      </c>
    </row>
    <row r="25" spans="1:13" ht="15.75">
      <c r="A25" s="76" t="s">
        <v>118</v>
      </c>
      <c r="C25" s="118">
        <v>0</v>
      </c>
      <c r="D25" s="177"/>
      <c r="F25" s="73" t="s">
        <v>16</v>
      </c>
      <c r="G25" s="91">
        <v>5606266</v>
      </c>
      <c r="H25" s="96" t="s">
        <v>157</v>
      </c>
      <c r="I25" s="69">
        <v>554510</v>
      </c>
      <c r="J25" s="73" t="s">
        <v>17</v>
      </c>
      <c r="K25" s="91">
        <v>3652</v>
      </c>
      <c r="L25" s="96" t="s">
        <v>157</v>
      </c>
      <c r="M25" s="69">
        <v>384</v>
      </c>
    </row>
    <row r="26" spans="1:13" ht="15.75">
      <c r="A26" s="77" t="s">
        <v>117</v>
      </c>
      <c r="C26" s="119">
        <v>0</v>
      </c>
      <c r="D26" s="177"/>
      <c r="F26" s="73" t="s">
        <v>17</v>
      </c>
      <c r="G26" s="91">
        <v>7893</v>
      </c>
      <c r="H26" s="96" t="s">
        <v>157</v>
      </c>
      <c r="I26" s="69">
        <v>775</v>
      </c>
      <c r="J26" s="73" t="s">
        <v>18</v>
      </c>
      <c r="K26" s="91"/>
      <c r="L26" s="96" t="s">
        <v>157</v>
      </c>
      <c r="M26" s="69">
        <v>0</v>
      </c>
    </row>
    <row r="27" spans="1:13" ht="15.75">
      <c r="A27" s="11" t="s">
        <v>46</v>
      </c>
      <c r="C27" s="17">
        <f>SUM(C23:C26)</f>
        <v>0</v>
      </c>
      <c r="D27" s="177"/>
      <c r="F27" s="73" t="s">
        <v>18</v>
      </c>
      <c r="G27" s="91">
        <v>345298</v>
      </c>
      <c r="H27" s="96" t="s">
        <v>157</v>
      </c>
      <c r="I27" s="69">
        <v>35924</v>
      </c>
      <c r="J27" s="73" t="s">
        <v>19</v>
      </c>
      <c r="K27" s="91"/>
      <c r="L27" s="96" t="s">
        <v>157</v>
      </c>
      <c r="M27" s="69">
        <v>0</v>
      </c>
    </row>
    <row r="28" spans="1:13" ht="16.5" thickBot="1">
      <c r="A28" s="78" t="s">
        <v>88</v>
      </c>
      <c r="C28" s="20">
        <v>0</v>
      </c>
      <c r="D28" s="2"/>
      <c r="F28" s="73" t="s">
        <v>19</v>
      </c>
      <c r="G28" s="91">
        <v>51647</v>
      </c>
      <c r="H28" s="96" t="s">
        <v>157</v>
      </c>
      <c r="I28" s="69">
        <v>5193</v>
      </c>
      <c r="J28" s="72" t="s">
        <v>69</v>
      </c>
      <c r="K28" s="54">
        <f>SUM(K23:K27)</f>
        <v>10086298</v>
      </c>
      <c r="L28" s="55"/>
      <c r="M28" s="70">
        <f>SUM(M23:M27)</f>
        <v>1060968</v>
      </c>
    </row>
    <row r="29" spans="1:13" ht="17.25" thickTop="1" thickBot="1">
      <c r="A29" s="78" t="s">
        <v>100</v>
      </c>
      <c r="C29" s="20">
        <v>0</v>
      </c>
      <c r="D29" s="177"/>
      <c r="F29" s="73" t="s">
        <v>20</v>
      </c>
      <c r="G29" s="91">
        <v>0</v>
      </c>
      <c r="H29" s="96" t="s">
        <v>157</v>
      </c>
      <c r="I29" s="69">
        <v>0</v>
      </c>
      <c r="J29" s="72"/>
      <c r="K29" s="85">
        <v>10086298</v>
      </c>
      <c r="L29" s="60" t="s">
        <v>48</v>
      </c>
      <c r="M29" s="101">
        <f>M28/K28</f>
        <v>0.10518903962583695</v>
      </c>
    </row>
    <row r="30" spans="1:13" ht="16.5" thickBot="1">
      <c r="A30" s="9" t="s">
        <v>53</v>
      </c>
      <c r="C30" s="176">
        <f>C7+C11+C14+C17+C20+C22+C27+C28+C29</f>
        <v>2251071.65</v>
      </c>
      <c r="D30" s="2"/>
      <c r="F30" s="73" t="s">
        <v>21</v>
      </c>
      <c r="G30" s="91">
        <v>113117</v>
      </c>
      <c r="H30" s="96" t="s">
        <v>157</v>
      </c>
      <c r="I30" s="69">
        <v>7050</v>
      </c>
      <c r="J30" s="73"/>
      <c r="K30" s="84">
        <f>K28-K29</f>
        <v>0</v>
      </c>
      <c r="L30" s="55"/>
      <c r="M30" s="71"/>
    </row>
    <row r="31" spans="1:13" ht="15.75">
      <c r="A31" s="95" t="s">
        <v>54</v>
      </c>
      <c r="C31" s="20">
        <v>-16262.78</v>
      </c>
      <c r="D31" s="178"/>
      <c r="F31" s="73" t="s">
        <v>36</v>
      </c>
      <c r="G31" s="91">
        <v>3349134</v>
      </c>
      <c r="H31" s="96" t="s">
        <v>157</v>
      </c>
      <c r="I31" s="69">
        <v>1785</v>
      </c>
      <c r="J31" s="32"/>
      <c r="K31" s="1"/>
      <c r="L31" s="55"/>
      <c r="M31" s="71"/>
    </row>
    <row r="32" spans="1:13" ht="16.5" thickBot="1">
      <c r="A32" s="9" t="s">
        <v>58</v>
      </c>
      <c r="B32" s="9" t="s">
        <v>59</v>
      </c>
      <c r="C32" s="120">
        <f>C30+C31</f>
        <v>2234808.87</v>
      </c>
      <c r="D32" s="179"/>
      <c r="F32" s="72" t="s">
        <v>69</v>
      </c>
      <c r="G32" s="54">
        <f>SUM(G23:G31)</f>
        <v>25263867</v>
      </c>
      <c r="H32" s="1"/>
      <c r="I32" s="70">
        <f>SUM(I23:I31)</f>
        <v>2296441</v>
      </c>
      <c r="J32" s="65"/>
      <c r="K32" s="66"/>
      <c r="L32" s="1"/>
      <c r="M32" s="63"/>
    </row>
    <row r="33" spans="1:17" ht="17.25" thickTop="1" thickBot="1">
      <c r="A33" s="95" t="s">
        <v>55</v>
      </c>
      <c r="C33" s="120">
        <f>-C5-C9-C13-C16-C19</f>
        <v>-28580.57</v>
      </c>
      <c r="D33" s="177"/>
      <c r="F33" s="59"/>
      <c r="G33" s="85">
        <v>25263867</v>
      </c>
      <c r="H33" s="60" t="s">
        <v>48</v>
      </c>
      <c r="I33" s="82">
        <f>I32/G32</f>
        <v>9.0898238183410321E-2</v>
      </c>
      <c r="J33" s="65"/>
      <c r="K33" s="66"/>
      <c r="L33" s="1"/>
      <c r="M33" s="16"/>
    </row>
    <row r="34" spans="1:17" ht="16.5" thickBot="1">
      <c r="A34" s="9" t="s">
        <v>56</v>
      </c>
      <c r="C34" s="176">
        <f>SUM(C32:C33)</f>
        <v>2206228.3000000003</v>
      </c>
      <c r="D34" s="177"/>
      <c r="F34" s="32"/>
      <c r="G34" s="84">
        <f>G32-G33</f>
        <v>0</v>
      </c>
      <c r="H34" s="1"/>
      <c r="I34" s="16"/>
      <c r="J34" s="65"/>
      <c r="K34" s="64"/>
      <c r="L34" s="1"/>
      <c r="M34" s="16"/>
    </row>
    <row r="35" spans="1:17" ht="18" customHeight="1">
      <c r="A35" s="9"/>
      <c r="C35" s="120"/>
      <c r="D35" s="177"/>
      <c r="F35" s="57"/>
      <c r="G35" s="4"/>
      <c r="H35" s="4"/>
      <c r="I35" s="58"/>
      <c r="J35" s="72" t="s">
        <v>70</v>
      </c>
      <c r="K35" s="207"/>
      <c r="L35" s="207"/>
      <c r="M35" s="208"/>
    </row>
    <row r="36" spans="1:17" ht="15.75">
      <c r="A36" s="3" t="s">
        <v>44</v>
      </c>
      <c r="B36" s="9"/>
      <c r="C36" s="17"/>
      <c r="D36" s="177"/>
      <c r="F36" s="72" t="s">
        <v>70</v>
      </c>
      <c r="G36" s="1"/>
      <c r="H36" s="1"/>
      <c r="I36" s="16"/>
      <c r="J36" s="73" t="s">
        <v>15</v>
      </c>
      <c r="K36" s="92">
        <f>K23</f>
        <v>7413396</v>
      </c>
      <c r="L36" s="96" t="s">
        <v>157</v>
      </c>
      <c r="M36" s="69">
        <v>1205053</v>
      </c>
      <c r="P36" s="180"/>
      <c r="Q36" s="180"/>
    </row>
    <row r="37" spans="1:17" ht="15.75">
      <c r="A37" s="1" t="s">
        <v>71</v>
      </c>
      <c r="B37" s="130" t="s">
        <v>57</v>
      </c>
      <c r="C37" s="20">
        <v>5776255.3700000001</v>
      </c>
      <c r="D37" s="177"/>
      <c r="F37" s="73" t="s">
        <v>15</v>
      </c>
      <c r="G37" s="92">
        <f>G23</f>
        <v>15771469</v>
      </c>
      <c r="H37" s="96" t="s">
        <v>157</v>
      </c>
      <c r="I37" s="69">
        <v>2583934</v>
      </c>
      <c r="J37" s="73" t="s">
        <v>16</v>
      </c>
      <c r="K37" s="92">
        <f>K24</f>
        <v>2669250</v>
      </c>
      <c r="L37" s="96" t="s">
        <v>157</v>
      </c>
      <c r="M37" s="69">
        <v>435058</v>
      </c>
      <c r="P37" s="180"/>
      <c r="Q37" s="180"/>
    </row>
    <row r="38" spans="1:17" ht="15.75">
      <c r="A38" s="79" t="s">
        <v>4</v>
      </c>
      <c r="B38" s="130" t="s">
        <v>57</v>
      </c>
      <c r="C38" s="20">
        <v>0</v>
      </c>
      <c r="D38" s="177"/>
      <c r="F38" s="73" t="s">
        <v>156</v>
      </c>
      <c r="G38" s="92">
        <f>G24</f>
        <v>19043</v>
      </c>
      <c r="H38" s="96" t="s">
        <v>157</v>
      </c>
      <c r="I38" s="69">
        <v>3121</v>
      </c>
      <c r="J38" s="73" t="s">
        <v>17</v>
      </c>
      <c r="K38" s="92">
        <f>K25</f>
        <v>3652</v>
      </c>
      <c r="L38" s="96" t="s">
        <v>157</v>
      </c>
      <c r="M38" s="69">
        <v>593</v>
      </c>
      <c r="P38" s="180"/>
      <c r="Q38" s="180"/>
    </row>
    <row r="39" spans="1:17" ht="15.75">
      <c r="A39" s="1" t="s">
        <v>84</v>
      </c>
      <c r="B39" s="130" t="s">
        <v>85</v>
      </c>
      <c r="C39" s="20">
        <v>-62803.33</v>
      </c>
      <c r="D39" s="177"/>
      <c r="F39" s="73" t="s">
        <v>16</v>
      </c>
      <c r="G39" s="92">
        <f t="shared" ref="G39:G44" si="0">G25</f>
        <v>5606266</v>
      </c>
      <c r="H39" s="96" t="s">
        <v>157</v>
      </c>
      <c r="I39" s="69">
        <v>923773</v>
      </c>
      <c r="J39" s="73" t="s">
        <v>18</v>
      </c>
      <c r="K39" s="92">
        <f>K26</f>
        <v>0</v>
      </c>
      <c r="L39" s="96" t="s">
        <v>157</v>
      </c>
      <c r="M39" s="69">
        <v>0</v>
      </c>
      <c r="P39" s="180"/>
      <c r="Q39" s="180"/>
    </row>
    <row r="40" spans="1:17" ht="15.75">
      <c r="A40" s="1" t="s">
        <v>73</v>
      </c>
      <c r="B40" s="130" t="s">
        <v>74</v>
      </c>
      <c r="C40" s="20">
        <v>2411896.9</v>
      </c>
      <c r="D40" s="177"/>
      <c r="F40" s="73" t="s">
        <v>17</v>
      </c>
      <c r="G40" s="92">
        <f t="shared" si="0"/>
        <v>7893</v>
      </c>
      <c r="H40" s="96" t="s">
        <v>157</v>
      </c>
      <c r="I40" s="69">
        <v>1293</v>
      </c>
      <c r="J40" s="73" t="s">
        <v>19</v>
      </c>
      <c r="K40" s="92">
        <f>K27</f>
        <v>0</v>
      </c>
      <c r="L40" s="96" t="s">
        <v>157</v>
      </c>
      <c r="M40" s="69">
        <f t="shared" ref="M40:M42" si="1">K40*L40</f>
        <v>0</v>
      </c>
      <c r="P40" s="180"/>
      <c r="Q40" s="180"/>
    </row>
    <row r="41" spans="1:17" ht="15.75">
      <c r="A41" s="1" t="s">
        <v>90</v>
      </c>
      <c r="B41" s="125" t="s">
        <v>91</v>
      </c>
      <c r="C41" s="20">
        <v>-72303.67</v>
      </c>
      <c r="D41" s="177"/>
      <c r="F41" s="73" t="s">
        <v>18</v>
      </c>
      <c r="G41" s="92">
        <f t="shared" si="0"/>
        <v>345298</v>
      </c>
      <c r="H41" s="96" t="s">
        <v>157</v>
      </c>
      <c r="I41" s="69">
        <v>56592</v>
      </c>
      <c r="J41" s="73" t="s">
        <v>20</v>
      </c>
      <c r="K41" s="91">
        <v>0</v>
      </c>
      <c r="L41" s="96" t="s">
        <v>157</v>
      </c>
      <c r="M41" s="69">
        <f t="shared" si="1"/>
        <v>0</v>
      </c>
      <c r="P41" s="180"/>
      <c r="Q41" s="180"/>
    </row>
    <row r="42" spans="1:17" ht="16.5" thickBot="1">
      <c r="A42" s="1" t="s">
        <v>108</v>
      </c>
      <c r="B42" s="130" t="s">
        <v>109</v>
      </c>
      <c r="C42" s="20">
        <v>602629.88</v>
      </c>
      <c r="D42" s="2"/>
      <c r="F42" s="73" t="s">
        <v>19</v>
      </c>
      <c r="G42" s="92">
        <f t="shared" si="0"/>
        <v>51647</v>
      </c>
      <c r="H42" s="96" t="s">
        <v>157</v>
      </c>
      <c r="I42" s="69">
        <v>8652</v>
      </c>
      <c r="J42" s="73" t="s">
        <v>21</v>
      </c>
      <c r="K42" s="93">
        <v>0</v>
      </c>
      <c r="L42" s="96" t="s">
        <v>157</v>
      </c>
      <c r="M42" s="69">
        <f t="shared" si="1"/>
        <v>0</v>
      </c>
      <c r="P42" s="180"/>
      <c r="Q42" s="180"/>
    </row>
    <row r="43" spans="1:17" ht="16.5" thickBot="1">
      <c r="A43" s="14" t="s">
        <v>65</v>
      </c>
      <c r="B43" s="4"/>
      <c r="C43" s="176">
        <f>SUM(C37:C42)</f>
        <v>8655675.1500000004</v>
      </c>
      <c r="D43" s="177"/>
      <c r="F43" s="73" t="s">
        <v>20</v>
      </c>
      <c r="G43" s="92">
        <f t="shared" si="0"/>
        <v>0</v>
      </c>
      <c r="H43" s="96" t="s">
        <v>157</v>
      </c>
      <c r="I43" s="69">
        <v>0</v>
      </c>
      <c r="J43" s="72" t="s">
        <v>75</v>
      </c>
      <c r="K43" s="54">
        <f>SUM(K36:K42)</f>
        <v>10086298</v>
      </c>
      <c r="L43" s="55"/>
      <c r="M43" s="70">
        <f>SUM(M36:M42)</f>
        <v>1640704</v>
      </c>
    </row>
    <row r="44" spans="1:17" ht="16.5" thickBot="1">
      <c r="A44" s="181" t="s">
        <v>107</v>
      </c>
      <c r="B44" s="182" t="s">
        <v>62</v>
      </c>
      <c r="C44" s="20">
        <f>0+1627939.45+159.14</f>
        <v>1628098.5899999999</v>
      </c>
      <c r="D44" s="2"/>
      <c r="F44" s="73" t="s">
        <v>21</v>
      </c>
      <c r="G44" s="92">
        <f t="shared" si="0"/>
        <v>113117</v>
      </c>
      <c r="H44" s="96" t="s">
        <v>157</v>
      </c>
      <c r="I44" s="69">
        <v>18549</v>
      </c>
      <c r="J44" s="67"/>
      <c r="K44" s="86">
        <v>10086298</v>
      </c>
      <c r="L44" s="62" t="s">
        <v>48</v>
      </c>
      <c r="M44" s="83">
        <f>M43/K43</f>
        <v>0.16266661960612308</v>
      </c>
    </row>
    <row r="45" spans="1:17" ht="16.5" thickBot="1">
      <c r="A45" s="79" t="s">
        <v>101</v>
      </c>
      <c r="B45" s="125" t="s">
        <v>57</v>
      </c>
      <c r="C45" s="20">
        <v>0</v>
      </c>
      <c r="D45" s="178"/>
      <c r="F45" s="72" t="s">
        <v>75</v>
      </c>
      <c r="G45" s="54">
        <f>SUM(G37:G44)</f>
        <v>21914733</v>
      </c>
      <c r="H45" s="55"/>
      <c r="I45" s="70">
        <f>SUM(I37:I44)</f>
        <v>3595914</v>
      </c>
      <c r="J45" s="14"/>
      <c r="K45" s="85"/>
      <c r="L45" s="60"/>
      <c r="M45" s="117"/>
    </row>
    <row r="46" spans="1:17" ht="19.5" customHeight="1" thickTop="1" thickBot="1">
      <c r="A46" s="79" t="s">
        <v>102</v>
      </c>
      <c r="B46" s="125" t="s">
        <v>57</v>
      </c>
      <c r="C46" s="20">
        <v>0</v>
      </c>
      <c r="D46" s="179"/>
      <c r="F46" s="61"/>
      <c r="G46" s="86">
        <v>21914733</v>
      </c>
      <c r="H46" s="62" t="s">
        <v>48</v>
      </c>
      <c r="I46" s="81">
        <f>I45/G45</f>
        <v>0.16408659872789688</v>
      </c>
      <c r="J46" s="14"/>
      <c r="K46" s="85"/>
      <c r="L46" s="60"/>
      <c r="M46" s="117"/>
    </row>
    <row r="47" spans="1:17" ht="19.5" customHeight="1">
      <c r="A47" s="95" t="s">
        <v>79</v>
      </c>
      <c r="B47" s="125" t="s">
        <v>57</v>
      </c>
      <c r="C47" s="20">
        <v>-9987.66</v>
      </c>
      <c r="D47" s="177"/>
      <c r="G47" s="84">
        <f>G45-G46</f>
        <v>0</v>
      </c>
      <c r="J47" s="21"/>
      <c r="K47" s="84">
        <f>K43-K44</f>
        <v>0</v>
      </c>
      <c r="M47" s="21"/>
    </row>
    <row r="48" spans="1:17" ht="16.5" thickBot="1">
      <c r="A48" s="79" t="s">
        <v>120</v>
      </c>
      <c r="B48" s="125" t="s">
        <v>57</v>
      </c>
      <c r="C48" s="20">
        <v>7000</v>
      </c>
      <c r="D48" s="177"/>
      <c r="J48" s="21"/>
      <c r="K48" s="18"/>
      <c r="M48" s="13"/>
    </row>
    <row r="49" spans="1:21" ht="15.75">
      <c r="A49" s="1" t="s">
        <v>72</v>
      </c>
      <c r="B49" s="130" t="s">
        <v>89</v>
      </c>
      <c r="C49" s="20">
        <v>16410.12</v>
      </c>
      <c r="D49" s="177"/>
      <c r="G49" s="18"/>
      <c r="H49" s="25" t="s">
        <v>13</v>
      </c>
      <c r="I49" s="5" t="s">
        <v>13</v>
      </c>
      <c r="J49" s="5" t="s">
        <v>25</v>
      </c>
      <c r="K49" s="23" t="s">
        <v>32</v>
      </c>
      <c r="L49" s="21"/>
    </row>
    <row r="50" spans="1:21" ht="16.5" thickBot="1">
      <c r="A50" s="1" t="s">
        <v>121</v>
      </c>
      <c r="B50" s="130" t="s">
        <v>89</v>
      </c>
      <c r="C50" s="20">
        <v>5860.22</v>
      </c>
      <c r="D50" s="2"/>
      <c r="F50" s="9" t="s">
        <v>35</v>
      </c>
      <c r="H50" s="26" t="s">
        <v>0</v>
      </c>
      <c r="I50" s="27" t="s">
        <v>1</v>
      </c>
      <c r="J50" s="27" t="s">
        <v>0</v>
      </c>
      <c r="K50" s="24" t="s">
        <v>1</v>
      </c>
    </row>
    <row r="51" spans="1:21" ht="15.75">
      <c r="A51" s="1" t="s">
        <v>159</v>
      </c>
      <c r="B51" s="130" t="s">
        <v>89</v>
      </c>
      <c r="C51" s="20">
        <v>5039.74</v>
      </c>
      <c r="D51" s="177"/>
      <c r="H51" s="30"/>
      <c r="I51" s="31"/>
      <c r="J51" s="31"/>
      <c r="K51" s="31"/>
      <c r="L51" s="22" t="s">
        <v>49</v>
      </c>
    </row>
    <row r="52" spans="1:21" ht="15.75">
      <c r="A52" s="42" t="s">
        <v>60</v>
      </c>
      <c r="B52" s="125"/>
      <c r="C52" s="17">
        <f>-C33</f>
        <v>28580.57</v>
      </c>
      <c r="D52" s="174"/>
      <c r="F52" s="95" t="s">
        <v>78</v>
      </c>
      <c r="H52" s="80">
        <f>K12</f>
        <v>3858185.1162720001</v>
      </c>
      <c r="I52" s="19">
        <f>I14</f>
        <v>1523621.2639800003</v>
      </c>
      <c r="J52" s="19">
        <f>L12</f>
        <v>1775784.4037280004</v>
      </c>
      <c r="K52" s="19">
        <f>J14</f>
        <v>682607.03602000012</v>
      </c>
      <c r="L52" s="28">
        <f>SUM(H52:K52)</f>
        <v>7840197.8200000012</v>
      </c>
    </row>
    <row r="53" spans="1:21" ht="16.5" thickBot="1">
      <c r="A53" s="95" t="s">
        <v>166</v>
      </c>
      <c r="B53" s="130" t="s">
        <v>167</v>
      </c>
      <c r="C53" s="20">
        <f>6346.37+0.02</f>
        <v>6346.39</v>
      </c>
      <c r="D53" s="177"/>
      <c r="F53" s="95" t="s">
        <v>51</v>
      </c>
      <c r="H53" s="80">
        <f>-I45</f>
        <v>-3595914</v>
      </c>
      <c r="I53" s="19">
        <f>-I32</f>
        <v>-2296441</v>
      </c>
      <c r="J53" s="19">
        <f>-M43</f>
        <v>-1640704</v>
      </c>
      <c r="K53" s="19">
        <f>-M28</f>
        <v>-1060968</v>
      </c>
      <c r="L53" s="90">
        <f>SUM(H53:K53)</f>
        <v>-8594027</v>
      </c>
    </row>
    <row r="54" spans="1:21" ht="16.5" thickBot="1">
      <c r="A54" s="95" t="s">
        <v>66</v>
      </c>
      <c r="B54" s="125" t="s">
        <v>153</v>
      </c>
      <c r="C54" s="20">
        <f>-1087890.77-1589166.12-1547849.34</f>
        <v>-4224906.2300000004</v>
      </c>
      <c r="D54" s="177"/>
      <c r="F54" s="95" t="s">
        <v>37</v>
      </c>
      <c r="H54" s="87">
        <v>0</v>
      </c>
      <c r="I54" s="88">
        <v>0</v>
      </c>
      <c r="J54" s="88">
        <v>0</v>
      </c>
      <c r="K54" s="89">
        <v>0</v>
      </c>
      <c r="L54" s="183">
        <f>SUM(L52:L53)</f>
        <v>-753829.17999999877</v>
      </c>
    </row>
    <row r="55" spans="1:21" ht="16.5" thickBot="1">
      <c r="A55" s="95" t="s">
        <v>163</v>
      </c>
      <c r="B55" s="125" t="s">
        <v>119</v>
      </c>
      <c r="C55" s="20">
        <v>-375000</v>
      </c>
      <c r="D55" s="177"/>
      <c r="F55" s="95" t="s">
        <v>33</v>
      </c>
      <c r="H55" s="176">
        <f>IFERROR(H52+H53+H54,0)</f>
        <v>262271.11627200013</v>
      </c>
      <c r="I55" s="176">
        <f>I52+I53+I54</f>
        <v>-772819.73601999972</v>
      </c>
      <c r="J55" s="176">
        <f>IFERROR(J52+J53+J54,0)</f>
        <v>135080.40372800035</v>
      </c>
      <c r="K55" s="176">
        <f>K52+K53+K54</f>
        <v>-378360.96397999988</v>
      </c>
      <c r="L55" s="184">
        <f>SUM(H55:K55)</f>
        <v>-753829.17999999912</v>
      </c>
    </row>
    <row r="56" spans="1:21" ht="16.5" thickBot="1">
      <c r="A56" s="185" t="s">
        <v>61</v>
      </c>
      <c r="B56" s="182"/>
      <c r="C56" s="34">
        <f>SUM(C43:C55)</f>
        <v>5743116.8900000006</v>
      </c>
      <c r="D56" s="177"/>
      <c r="F56" s="186" t="s">
        <v>111</v>
      </c>
      <c r="H56" s="95" t="s">
        <v>103</v>
      </c>
      <c r="I56" s="1">
        <f>SUM(H55:I55)</f>
        <v>-510548.61974799959</v>
      </c>
      <c r="J56" s="12" t="s">
        <v>104</v>
      </c>
      <c r="K56" s="95">
        <f>SUM(J55:K55)</f>
        <v>-243280.56025199953</v>
      </c>
      <c r="L56" s="187">
        <f>ROUND(L54-L55,3)</f>
        <v>0</v>
      </c>
      <c r="T56" s="188"/>
    </row>
    <row r="57" spans="1:21" ht="16.5" thickTop="1">
      <c r="A57" s="95" t="s">
        <v>63</v>
      </c>
      <c r="B57" s="125" t="s">
        <v>57</v>
      </c>
      <c r="C57" s="20">
        <v>-74701.33</v>
      </c>
      <c r="D57" s="177"/>
      <c r="F57" s="189" t="s">
        <v>111</v>
      </c>
      <c r="H57" s="190"/>
    </row>
    <row r="58" spans="1:21" ht="16.5" thickBot="1">
      <c r="A58" s="95" t="s">
        <v>64</v>
      </c>
      <c r="B58" s="125" t="s">
        <v>57</v>
      </c>
      <c r="C58" s="20">
        <v>-34446.04</v>
      </c>
      <c r="D58" s="177"/>
      <c r="F58" s="189" t="s">
        <v>112</v>
      </c>
      <c r="H58" s="178"/>
      <c r="I58" s="191"/>
      <c r="J58" s="191"/>
      <c r="K58" s="192"/>
      <c r="L58" s="191"/>
    </row>
    <row r="59" spans="1:21" ht="16.5" thickBot="1">
      <c r="A59" s="9" t="s">
        <v>67</v>
      </c>
      <c r="B59" s="9"/>
      <c r="C59" s="34">
        <f>SUM(C56:C58)</f>
        <v>5633969.5200000005</v>
      </c>
      <c r="D59" s="177"/>
      <c r="F59" s="193" t="s">
        <v>154</v>
      </c>
      <c r="G59" s="108" t="str">
        <f>IF(OR(AND(I56&gt;0,K56&gt;0),AND(I56&lt;0,K56&lt;0)),"OK","ERROR")</f>
        <v>OK</v>
      </c>
      <c r="H59" s="30" t="s">
        <v>151</v>
      </c>
      <c r="I59" s="75"/>
    </row>
    <row r="60" spans="1:21" ht="17.25" thickTop="1" thickBot="1">
      <c r="A60" s="9"/>
      <c r="C60" s="120"/>
      <c r="D60" s="177"/>
      <c r="H60" s="33" t="s">
        <v>105</v>
      </c>
      <c r="I60" s="194" t="s">
        <v>106</v>
      </c>
      <c r="J60" s="1"/>
    </row>
    <row r="61" spans="1:21" ht="16.5" thickBot="1">
      <c r="A61" s="29"/>
      <c r="B61" s="29" t="s">
        <v>45</v>
      </c>
      <c r="C61" s="176">
        <f>C59+C34</f>
        <v>7840197.8200000003</v>
      </c>
      <c r="D61" s="2"/>
      <c r="H61" s="94"/>
      <c r="I61" s="98"/>
      <c r="J61" s="95">
        <f>H53+I53+J53+K53</f>
        <v>-8594027</v>
      </c>
    </row>
    <row r="62" spans="1:21" ht="15.75">
      <c r="A62" s="9"/>
      <c r="B62" s="29" t="s">
        <v>94</v>
      </c>
      <c r="C62" s="126">
        <v>7840197.8200000003</v>
      </c>
      <c r="G62" s="1"/>
      <c r="I62" s="17"/>
      <c r="N62" s="1"/>
      <c r="O62" s="1"/>
      <c r="P62" s="195"/>
    </row>
    <row r="63" spans="1:21" ht="15.75">
      <c r="A63" s="29"/>
      <c r="B63" s="29" t="s">
        <v>93</v>
      </c>
      <c r="C63" s="17">
        <f>ROUND(C61-C62,2)</f>
        <v>0</v>
      </c>
      <c r="D63" s="177"/>
      <c r="S63" s="125"/>
    </row>
    <row r="64" spans="1:21" ht="15.75">
      <c r="A64" s="15"/>
      <c r="C64" s="196"/>
      <c r="D64" s="197"/>
      <c r="N64" s="42"/>
      <c r="U64" s="9"/>
    </row>
    <row r="65" spans="1:21" ht="15.75">
      <c r="A65" s="15"/>
      <c r="C65" s="2"/>
      <c r="D65" s="177"/>
      <c r="N65" s="42"/>
      <c r="S65" s="198"/>
    </row>
    <row r="66" spans="1:21" ht="15.75">
      <c r="A66" s="9"/>
      <c r="C66" s="2"/>
      <c r="D66" s="177"/>
      <c r="H66" s="190"/>
      <c r="N66" s="42"/>
      <c r="S66" s="199"/>
    </row>
    <row r="67" spans="1:21">
      <c r="C67" s="17"/>
      <c r="D67" s="177"/>
      <c r="N67" s="42"/>
      <c r="S67" s="200"/>
    </row>
    <row r="68" spans="1:21">
      <c r="D68" s="177"/>
      <c r="N68" s="42"/>
      <c r="S68" s="199"/>
    </row>
    <row r="69" spans="1:21">
      <c r="D69" s="2"/>
      <c r="N69" s="42"/>
    </row>
    <row r="70" spans="1:21">
      <c r="D70" s="177"/>
      <c r="N70" s="42"/>
      <c r="S70" s="201"/>
    </row>
    <row r="71" spans="1:21">
      <c r="D71" s="177"/>
    </row>
    <row r="72" spans="1:21">
      <c r="D72" s="177"/>
    </row>
    <row r="73" spans="1:21">
      <c r="D73" s="64"/>
      <c r="S73" s="202"/>
    </row>
    <row r="74" spans="1:21">
      <c r="R74" s="125"/>
      <c r="S74" s="125"/>
      <c r="T74" s="125"/>
    </row>
    <row r="76" spans="1:21">
      <c r="U76" s="203"/>
    </row>
    <row r="1477" spans="3:3">
      <c r="C1477" s="95">
        <v>-2130</v>
      </c>
    </row>
    <row r="1485" spans="3:3">
      <c r="C1485" s="95">
        <f>7004298-2130</f>
        <v>7002168</v>
      </c>
    </row>
  </sheetData>
  <mergeCells count="3">
    <mergeCell ref="F18:I18"/>
    <mergeCell ref="J18:M18"/>
    <mergeCell ref="K35:M35"/>
  </mergeCells>
  <conditionalFormatting sqref="C63 L56 I62">
    <cfRule type="cellIs" dxfId="32" priority="8" stopIfTrue="1" operator="equal">
      <formula>0</formula>
    </cfRule>
    <cfRule type="cellIs" dxfId="31" priority="9" stopIfTrue="1" operator="notEqual">
      <formula>0</formula>
    </cfRule>
  </conditionalFormatting>
  <conditionalFormatting sqref="G34 G47 K30 K47">
    <cfRule type="cellIs" dxfId="30" priority="7" operator="notEqual">
      <formula>0</formula>
    </cfRule>
  </conditionalFormatting>
  <conditionalFormatting sqref="C63">
    <cfRule type="cellIs" dxfId="29" priority="5" stopIfTrue="1" operator="equal">
      <formula>0</formula>
    </cfRule>
    <cfRule type="cellIs" dxfId="28" priority="6" stopIfTrue="1" operator="notEqual">
      <formula>0</formula>
    </cfRule>
  </conditionalFormatting>
  <conditionalFormatting sqref="K30">
    <cfRule type="cellIs" dxfId="27" priority="4" operator="notEqual">
      <formula>0</formula>
    </cfRule>
  </conditionalFormatting>
  <conditionalFormatting sqref="G59">
    <cfRule type="cellIs" dxfId="26" priority="3" operator="equal">
      <formula>"""ERROR"""</formula>
    </cfRule>
  </conditionalFormatting>
  <conditionalFormatting sqref="G59">
    <cfRule type="cellIs" dxfId="25" priority="2" operator="equal">
      <formula>"ERROR"</formula>
    </cfRule>
  </conditionalFormatting>
  <conditionalFormatting sqref="G59">
    <cfRule type="cellIs" dxfId="24" priority="1" operator="equal">
      <formula>"ERROR"</formula>
    </cfRule>
  </conditionalFormatting>
  <printOptions verticalCentered="1" gridLinesSet="0"/>
  <pageMargins left="0.5" right="0" top="0.25" bottom="0.5" header="0" footer="0.25"/>
  <pageSetup scale="47" orientation="landscape" cellComments="asDisplayed" r:id="rId1"/>
  <headerFooter alignWithMargins="0">
    <oddFooter>&amp;L&amp;F&amp;C&amp;A&amp;R&amp;D&amp;T</oddFooter>
  </headerFooter>
  <customProperties>
    <customPr name="xxe4aPID" r:id="rId2"/>
  </customProperties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9">
    <tabColor rgb="FF00CC66"/>
    <pageSetUpPr fitToPage="1"/>
  </sheetPr>
  <dimension ref="A1:U1485"/>
  <sheetViews>
    <sheetView showGridLines="0" tabSelected="1" topLeftCell="A19" zoomScale="70" zoomScaleNormal="70" workbookViewId="0">
      <selection activeCell="X1" sqref="X1:X1048576"/>
    </sheetView>
  </sheetViews>
  <sheetFormatPr defaultColWidth="16" defaultRowHeight="15"/>
  <cols>
    <col min="1" max="1" width="44.85546875" style="95" customWidth="1"/>
    <col min="2" max="2" width="25.5703125" style="95" customWidth="1"/>
    <col min="3" max="3" width="25.28515625" style="95" customWidth="1"/>
    <col min="4" max="4" width="2.7109375" style="95" customWidth="1"/>
    <col min="5" max="5" width="4.28515625" style="95" customWidth="1"/>
    <col min="6" max="6" width="26.7109375" style="95" customWidth="1"/>
    <col min="7" max="7" width="19" style="95" customWidth="1"/>
    <col min="8" max="8" width="22" style="95" customWidth="1"/>
    <col min="9" max="9" width="20.42578125" style="95" customWidth="1"/>
    <col min="10" max="10" width="26.28515625" style="95" customWidth="1"/>
    <col min="11" max="11" width="21.85546875" style="95" bestFit="1" customWidth="1"/>
    <col min="12" max="12" width="23.85546875" style="95" customWidth="1"/>
    <col min="13" max="13" width="20.85546875" style="95" bestFit="1" customWidth="1"/>
    <col min="14" max="15" width="16" style="95"/>
    <col min="16" max="16" width="16.28515625" style="95" bestFit="1" customWidth="1"/>
    <col min="17" max="16384" width="16" style="95"/>
  </cols>
  <sheetData>
    <row r="1" spans="1:12" ht="16.5" thickBot="1">
      <c r="A1" s="172" t="s">
        <v>26</v>
      </c>
      <c r="B1" s="173"/>
      <c r="C1" s="107">
        <f>Mar!C1+1</f>
        <v>201804</v>
      </c>
      <c r="F1" s="107">
        <f>C1</f>
        <v>201804</v>
      </c>
      <c r="H1" s="35" t="s">
        <v>31</v>
      </c>
      <c r="I1" s="22" t="s">
        <v>1</v>
      </c>
      <c r="J1" s="22" t="s">
        <v>1</v>
      </c>
      <c r="K1" s="22" t="s">
        <v>28</v>
      </c>
      <c r="L1" s="22" t="s">
        <v>28</v>
      </c>
    </row>
    <row r="2" spans="1:12" ht="15.75">
      <c r="C2" s="6"/>
      <c r="H2" s="36" t="s">
        <v>10</v>
      </c>
      <c r="I2" s="37" t="s">
        <v>27</v>
      </c>
      <c r="J2" s="37" t="s">
        <v>27</v>
      </c>
      <c r="K2" s="37" t="s">
        <v>29</v>
      </c>
      <c r="L2" s="37" t="s">
        <v>29</v>
      </c>
    </row>
    <row r="3" spans="1:12" ht="16.5" thickBot="1">
      <c r="A3" s="10" t="s">
        <v>52</v>
      </c>
      <c r="C3" s="7"/>
      <c r="D3" s="174"/>
      <c r="F3" s="9" t="s">
        <v>34</v>
      </c>
      <c r="H3" s="38" t="s">
        <v>30</v>
      </c>
      <c r="I3" s="38" t="s">
        <v>13</v>
      </c>
      <c r="J3" s="38" t="s">
        <v>25</v>
      </c>
      <c r="K3" s="38" t="s">
        <v>13</v>
      </c>
      <c r="L3" s="38" t="s">
        <v>25</v>
      </c>
    </row>
    <row r="4" spans="1:12" ht="15.75">
      <c r="A4" s="95" t="s">
        <v>38</v>
      </c>
      <c r="C4" s="20">
        <f>3538040.09+1470.91</f>
        <v>3539511</v>
      </c>
      <c r="D4" s="6"/>
      <c r="H4" s="3"/>
    </row>
    <row r="5" spans="1:12" ht="14.25" customHeight="1">
      <c r="A5" s="95" t="s">
        <v>9</v>
      </c>
      <c r="C5" s="20">
        <f>16061.06</f>
        <v>16061.06</v>
      </c>
      <c r="D5" s="6"/>
      <c r="H5" s="3"/>
      <c r="I5" s="175">
        <v>0.69059999999999999</v>
      </c>
      <c r="J5" s="175">
        <v>0.30940000000000001</v>
      </c>
      <c r="K5" s="97">
        <f>ROUND(G45/(G45+K43),4)</f>
        <v>0.67259999999999998</v>
      </c>
      <c r="L5" s="97">
        <f>1-K5</f>
        <v>0.32740000000000002</v>
      </c>
    </row>
    <row r="6" spans="1:12" ht="16.5" thickBot="1">
      <c r="A6" s="8" t="s">
        <v>8</v>
      </c>
      <c r="C6" s="116">
        <f>-1446530.02-412587-117882-132617.25-76033.89-94965.74</f>
        <v>-2280615.9000000004</v>
      </c>
      <c r="D6" s="6"/>
    </row>
    <row r="7" spans="1:12" ht="16.5" thickBot="1">
      <c r="A7" s="12" t="s">
        <v>82</v>
      </c>
      <c r="C7" s="17">
        <f>SUM(C4:C6)</f>
        <v>1274956.1599999997</v>
      </c>
      <c r="D7" s="7"/>
      <c r="F7" s="39" t="s">
        <v>81</v>
      </c>
      <c r="G7" s="39"/>
      <c r="H7" s="176">
        <f>C34</f>
        <v>2127344.9299999997</v>
      </c>
      <c r="I7" s="40">
        <f>H7*I5</f>
        <v>1469144.4086579997</v>
      </c>
      <c r="J7" s="40">
        <f>H7*J5</f>
        <v>658200.52134199988</v>
      </c>
      <c r="K7" s="40"/>
      <c r="L7" s="40"/>
    </row>
    <row r="8" spans="1:12" ht="15.75">
      <c r="A8" s="95" t="s">
        <v>39</v>
      </c>
      <c r="C8" s="20">
        <f>185334.94</f>
        <v>185334.94</v>
      </c>
      <c r="D8" s="7"/>
      <c r="H8" s="41"/>
      <c r="I8" s="41"/>
      <c r="J8" s="41"/>
      <c r="K8" s="41"/>
      <c r="L8" s="41"/>
    </row>
    <row r="9" spans="1:12" ht="15.75">
      <c r="A9" s="95" t="s">
        <v>40</v>
      </c>
      <c r="C9" s="20">
        <f>6414.09+8938.67</f>
        <v>15352.76</v>
      </c>
      <c r="D9" s="177"/>
      <c r="F9" s="39" t="s">
        <v>61</v>
      </c>
      <c r="H9" s="40">
        <f>C56</f>
        <v>1557712.2000000011</v>
      </c>
      <c r="I9" s="40"/>
      <c r="J9" s="40"/>
      <c r="K9" s="40">
        <f>H9*K5</f>
        <v>1047717.2257200007</v>
      </c>
      <c r="L9" s="40">
        <f>H9*L5</f>
        <v>509994.97428000043</v>
      </c>
    </row>
    <row r="10" spans="1:12" ht="15.75">
      <c r="A10" s="8" t="s">
        <v>41</v>
      </c>
      <c r="C10" s="116">
        <v>-3308.2</v>
      </c>
      <c r="D10" s="177"/>
      <c r="F10" s="42" t="s">
        <v>22</v>
      </c>
      <c r="H10" s="40">
        <f>C57</f>
        <v>47027.57</v>
      </c>
      <c r="I10" s="40"/>
      <c r="J10" s="40"/>
      <c r="K10" s="40">
        <f>H10</f>
        <v>47027.57</v>
      </c>
      <c r="L10" s="40"/>
    </row>
    <row r="11" spans="1:12">
      <c r="A11" s="12" t="s">
        <v>83</v>
      </c>
      <c r="C11" s="17">
        <f>SUM(C8:C10)</f>
        <v>197379.5</v>
      </c>
      <c r="D11" s="177"/>
      <c r="F11" s="42" t="s">
        <v>23</v>
      </c>
      <c r="H11" s="43">
        <f>C58</f>
        <v>21059.439999999999</v>
      </c>
      <c r="I11" s="40"/>
      <c r="J11" s="40"/>
      <c r="K11" s="43"/>
      <c r="L11" s="43">
        <f>H11</f>
        <v>21059.439999999999</v>
      </c>
    </row>
    <row r="12" spans="1:12" ht="15.75">
      <c r="A12" s="95" t="s">
        <v>98</v>
      </c>
      <c r="C12" s="20">
        <f>585.95+192443.54</f>
        <v>193029.49000000002</v>
      </c>
      <c r="D12" s="177"/>
      <c r="F12" s="42" t="s">
        <v>80</v>
      </c>
      <c r="H12" s="40">
        <f>H9+H10+H11</f>
        <v>1625799.2100000011</v>
      </c>
      <c r="I12" s="40"/>
      <c r="J12" s="40"/>
      <c r="K12" s="40">
        <f>SUM(K9:K11)</f>
        <v>1094744.7957200008</v>
      </c>
      <c r="L12" s="40">
        <f>SUM(L9:L11)</f>
        <v>531054.41428000038</v>
      </c>
    </row>
    <row r="13" spans="1:12" ht="16.5" thickBot="1">
      <c r="A13" s="8" t="s">
        <v>99</v>
      </c>
      <c r="C13" s="116">
        <v>0</v>
      </c>
      <c r="D13" s="177"/>
      <c r="F13" s="44"/>
      <c r="G13" s="45"/>
      <c r="H13" s="46"/>
      <c r="I13" s="47"/>
      <c r="J13" s="46"/>
      <c r="K13" s="41"/>
      <c r="L13" s="46"/>
    </row>
    <row r="14" spans="1:12" ht="16.5" thickBot="1">
      <c r="A14" s="12" t="s">
        <v>42</v>
      </c>
      <c r="C14" s="17">
        <f>SUM(C12:C13)</f>
        <v>193029.49000000002</v>
      </c>
      <c r="D14" s="2"/>
      <c r="F14" s="9" t="s">
        <v>31</v>
      </c>
      <c r="G14" s="48"/>
      <c r="H14" s="176">
        <f>H12+H7</f>
        <v>3753144.1400000006</v>
      </c>
      <c r="I14" s="49">
        <f>SUM(I7:I13)</f>
        <v>1469144.4086579997</v>
      </c>
      <c r="J14" s="49">
        <f>SUM(J7:J13)</f>
        <v>658200.52134199988</v>
      </c>
      <c r="K14" s="49">
        <f>K12</f>
        <v>1094744.7957200008</v>
      </c>
      <c r="L14" s="49">
        <f>L12</f>
        <v>531054.41428000038</v>
      </c>
    </row>
    <row r="15" spans="1:12" ht="15.75">
      <c r="A15" s="95" t="s">
        <v>113</v>
      </c>
      <c r="C15" s="20">
        <f>1201.68+394658.14</f>
        <v>395859.82</v>
      </c>
      <c r="D15" s="177"/>
      <c r="F15" s="44"/>
      <c r="G15" s="45" t="s">
        <v>48</v>
      </c>
      <c r="H15" s="46">
        <f>H14-C61</f>
        <v>0</v>
      </c>
      <c r="I15" s="50"/>
      <c r="J15" s="46">
        <f>J7+I7-H7</f>
        <v>0</v>
      </c>
      <c r="L15" s="46">
        <f>H12-K14-L14</f>
        <v>0</v>
      </c>
    </row>
    <row r="16" spans="1:12" ht="15.75">
      <c r="A16" s="8" t="s">
        <v>114</v>
      </c>
      <c r="C16" s="116">
        <v>0</v>
      </c>
      <c r="D16" s="177"/>
      <c r="F16" s="51"/>
      <c r="G16" s="45"/>
      <c r="H16" s="52"/>
      <c r="I16" s="53"/>
      <c r="J16" s="52"/>
      <c r="L16" s="52"/>
    </row>
    <row r="17" spans="1:13" ht="15.75" thickBot="1">
      <c r="A17" s="12" t="s">
        <v>115</v>
      </c>
      <c r="C17" s="17">
        <f>SUM(C15:C16)</f>
        <v>395859.82</v>
      </c>
      <c r="D17" s="2"/>
      <c r="F17" s="44"/>
      <c r="G17" s="45"/>
      <c r="H17" s="52"/>
      <c r="I17" s="53"/>
      <c r="J17" s="56"/>
      <c r="L17" s="52"/>
    </row>
    <row r="18" spans="1:13" ht="16.5" thickBot="1">
      <c r="A18" s="95" t="s">
        <v>96</v>
      </c>
      <c r="C18" s="20">
        <f>259.47+10132.2+82836.48</f>
        <v>93228.15</v>
      </c>
      <c r="D18" s="177"/>
      <c r="F18" s="204" t="s">
        <v>76</v>
      </c>
      <c r="G18" s="205"/>
      <c r="H18" s="205"/>
      <c r="I18" s="206"/>
      <c r="J18" s="204" t="s">
        <v>77</v>
      </c>
      <c r="K18" s="205"/>
      <c r="L18" s="205"/>
      <c r="M18" s="206"/>
    </row>
    <row r="19" spans="1:13" ht="15.75">
      <c r="A19" s="8" t="s">
        <v>97</v>
      </c>
      <c r="C19" s="116">
        <f>713.84</f>
        <v>713.84</v>
      </c>
      <c r="D19" s="177"/>
      <c r="F19" s="74" t="s">
        <v>50</v>
      </c>
      <c r="G19" s="37" t="s">
        <v>11</v>
      </c>
      <c r="H19" s="37" t="s">
        <v>11</v>
      </c>
      <c r="I19" s="37" t="s">
        <v>11</v>
      </c>
      <c r="J19" s="74" t="s">
        <v>50</v>
      </c>
      <c r="K19" s="37" t="s">
        <v>11</v>
      </c>
      <c r="L19" s="37" t="s">
        <v>11</v>
      </c>
      <c r="M19" s="58" t="s">
        <v>11</v>
      </c>
    </row>
    <row r="20" spans="1:13" ht="16.5" thickBot="1">
      <c r="A20" s="11" t="s">
        <v>43</v>
      </c>
      <c r="C20" s="17">
        <f>SUM(C18:C19)</f>
        <v>93941.989999999991</v>
      </c>
      <c r="D20" s="177"/>
      <c r="F20" s="68" t="s">
        <v>95</v>
      </c>
      <c r="G20" s="38" t="s">
        <v>47</v>
      </c>
      <c r="H20" s="38" t="s">
        <v>14</v>
      </c>
      <c r="I20" s="38" t="s">
        <v>12</v>
      </c>
      <c r="J20" s="68" t="s">
        <v>95</v>
      </c>
      <c r="K20" s="38" t="s">
        <v>47</v>
      </c>
      <c r="L20" s="38" t="s">
        <v>14</v>
      </c>
      <c r="M20" s="38" t="s">
        <v>12</v>
      </c>
    </row>
    <row r="21" spans="1:13" ht="15.75">
      <c r="A21" s="8" t="s">
        <v>87</v>
      </c>
      <c r="C21" s="116">
        <f>1850+2455.63</f>
        <v>4305.63</v>
      </c>
      <c r="D21" s="177"/>
      <c r="F21" s="57"/>
      <c r="G21" s="4"/>
      <c r="H21" s="4"/>
      <c r="I21" s="58"/>
      <c r="J21" s="25"/>
      <c r="K21" s="5"/>
      <c r="L21" s="5"/>
      <c r="M21" s="75"/>
    </row>
    <row r="22" spans="1:13" ht="18" customHeight="1">
      <c r="A22" s="11" t="s">
        <v>87</v>
      </c>
      <c r="C22" s="17">
        <f>SUM(C21)</f>
        <v>4305.63</v>
      </c>
      <c r="D22" s="177"/>
      <c r="F22" s="72" t="s">
        <v>68</v>
      </c>
      <c r="G22" s="1"/>
      <c r="H22" s="1"/>
      <c r="I22" s="16"/>
      <c r="J22" s="72" t="s">
        <v>68</v>
      </c>
      <c r="K22" s="1"/>
      <c r="L22" s="1"/>
      <c r="M22" s="16"/>
    </row>
    <row r="23" spans="1:13" ht="15.75">
      <c r="A23" s="76" t="s">
        <v>110</v>
      </c>
      <c r="C23" s="17">
        <v>0</v>
      </c>
      <c r="D23" s="177"/>
      <c r="F23" s="73" t="s">
        <v>15</v>
      </c>
      <c r="G23" s="91">
        <v>9759881</v>
      </c>
      <c r="H23" s="96">
        <v>0.10743999999999999</v>
      </c>
      <c r="I23" s="69">
        <f t="shared" ref="I23:I31" si="0">G23*H23</f>
        <v>1048601.61464</v>
      </c>
      <c r="J23" s="73" t="s">
        <v>15</v>
      </c>
      <c r="K23" s="91">
        <v>5025669</v>
      </c>
      <c r="L23" s="96">
        <v>0.10496999999999999</v>
      </c>
      <c r="M23" s="69">
        <f>K23*L23</f>
        <v>527544.47493000003</v>
      </c>
    </row>
    <row r="24" spans="1:13" ht="15.75">
      <c r="A24" s="76" t="s">
        <v>116</v>
      </c>
      <c r="C24" s="20">
        <v>0</v>
      </c>
      <c r="D24" s="177"/>
      <c r="F24" s="73" t="s">
        <v>156</v>
      </c>
      <c r="G24" s="91">
        <v>11770</v>
      </c>
      <c r="H24" s="96">
        <v>0.10743999999999999</v>
      </c>
      <c r="I24" s="69">
        <f t="shared" si="0"/>
        <v>1264.5688</v>
      </c>
      <c r="J24" s="73" t="s">
        <v>16</v>
      </c>
      <c r="K24" s="91">
        <v>1996498</v>
      </c>
      <c r="L24" s="96">
        <v>0.10496999999999999</v>
      </c>
      <c r="M24" s="69">
        <f t="shared" ref="M24:M27" si="1">K24*L24</f>
        <v>209572.39505999998</v>
      </c>
    </row>
    <row r="25" spans="1:13" ht="15.75">
      <c r="A25" s="76" t="s">
        <v>118</v>
      </c>
      <c r="C25" s="118">
        <v>0</v>
      </c>
      <c r="D25" s="177"/>
      <c r="F25" s="73" t="s">
        <v>16</v>
      </c>
      <c r="G25" s="91">
        <v>4266905</v>
      </c>
      <c r="H25" s="96">
        <v>9.8650000000000002E-2</v>
      </c>
      <c r="I25" s="69">
        <f t="shared" si="0"/>
        <v>420930.17825</v>
      </c>
      <c r="J25" s="73" t="s">
        <v>17</v>
      </c>
      <c r="K25" s="91">
        <v>34433</v>
      </c>
      <c r="L25" s="96">
        <v>0.10496999999999999</v>
      </c>
      <c r="M25" s="69">
        <f t="shared" si="1"/>
        <v>3614.43201</v>
      </c>
    </row>
    <row r="26" spans="1:13" ht="15.75">
      <c r="A26" s="77" t="s">
        <v>117</v>
      </c>
      <c r="C26" s="119">
        <v>0</v>
      </c>
      <c r="D26" s="177"/>
      <c r="F26" s="73" t="s">
        <v>17</v>
      </c>
      <c r="G26" s="91">
        <v>9867</v>
      </c>
      <c r="H26" s="96">
        <v>9.8650000000000002E-2</v>
      </c>
      <c r="I26" s="69">
        <f t="shared" si="0"/>
        <v>973.37954999999999</v>
      </c>
      <c r="J26" s="73" t="s">
        <v>18</v>
      </c>
      <c r="K26" s="91">
        <v>0</v>
      </c>
      <c r="L26" s="96">
        <v>0.10496999999999999</v>
      </c>
      <c r="M26" s="69">
        <f t="shared" si="1"/>
        <v>0</v>
      </c>
    </row>
    <row r="27" spans="1:13" ht="15.75">
      <c r="A27" s="11" t="s">
        <v>46</v>
      </c>
      <c r="C27" s="17">
        <f>SUM(C23:C26)</f>
        <v>0</v>
      </c>
      <c r="D27" s="177"/>
      <c r="F27" s="73" t="s">
        <v>18</v>
      </c>
      <c r="G27" s="91">
        <v>305691</v>
      </c>
      <c r="H27" s="96">
        <v>0.10433000000000001</v>
      </c>
      <c r="I27" s="69">
        <f t="shared" si="0"/>
        <v>31892.742030000001</v>
      </c>
      <c r="J27" s="73" t="s">
        <v>19</v>
      </c>
      <c r="K27" s="91">
        <v>0</v>
      </c>
      <c r="L27" s="96">
        <v>0.10496999999999999</v>
      </c>
      <c r="M27" s="69">
        <f t="shared" si="1"/>
        <v>0</v>
      </c>
    </row>
    <row r="28" spans="1:13" ht="16.5" thickBot="1">
      <c r="A28" s="78" t="s">
        <v>88</v>
      </c>
      <c r="C28" s="20">
        <v>0</v>
      </c>
      <c r="D28" s="2"/>
      <c r="F28" s="73" t="s">
        <v>19</v>
      </c>
      <c r="G28" s="91">
        <v>46438</v>
      </c>
      <c r="H28" s="96">
        <v>0.10433000000000001</v>
      </c>
      <c r="I28" s="69">
        <f t="shared" si="0"/>
        <v>4844.8765400000002</v>
      </c>
      <c r="J28" s="72" t="s">
        <v>69</v>
      </c>
      <c r="K28" s="54">
        <f>SUM(K23:K27)</f>
        <v>7056600</v>
      </c>
      <c r="L28" s="55"/>
      <c r="M28" s="70">
        <f>SUM(M23:M27)</f>
        <v>740731.30200000003</v>
      </c>
    </row>
    <row r="29" spans="1:13" ht="17.25" thickTop="1" thickBot="1">
      <c r="A29" s="78" t="s">
        <v>100</v>
      </c>
      <c r="C29" s="20">
        <v>0</v>
      </c>
      <c r="D29" s="177"/>
      <c r="F29" s="73" t="s">
        <v>20</v>
      </c>
      <c r="G29" s="91">
        <v>0</v>
      </c>
      <c r="H29" s="96">
        <v>6.2480000000000001E-2</v>
      </c>
      <c r="I29" s="69">
        <f t="shared" si="0"/>
        <v>0</v>
      </c>
      <c r="J29" s="72"/>
      <c r="K29" s="85">
        <v>7056600</v>
      </c>
      <c r="L29" s="60" t="s">
        <v>48</v>
      </c>
      <c r="M29" s="101">
        <f>M28/K28</f>
        <v>0.10497000000000001</v>
      </c>
    </row>
    <row r="30" spans="1:13" ht="16.5" thickBot="1">
      <c r="A30" s="9" t="s">
        <v>53</v>
      </c>
      <c r="C30" s="176">
        <f>C7+C11+C14+C17+C20+C22+C27+C28+C29</f>
        <v>2159472.59</v>
      </c>
      <c r="D30" s="2"/>
      <c r="F30" s="73" t="s">
        <v>21</v>
      </c>
      <c r="G30" s="91">
        <v>93219</v>
      </c>
      <c r="H30" s="96">
        <v>6.2480000000000001E-2</v>
      </c>
      <c r="I30" s="69">
        <f t="shared" si="0"/>
        <v>5824.32312</v>
      </c>
      <c r="J30" s="73"/>
      <c r="K30" s="84">
        <f>K28-K29</f>
        <v>0</v>
      </c>
      <c r="L30" s="55"/>
      <c r="M30" s="71"/>
    </row>
    <row r="31" spans="1:13" ht="15.75">
      <c r="A31" s="95" t="s">
        <v>54</v>
      </c>
      <c r="C31" s="20">
        <v>0</v>
      </c>
      <c r="D31" s="178"/>
      <c r="F31" s="73" t="s">
        <v>36</v>
      </c>
      <c r="G31" s="91">
        <v>3031741</v>
      </c>
      <c r="H31" s="96">
        <v>5.4000000000000001E-4</v>
      </c>
      <c r="I31" s="69">
        <f t="shared" si="0"/>
        <v>1637.14014</v>
      </c>
      <c r="J31" s="32"/>
      <c r="K31" s="1"/>
      <c r="L31" s="55"/>
      <c r="M31" s="71"/>
    </row>
    <row r="32" spans="1:13" ht="16.5" thickBot="1">
      <c r="A32" s="9" t="s">
        <v>58</v>
      </c>
      <c r="B32" s="9" t="s">
        <v>59</v>
      </c>
      <c r="C32" s="120">
        <f>C30+C31</f>
        <v>2159472.59</v>
      </c>
      <c r="D32" s="179"/>
      <c r="F32" s="72" t="s">
        <v>69</v>
      </c>
      <c r="G32" s="54">
        <f>SUM(G23:G31)</f>
        <v>17525512</v>
      </c>
      <c r="H32" s="1"/>
      <c r="I32" s="70">
        <f>SUM(I23:I31)</f>
        <v>1515968.8230700004</v>
      </c>
      <c r="J32" s="65"/>
      <c r="K32" s="66"/>
      <c r="L32" s="1"/>
      <c r="M32" s="63"/>
    </row>
    <row r="33" spans="1:17" ht="17.25" thickTop="1" thickBot="1">
      <c r="A33" s="95" t="s">
        <v>55</v>
      </c>
      <c r="C33" s="120">
        <f>-C5-C9-C13-C16-C19</f>
        <v>-32127.66</v>
      </c>
      <c r="D33" s="177"/>
      <c r="F33" s="59"/>
      <c r="G33" s="85">
        <v>17525512</v>
      </c>
      <c r="H33" s="60" t="s">
        <v>48</v>
      </c>
      <c r="I33" s="82">
        <f>I32/G32</f>
        <v>8.6500686717169831E-2</v>
      </c>
      <c r="J33" s="65"/>
      <c r="K33" s="66"/>
      <c r="L33" s="1"/>
      <c r="M33" s="16"/>
    </row>
    <row r="34" spans="1:17" ht="16.5" thickBot="1">
      <c r="A34" s="9" t="s">
        <v>56</v>
      </c>
      <c r="C34" s="176">
        <f>SUM(C32:C33)</f>
        <v>2127344.9299999997</v>
      </c>
      <c r="D34" s="177"/>
      <c r="F34" s="32"/>
      <c r="G34" s="84">
        <f>G32-G33</f>
        <v>0</v>
      </c>
      <c r="H34" s="1"/>
      <c r="I34" s="16"/>
      <c r="J34" s="65"/>
      <c r="K34" s="64"/>
      <c r="L34" s="1"/>
      <c r="M34" s="16"/>
    </row>
    <row r="35" spans="1:17" ht="18" customHeight="1">
      <c r="A35" s="9"/>
      <c r="C35" s="120"/>
      <c r="D35" s="177"/>
      <c r="F35" s="57"/>
      <c r="G35" s="4"/>
      <c r="H35" s="4"/>
      <c r="I35" s="58"/>
      <c r="J35" s="72" t="s">
        <v>70</v>
      </c>
      <c r="K35" s="207"/>
      <c r="L35" s="207"/>
      <c r="M35" s="208"/>
    </row>
    <row r="36" spans="1:17" ht="15.75">
      <c r="A36" s="3" t="s">
        <v>44</v>
      </c>
      <c r="B36" s="9"/>
      <c r="C36" s="17"/>
      <c r="D36" s="177"/>
      <c r="F36" s="72" t="s">
        <v>70</v>
      </c>
      <c r="G36" s="1"/>
      <c r="H36" s="1"/>
      <c r="I36" s="16"/>
      <c r="J36" s="73" t="s">
        <v>15</v>
      </c>
      <c r="K36" s="92">
        <f>K23</f>
        <v>5025669</v>
      </c>
      <c r="L36" s="96">
        <v>0.16236</v>
      </c>
      <c r="M36" s="69">
        <f t="shared" ref="M36:M42" si="2">K36*L36</f>
        <v>815967.61884000001</v>
      </c>
      <c r="P36" s="180"/>
      <c r="Q36" s="180"/>
    </row>
    <row r="37" spans="1:17" ht="15.75">
      <c r="A37" s="1" t="s">
        <v>71</v>
      </c>
      <c r="B37" s="130" t="s">
        <v>57</v>
      </c>
      <c r="C37" s="20">
        <v>4780218.71</v>
      </c>
      <c r="D37" s="177"/>
      <c r="F37" s="73" t="s">
        <v>15</v>
      </c>
      <c r="G37" s="92">
        <f>G23</f>
        <v>9759881</v>
      </c>
      <c r="H37" s="96">
        <v>0.16436000000000001</v>
      </c>
      <c r="I37" s="69">
        <f t="shared" ref="I37:I44" si="3">G37*H37</f>
        <v>1604134.04116</v>
      </c>
      <c r="J37" s="73" t="s">
        <v>16</v>
      </c>
      <c r="K37" s="92">
        <f>K24</f>
        <v>1996498</v>
      </c>
      <c r="L37" s="96">
        <v>0.16236</v>
      </c>
      <c r="M37" s="69">
        <f t="shared" si="2"/>
        <v>324151.41528000002</v>
      </c>
      <c r="P37" s="180"/>
      <c r="Q37" s="180"/>
    </row>
    <row r="38" spans="1:17" ht="15.75">
      <c r="A38" s="79" t="s">
        <v>4</v>
      </c>
      <c r="B38" s="130" t="s">
        <v>57</v>
      </c>
      <c r="C38" s="20"/>
      <c r="D38" s="177"/>
      <c r="F38" s="73" t="s">
        <v>156</v>
      </c>
      <c r="G38" s="92">
        <f>G24</f>
        <v>11770</v>
      </c>
      <c r="H38" s="96">
        <v>0.16436000000000001</v>
      </c>
      <c r="I38" s="69">
        <f t="shared" si="3"/>
        <v>1934.5172</v>
      </c>
      <c r="J38" s="73" t="s">
        <v>17</v>
      </c>
      <c r="K38" s="92">
        <f>K25</f>
        <v>34433</v>
      </c>
      <c r="L38" s="96">
        <v>0.16236</v>
      </c>
      <c r="M38" s="69">
        <f t="shared" si="2"/>
        <v>5590.5418799999998</v>
      </c>
      <c r="P38" s="180"/>
      <c r="Q38" s="180"/>
    </row>
    <row r="39" spans="1:17" ht="15.75">
      <c r="A39" s="1" t="s">
        <v>84</v>
      </c>
      <c r="B39" s="130" t="s">
        <v>85</v>
      </c>
      <c r="C39" s="20">
        <v>-72610.350000000006</v>
      </c>
      <c r="D39" s="177"/>
      <c r="F39" s="73" t="s">
        <v>16</v>
      </c>
      <c r="G39" s="92">
        <f t="shared" ref="G39:G44" si="4">G25</f>
        <v>4266905</v>
      </c>
      <c r="H39" s="96">
        <v>0.16436000000000001</v>
      </c>
      <c r="I39" s="69">
        <f t="shared" si="3"/>
        <v>701308.50580000004</v>
      </c>
      <c r="J39" s="73" t="s">
        <v>18</v>
      </c>
      <c r="K39" s="92">
        <f>K26</f>
        <v>0</v>
      </c>
      <c r="L39" s="96">
        <v>0.16236</v>
      </c>
      <c r="M39" s="69">
        <f t="shared" si="2"/>
        <v>0</v>
      </c>
      <c r="P39" s="180"/>
      <c r="Q39" s="180"/>
    </row>
    <row r="40" spans="1:17" ht="15.75">
      <c r="A40" s="1" t="s">
        <v>73</v>
      </c>
      <c r="B40" s="130" t="s">
        <v>74</v>
      </c>
      <c r="C40" s="20">
        <v>705923.29</v>
      </c>
      <c r="D40" s="177"/>
      <c r="F40" s="73" t="s">
        <v>17</v>
      </c>
      <c r="G40" s="92">
        <f t="shared" si="4"/>
        <v>9867</v>
      </c>
      <c r="H40" s="96">
        <v>0.16436000000000001</v>
      </c>
      <c r="I40" s="69">
        <f t="shared" si="3"/>
        <v>1621.7401200000002</v>
      </c>
      <c r="J40" s="73" t="s">
        <v>19</v>
      </c>
      <c r="K40" s="92">
        <f>K27</f>
        <v>0</v>
      </c>
      <c r="L40" s="96">
        <v>0.16236</v>
      </c>
      <c r="M40" s="69">
        <f t="shared" si="2"/>
        <v>0</v>
      </c>
      <c r="P40" s="180"/>
      <c r="Q40" s="180"/>
    </row>
    <row r="41" spans="1:17" ht="15.75">
      <c r="A41" s="1" t="s">
        <v>90</v>
      </c>
      <c r="B41" s="125" t="s">
        <v>91</v>
      </c>
      <c r="C41" s="20">
        <f>17615.42+9619.56</f>
        <v>27234.979999999996</v>
      </c>
      <c r="D41" s="177"/>
      <c r="F41" s="73" t="s">
        <v>18</v>
      </c>
      <c r="G41" s="92">
        <f t="shared" si="4"/>
        <v>305691</v>
      </c>
      <c r="H41" s="96">
        <v>0.16436000000000001</v>
      </c>
      <c r="I41" s="69">
        <f t="shared" si="3"/>
        <v>50243.372759999998</v>
      </c>
      <c r="J41" s="73" t="s">
        <v>20</v>
      </c>
      <c r="K41" s="91">
        <v>0</v>
      </c>
      <c r="L41" s="96">
        <v>0.16236</v>
      </c>
      <c r="M41" s="69">
        <f t="shared" si="2"/>
        <v>0</v>
      </c>
      <c r="P41" s="180"/>
      <c r="Q41" s="180"/>
    </row>
    <row r="42" spans="1:17" ht="16.5" thickBot="1">
      <c r="A42" s="1" t="s">
        <v>108</v>
      </c>
      <c r="B42" s="130" t="s">
        <v>109</v>
      </c>
      <c r="C42" s="20">
        <v>747786.54</v>
      </c>
      <c r="D42" s="2"/>
      <c r="F42" s="73" t="s">
        <v>19</v>
      </c>
      <c r="G42" s="92">
        <f t="shared" si="4"/>
        <v>46438</v>
      </c>
      <c r="H42" s="96">
        <v>0.16436000000000001</v>
      </c>
      <c r="I42" s="69">
        <f t="shared" si="3"/>
        <v>7632.5496800000001</v>
      </c>
      <c r="J42" s="73" t="s">
        <v>21</v>
      </c>
      <c r="K42" s="93">
        <v>0</v>
      </c>
      <c r="L42" s="96">
        <v>0.16236</v>
      </c>
      <c r="M42" s="69">
        <f t="shared" si="2"/>
        <v>0</v>
      </c>
      <c r="P42" s="180"/>
      <c r="Q42" s="180"/>
    </row>
    <row r="43" spans="1:17" ht="16.5" thickBot="1">
      <c r="A43" s="14" t="s">
        <v>65</v>
      </c>
      <c r="B43" s="4"/>
      <c r="C43" s="176">
        <f>SUM(C37:C42)</f>
        <v>6188553.1700000009</v>
      </c>
      <c r="D43" s="177"/>
      <c r="F43" s="73" t="s">
        <v>20</v>
      </c>
      <c r="G43" s="92">
        <f t="shared" si="4"/>
        <v>0</v>
      </c>
      <c r="H43" s="96">
        <v>0.16436000000000001</v>
      </c>
      <c r="I43" s="69">
        <f t="shared" si="3"/>
        <v>0</v>
      </c>
      <c r="J43" s="72" t="s">
        <v>75</v>
      </c>
      <c r="K43" s="54">
        <f>SUM(K36:K42)</f>
        <v>7056600</v>
      </c>
      <c r="L43" s="55"/>
      <c r="M43" s="70">
        <f>SUM(M36:M42)</f>
        <v>1145709.5759999999</v>
      </c>
    </row>
    <row r="44" spans="1:17" ht="16.5" thickBot="1">
      <c r="A44" s="181" t="s">
        <v>107</v>
      </c>
      <c r="B44" s="182" t="s">
        <v>62</v>
      </c>
      <c r="C44" s="20">
        <f>-879535.98+700112.94+0+766.2</f>
        <v>-178656.84000000003</v>
      </c>
      <c r="D44" s="2"/>
      <c r="F44" s="73" t="s">
        <v>21</v>
      </c>
      <c r="G44" s="92">
        <f t="shared" si="4"/>
        <v>93219</v>
      </c>
      <c r="H44" s="96">
        <v>0.16436000000000001</v>
      </c>
      <c r="I44" s="69">
        <f t="shared" si="3"/>
        <v>15321.474840000001</v>
      </c>
      <c r="J44" s="67"/>
      <c r="K44" s="86">
        <v>7056600</v>
      </c>
      <c r="L44" s="62" t="s">
        <v>48</v>
      </c>
      <c r="M44" s="83">
        <f>M43/K43</f>
        <v>0.16235999999999998</v>
      </c>
    </row>
    <row r="45" spans="1:17" ht="16.5" thickBot="1">
      <c r="A45" s="79" t="s">
        <v>101</v>
      </c>
      <c r="B45" s="125" t="s">
        <v>57</v>
      </c>
      <c r="C45" s="20">
        <v>0</v>
      </c>
      <c r="D45" s="178"/>
      <c r="F45" s="72" t="s">
        <v>75</v>
      </c>
      <c r="G45" s="54">
        <f>SUM(G37:G44)</f>
        <v>14493771</v>
      </c>
      <c r="H45" s="55"/>
      <c r="I45" s="70">
        <f>SUM(I37:I44)</f>
        <v>2382196.2015600004</v>
      </c>
      <c r="J45" s="14"/>
      <c r="K45" s="84">
        <f>K43-K44</f>
        <v>0</v>
      </c>
      <c r="L45" s="60"/>
      <c r="M45" s="117"/>
    </row>
    <row r="46" spans="1:17" ht="19.5" customHeight="1" thickTop="1" thickBot="1">
      <c r="A46" s="79" t="s">
        <v>102</v>
      </c>
      <c r="B46" s="125" t="s">
        <v>57</v>
      </c>
      <c r="C46" s="20">
        <v>0</v>
      </c>
      <c r="D46" s="179"/>
      <c r="F46" s="61"/>
      <c r="G46" s="86">
        <v>14493771</v>
      </c>
      <c r="H46" s="62" t="s">
        <v>48</v>
      </c>
      <c r="I46" s="81">
        <f>I45/G45</f>
        <v>0.16436000000000003</v>
      </c>
      <c r="J46" s="14"/>
      <c r="K46" s="85"/>
      <c r="L46" s="60"/>
      <c r="M46" s="117"/>
    </row>
    <row r="47" spans="1:17" ht="19.5" customHeight="1">
      <c r="A47" s="95" t="s">
        <v>79</v>
      </c>
      <c r="B47" s="125" t="s">
        <v>57</v>
      </c>
      <c r="C47" s="20">
        <v>0</v>
      </c>
      <c r="D47" s="177"/>
      <c r="G47" s="84">
        <f>G45-G46</f>
        <v>0</v>
      </c>
      <c r="J47" s="21"/>
      <c r="K47" s="84"/>
      <c r="M47" s="21"/>
    </row>
    <row r="48" spans="1:17" ht="16.5" thickBot="1">
      <c r="A48" s="79" t="s">
        <v>155</v>
      </c>
      <c r="B48" s="125" t="s">
        <v>57</v>
      </c>
      <c r="C48" s="20">
        <v>7000</v>
      </c>
      <c r="D48" s="177"/>
      <c r="J48" s="21"/>
      <c r="K48" s="18"/>
      <c r="M48" s="13"/>
    </row>
    <row r="49" spans="1:21" ht="15.75">
      <c r="A49" s="1" t="s">
        <v>72</v>
      </c>
      <c r="B49" s="130" t="s">
        <v>89</v>
      </c>
      <c r="C49" s="20">
        <v>20666.11</v>
      </c>
      <c r="D49" s="177"/>
      <c r="G49" s="18"/>
      <c r="H49" s="25" t="s">
        <v>13</v>
      </c>
      <c r="I49" s="5" t="s">
        <v>13</v>
      </c>
      <c r="J49" s="5" t="s">
        <v>25</v>
      </c>
      <c r="K49" s="23" t="s">
        <v>32</v>
      </c>
      <c r="L49" s="21"/>
    </row>
    <row r="50" spans="1:21" ht="16.5" thickBot="1">
      <c r="A50" s="1" t="s">
        <v>121</v>
      </c>
      <c r="B50" s="130" t="s">
        <v>89</v>
      </c>
      <c r="C50" s="20">
        <v>2760.85</v>
      </c>
      <c r="D50" s="2"/>
      <c r="F50" s="9" t="s">
        <v>35</v>
      </c>
      <c r="H50" s="26" t="s">
        <v>0</v>
      </c>
      <c r="I50" s="27" t="s">
        <v>1</v>
      </c>
      <c r="J50" s="27" t="s">
        <v>0</v>
      </c>
      <c r="K50" s="24" t="s">
        <v>1</v>
      </c>
    </row>
    <row r="51" spans="1:21" ht="15.75">
      <c r="A51" s="1" t="s">
        <v>159</v>
      </c>
      <c r="B51" s="130" t="s">
        <v>89</v>
      </c>
      <c r="C51" s="20">
        <v>1813.07</v>
      </c>
      <c r="D51" s="177"/>
      <c r="H51" s="30"/>
      <c r="I51" s="31"/>
      <c r="J51" s="31"/>
      <c r="K51" s="31"/>
      <c r="L51" s="22" t="s">
        <v>49</v>
      </c>
    </row>
    <row r="52" spans="1:21" ht="15.75">
      <c r="A52" s="42" t="s">
        <v>60</v>
      </c>
      <c r="B52" s="125"/>
      <c r="C52" s="17">
        <f>-C33</f>
        <v>32127.66</v>
      </c>
      <c r="D52" s="174"/>
      <c r="F52" s="95" t="s">
        <v>78</v>
      </c>
      <c r="H52" s="80">
        <f>K12</f>
        <v>1094744.7957200008</v>
      </c>
      <c r="I52" s="19">
        <f>I14</f>
        <v>1469144.4086579997</v>
      </c>
      <c r="J52" s="19">
        <f>L12</f>
        <v>531054.41428000038</v>
      </c>
      <c r="K52" s="19">
        <f>J14</f>
        <v>658200.52134199988</v>
      </c>
      <c r="L52" s="28">
        <f>SUM(H52:K52)</f>
        <v>3753144.1400000006</v>
      </c>
    </row>
    <row r="53" spans="1:21" ht="16.5" thickBot="1">
      <c r="A53" s="95" t="s">
        <v>166</v>
      </c>
      <c r="B53" s="130" t="s">
        <v>167</v>
      </c>
      <c r="C53" s="20">
        <v>11016.01</v>
      </c>
      <c r="D53" s="177"/>
      <c r="F53" s="95" t="s">
        <v>51</v>
      </c>
      <c r="H53" s="80">
        <f>-I45</f>
        <v>-2382196.2015600004</v>
      </c>
      <c r="I53" s="19">
        <f>-I32</f>
        <v>-1515968.8230700004</v>
      </c>
      <c r="J53" s="19">
        <f>-M43</f>
        <v>-1145709.5759999999</v>
      </c>
      <c r="K53" s="19">
        <f>-M28</f>
        <v>-740731.30200000003</v>
      </c>
      <c r="L53" s="90">
        <f>SUM(H53:K53)</f>
        <v>-5784605.9026300004</v>
      </c>
    </row>
    <row r="54" spans="1:21" ht="16.5" thickBot="1">
      <c r="A54" s="95" t="s">
        <v>66</v>
      </c>
      <c r="B54" s="125" t="s">
        <v>153</v>
      </c>
      <c r="C54" s="20">
        <f>-1666226.86-524454.75-1961886.22</f>
        <v>-4152567.83</v>
      </c>
      <c r="D54" s="177"/>
      <c r="F54" s="95" t="s">
        <v>37</v>
      </c>
      <c r="H54" s="87">
        <v>0</v>
      </c>
      <c r="I54" s="88">
        <v>0</v>
      </c>
      <c r="J54" s="88">
        <v>0</v>
      </c>
      <c r="K54" s="89">
        <v>0</v>
      </c>
      <c r="L54" s="183">
        <f>SUM(L52:L53)</f>
        <v>-2031461.7626299998</v>
      </c>
    </row>
    <row r="55" spans="1:21" ht="16.5" thickBot="1">
      <c r="A55" s="95" t="s">
        <v>163</v>
      </c>
      <c r="B55" s="125" t="s">
        <v>119</v>
      </c>
      <c r="C55" s="20">
        <v>-375000</v>
      </c>
      <c r="D55" s="177"/>
      <c r="F55" s="95" t="s">
        <v>33</v>
      </c>
      <c r="H55" s="176">
        <f>IFERROR(H52+H53+H54,0)</f>
        <v>-1287451.4058399997</v>
      </c>
      <c r="I55" s="176">
        <f>I52+I53+I54</f>
        <v>-46824.414412000682</v>
      </c>
      <c r="J55" s="176">
        <f>IFERROR(J52+J53+J54,0)</f>
        <v>-614655.16171999951</v>
      </c>
      <c r="K55" s="176">
        <f>K52+K53+K54</f>
        <v>-82530.780658000149</v>
      </c>
      <c r="L55" s="184">
        <f>SUM(H55:K55)</f>
        <v>-2031461.76263</v>
      </c>
    </row>
    <row r="56" spans="1:21" ht="16.5" thickBot="1">
      <c r="A56" s="185" t="s">
        <v>61</v>
      </c>
      <c r="B56" s="182"/>
      <c r="C56" s="34">
        <f>SUM(C43:C55)</f>
        <v>1557712.2000000011</v>
      </c>
      <c r="D56" s="177"/>
      <c r="F56" s="186" t="s">
        <v>111</v>
      </c>
      <c r="H56" s="95" t="s">
        <v>103</v>
      </c>
      <c r="I56" s="1">
        <f>SUM(H55:I55)</f>
        <v>-1334275.8202520004</v>
      </c>
      <c r="J56" s="12" t="s">
        <v>104</v>
      </c>
      <c r="K56" s="95">
        <f>SUM(J55:K55)</f>
        <v>-697185.94237799966</v>
      </c>
      <c r="L56" s="187">
        <f>ROUND(L54-L55,3)</f>
        <v>0</v>
      </c>
      <c r="T56" s="188"/>
    </row>
    <row r="57" spans="1:21" ht="16.5" thickTop="1">
      <c r="A57" s="95" t="s">
        <v>63</v>
      </c>
      <c r="B57" s="125" t="s">
        <v>57</v>
      </c>
      <c r="C57" s="20">
        <v>47027.57</v>
      </c>
      <c r="D57" s="177"/>
      <c r="F57" s="189" t="s">
        <v>111</v>
      </c>
      <c r="H57" s="190"/>
    </row>
    <row r="58" spans="1:21" ht="16.5" thickBot="1">
      <c r="A58" s="95" t="s">
        <v>64</v>
      </c>
      <c r="B58" s="125" t="s">
        <v>57</v>
      </c>
      <c r="C58" s="20">
        <v>21059.439999999999</v>
      </c>
      <c r="D58" s="177"/>
      <c r="F58" s="189" t="s">
        <v>112</v>
      </c>
      <c r="H58" s="178"/>
      <c r="I58" s="191"/>
      <c r="J58" s="191"/>
      <c r="K58" s="192"/>
      <c r="L58" s="191"/>
    </row>
    <row r="59" spans="1:21" ht="16.5" thickBot="1">
      <c r="A59" s="9" t="s">
        <v>67</v>
      </c>
      <c r="B59" s="9"/>
      <c r="C59" s="34">
        <f>SUM(C56:C58)</f>
        <v>1625799.2100000011</v>
      </c>
      <c r="D59" s="177"/>
      <c r="F59" s="193" t="s">
        <v>154</v>
      </c>
      <c r="G59" s="108" t="str">
        <f>IF(OR(AND(I56&gt;0,K56&gt;0),AND(I56&lt;0,K56&lt;0)),"OK","ERROR")</f>
        <v>OK</v>
      </c>
      <c r="H59" s="30" t="s">
        <v>151</v>
      </c>
      <c r="I59" s="75"/>
    </row>
    <row r="60" spans="1:21" ht="17.25" thickTop="1" thickBot="1">
      <c r="A60" s="9"/>
      <c r="C60" s="120"/>
      <c r="D60" s="177"/>
      <c r="H60" s="33" t="s">
        <v>105</v>
      </c>
      <c r="I60" s="194" t="s">
        <v>106</v>
      </c>
      <c r="J60" s="1"/>
    </row>
    <row r="61" spans="1:21" ht="16.5" thickBot="1">
      <c r="A61" s="29"/>
      <c r="B61" s="29" t="s">
        <v>45</v>
      </c>
      <c r="C61" s="176">
        <f>C59+C34</f>
        <v>3753144.1400000006</v>
      </c>
      <c r="D61" s="2"/>
      <c r="H61" s="94"/>
      <c r="I61" s="98"/>
      <c r="J61" s="95">
        <f>H53+I53+J53+K53</f>
        <v>-5784605.9026300004</v>
      </c>
    </row>
    <row r="62" spans="1:21" ht="15.75">
      <c r="A62" s="9"/>
      <c r="B62" s="29" t="s">
        <v>94</v>
      </c>
      <c r="C62" s="126">
        <v>3753144.14</v>
      </c>
      <c r="G62" s="1"/>
      <c r="I62" s="17"/>
      <c r="N62" s="1"/>
      <c r="O62" s="1"/>
      <c r="P62" s="195"/>
    </row>
    <row r="63" spans="1:21" ht="15.75">
      <c r="A63" s="29"/>
      <c r="B63" s="29" t="s">
        <v>93</v>
      </c>
      <c r="C63" s="17">
        <f>ROUND(C61-C62,2)</f>
        <v>0</v>
      </c>
      <c r="D63" s="177"/>
      <c r="S63" s="125"/>
    </row>
    <row r="64" spans="1:21" ht="15.75">
      <c r="A64" s="15"/>
      <c r="C64" s="196"/>
      <c r="D64" s="197"/>
      <c r="N64" s="42"/>
      <c r="U64" s="9"/>
    </row>
    <row r="65" spans="1:21" ht="15.75">
      <c r="A65" s="15"/>
      <c r="C65" s="2"/>
      <c r="D65" s="177"/>
      <c r="N65" s="42"/>
      <c r="S65" s="198"/>
    </row>
    <row r="66" spans="1:21" ht="15.75">
      <c r="A66" s="9"/>
      <c r="C66" s="2"/>
      <c r="D66" s="177"/>
      <c r="N66" s="42"/>
      <c r="S66" s="199"/>
    </row>
    <row r="67" spans="1:21">
      <c r="C67" s="17"/>
      <c r="D67" s="177"/>
      <c r="N67" s="42"/>
      <c r="S67" s="200"/>
    </row>
    <row r="68" spans="1:21">
      <c r="D68" s="177"/>
      <c r="N68" s="42"/>
      <c r="S68" s="199"/>
    </row>
    <row r="69" spans="1:21">
      <c r="D69" s="2"/>
      <c r="N69" s="42"/>
    </row>
    <row r="70" spans="1:21">
      <c r="D70" s="177"/>
      <c r="N70" s="42"/>
      <c r="S70" s="201"/>
    </row>
    <row r="71" spans="1:21">
      <c r="D71" s="177"/>
    </row>
    <row r="72" spans="1:21">
      <c r="D72" s="177"/>
    </row>
    <row r="73" spans="1:21">
      <c r="D73" s="64"/>
      <c r="S73" s="202"/>
    </row>
    <row r="74" spans="1:21">
      <c r="R74" s="125"/>
      <c r="S74" s="125"/>
      <c r="T74" s="125"/>
    </row>
    <row r="76" spans="1:21">
      <c r="U76" s="203"/>
    </row>
    <row r="1477" spans="3:3">
      <c r="C1477" s="95">
        <v>-2130</v>
      </c>
    </row>
    <row r="1485" spans="3:3">
      <c r="C1485" s="95">
        <f>7004298-2130</f>
        <v>7002168</v>
      </c>
    </row>
  </sheetData>
  <mergeCells count="3">
    <mergeCell ref="F18:I18"/>
    <mergeCell ref="J18:M18"/>
    <mergeCell ref="K35:M35"/>
  </mergeCells>
  <conditionalFormatting sqref="C63 L56 I62">
    <cfRule type="cellIs" dxfId="23" priority="9" stopIfTrue="1" operator="equal">
      <formula>0</formula>
    </cfRule>
    <cfRule type="cellIs" dxfId="22" priority="10" stopIfTrue="1" operator="notEqual">
      <formula>0</formula>
    </cfRule>
  </conditionalFormatting>
  <conditionalFormatting sqref="G34 G47 K30 K47">
    <cfRule type="cellIs" dxfId="21" priority="8" operator="notEqual">
      <formula>0</formula>
    </cfRule>
  </conditionalFormatting>
  <conditionalFormatting sqref="C63">
    <cfRule type="cellIs" dxfId="20" priority="6" stopIfTrue="1" operator="equal">
      <formula>0</formula>
    </cfRule>
    <cfRule type="cellIs" dxfId="19" priority="7" stopIfTrue="1" operator="notEqual">
      <formula>0</formula>
    </cfRule>
  </conditionalFormatting>
  <conditionalFormatting sqref="K30">
    <cfRule type="cellIs" dxfId="18" priority="5" operator="notEqual">
      <formula>0</formula>
    </cfRule>
  </conditionalFormatting>
  <conditionalFormatting sqref="G59">
    <cfRule type="cellIs" dxfId="17" priority="4" operator="equal">
      <formula>"""ERROR"""</formula>
    </cfRule>
  </conditionalFormatting>
  <conditionalFormatting sqref="G59">
    <cfRule type="cellIs" dxfId="16" priority="3" operator="equal">
      <formula>"ERROR"</formula>
    </cfRule>
  </conditionalFormatting>
  <conditionalFormatting sqref="G59">
    <cfRule type="cellIs" dxfId="15" priority="2" operator="equal">
      <formula>"ERROR"</formula>
    </cfRule>
  </conditionalFormatting>
  <conditionalFormatting sqref="K45">
    <cfRule type="cellIs" dxfId="14" priority="1" operator="notEqual">
      <formula>0</formula>
    </cfRule>
  </conditionalFormatting>
  <printOptions verticalCentered="1" gridLinesSet="0"/>
  <pageMargins left="0.5" right="0" top="0.25" bottom="0.5" header="0" footer="0.25"/>
  <pageSetup scale="47" orientation="landscape" cellComments="asDisplayed" r:id="rId1"/>
  <headerFooter alignWithMargins="0">
    <oddFooter>&amp;L&amp;F&amp;C&amp;A&amp;R&amp;D&amp;T</oddFooter>
  </headerFooter>
  <customProperties>
    <customPr name="xxe4aPID" r:id="rId2"/>
  </customProperties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0">
    <tabColor rgb="FF00CC66"/>
    <pageSetUpPr fitToPage="1"/>
  </sheetPr>
  <dimension ref="A1:U1485"/>
  <sheetViews>
    <sheetView showGridLines="0" tabSelected="1" topLeftCell="A22" zoomScale="70" zoomScaleNormal="70" workbookViewId="0">
      <selection activeCell="X1" sqref="X1:X1048576"/>
    </sheetView>
  </sheetViews>
  <sheetFormatPr defaultColWidth="16" defaultRowHeight="15"/>
  <cols>
    <col min="1" max="1" width="44.85546875" style="95" customWidth="1"/>
    <col min="2" max="2" width="25.5703125" style="95" customWidth="1"/>
    <col min="3" max="3" width="25.28515625" style="95" customWidth="1"/>
    <col min="4" max="4" width="2.7109375" style="95" customWidth="1"/>
    <col min="5" max="5" width="4.28515625" style="95" customWidth="1"/>
    <col min="6" max="6" width="26.7109375" style="95" customWidth="1"/>
    <col min="7" max="7" width="19" style="95" customWidth="1"/>
    <col min="8" max="8" width="22" style="95" customWidth="1"/>
    <col min="9" max="9" width="20.42578125" style="95" customWidth="1"/>
    <col min="10" max="10" width="26.28515625" style="95" customWidth="1"/>
    <col min="11" max="11" width="21.85546875" style="95" bestFit="1" customWidth="1"/>
    <col min="12" max="12" width="23.85546875" style="95" customWidth="1"/>
    <col min="13" max="13" width="20.85546875" style="95" bestFit="1" customWidth="1"/>
    <col min="14" max="15" width="16" style="95"/>
    <col min="16" max="16" width="16.28515625" style="95" bestFit="1" customWidth="1"/>
    <col min="17" max="16384" width="16" style="95"/>
  </cols>
  <sheetData>
    <row r="1" spans="1:12" ht="16.5" thickBot="1">
      <c r="A1" s="172" t="s">
        <v>26</v>
      </c>
      <c r="B1" s="173"/>
      <c r="C1" s="107">
        <f>Apr!C1+1</f>
        <v>201805</v>
      </c>
      <c r="F1" s="107">
        <f>C1</f>
        <v>201805</v>
      </c>
      <c r="H1" s="35" t="s">
        <v>31</v>
      </c>
      <c r="I1" s="22" t="s">
        <v>1</v>
      </c>
      <c r="J1" s="22" t="s">
        <v>1</v>
      </c>
      <c r="K1" s="22" t="s">
        <v>28</v>
      </c>
      <c r="L1" s="22" t="s">
        <v>28</v>
      </c>
    </row>
    <row r="2" spans="1:12" ht="15.75">
      <c r="C2" s="6"/>
      <c r="H2" s="36" t="s">
        <v>10</v>
      </c>
      <c r="I2" s="37" t="s">
        <v>27</v>
      </c>
      <c r="J2" s="37" t="s">
        <v>27</v>
      </c>
      <c r="K2" s="37" t="s">
        <v>29</v>
      </c>
      <c r="L2" s="37" t="s">
        <v>29</v>
      </c>
    </row>
    <row r="3" spans="1:12" ht="16.5" thickBot="1">
      <c r="A3" s="10" t="s">
        <v>52</v>
      </c>
      <c r="C3" s="7"/>
      <c r="D3" s="174"/>
      <c r="F3" s="9" t="s">
        <v>34</v>
      </c>
      <c r="H3" s="38" t="s">
        <v>30</v>
      </c>
      <c r="I3" s="38" t="s">
        <v>13</v>
      </c>
      <c r="J3" s="38" t="s">
        <v>25</v>
      </c>
      <c r="K3" s="38" t="s">
        <v>13</v>
      </c>
      <c r="L3" s="38" t="s">
        <v>25</v>
      </c>
    </row>
    <row r="4" spans="1:12" ht="15.75">
      <c r="A4" s="95" t="s">
        <v>38</v>
      </c>
      <c r="C4" s="20">
        <f>1247.22+3655974.78</f>
        <v>3657222</v>
      </c>
      <c r="D4" s="6"/>
      <c r="H4" s="3"/>
    </row>
    <row r="5" spans="1:12" ht="14.25" customHeight="1">
      <c r="A5" s="95" t="s">
        <v>9</v>
      </c>
      <c r="C5" s="20">
        <f>20069.61</f>
        <v>20069.61</v>
      </c>
      <c r="D5" s="6"/>
      <c r="H5" s="3"/>
      <c r="I5" s="175">
        <v>0.69059999999999999</v>
      </c>
      <c r="J5" s="175">
        <v>0.30940000000000001</v>
      </c>
      <c r="K5" s="97">
        <f>ROUND(G45/(G45+K43),4)</f>
        <v>0.68330000000000002</v>
      </c>
      <c r="L5" s="97">
        <f>1-K5</f>
        <v>0.31669999999999998</v>
      </c>
    </row>
    <row r="6" spans="1:12" ht="16.5" thickBot="1">
      <c r="A6" s="8" t="s">
        <v>8</v>
      </c>
      <c r="C6" s="116">
        <f>-1494747.7-426339.9-121811.4-137037.83-78568.35-98131.26</f>
        <v>-2356636.44</v>
      </c>
      <c r="D6" s="6"/>
    </row>
    <row r="7" spans="1:12" ht="16.5" thickBot="1">
      <c r="A7" s="12" t="s">
        <v>82</v>
      </c>
      <c r="C7" s="17">
        <f>SUM(C4:C6)</f>
        <v>1320655.17</v>
      </c>
      <c r="D7" s="7"/>
      <c r="F7" s="39" t="s">
        <v>81</v>
      </c>
      <c r="G7" s="39"/>
      <c r="H7" s="176">
        <f>C34</f>
        <v>2169276.1599999997</v>
      </c>
      <c r="I7" s="40">
        <f>H7*I5</f>
        <v>1498102.1160959997</v>
      </c>
      <c r="J7" s="40">
        <f>H7*J5</f>
        <v>671174.04390399996</v>
      </c>
      <c r="K7" s="40"/>
      <c r="L7" s="40"/>
    </row>
    <row r="8" spans="1:12" ht="15.75">
      <c r="A8" s="95" t="s">
        <v>39</v>
      </c>
      <c r="C8" s="20">
        <f>191512.75</f>
        <v>191512.75</v>
      </c>
      <c r="D8" s="7"/>
      <c r="H8" s="41"/>
      <c r="I8" s="41"/>
      <c r="J8" s="41"/>
      <c r="K8" s="41"/>
      <c r="L8" s="41"/>
    </row>
    <row r="9" spans="1:12" ht="15.75">
      <c r="A9" s="95" t="s">
        <v>40</v>
      </c>
      <c r="C9" s="20">
        <f>4730.93+817.76</f>
        <v>5548.6900000000005</v>
      </c>
      <c r="D9" s="177"/>
      <c r="F9" s="39" t="s">
        <v>61</v>
      </c>
      <c r="H9" s="40">
        <f>C56</f>
        <v>-386327.95000000019</v>
      </c>
      <c r="I9" s="40"/>
      <c r="J9" s="40"/>
      <c r="K9" s="40">
        <f>H9*K5</f>
        <v>-263977.88823500014</v>
      </c>
      <c r="L9" s="40">
        <f>H9*L5</f>
        <v>-122350.06176500005</v>
      </c>
    </row>
    <row r="10" spans="1:12" ht="15.75">
      <c r="A10" s="8" t="s">
        <v>41</v>
      </c>
      <c r="C10" s="116">
        <v>-3418.47</v>
      </c>
      <c r="D10" s="177"/>
      <c r="F10" s="42" t="s">
        <v>22</v>
      </c>
      <c r="H10" s="40">
        <f>C57</f>
        <v>19270.650000000001</v>
      </c>
      <c r="I10" s="40"/>
      <c r="J10" s="40"/>
      <c r="K10" s="40">
        <f>H10</f>
        <v>19270.650000000001</v>
      </c>
      <c r="L10" s="40"/>
    </row>
    <row r="11" spans="1:12">
      <c r="A11" s="12" t="s">
        <v>83</v>
      </c>
      <c r="C11" s="17">
        <f>SUM(C8:C10)</f>
        <v>193642.97</v>
      </c>
      <c r="D11" s="177"/>
      <c r="F11" s="42" t="s">
        <v>23</v>
      </c>
      <c r="H11" s="43">
        <f>C58</f>
        <v>9331.16</v>
      </c>
      <c r="I11" s="40"/>
      <c r="J11" s="40"/>
      <c r="K11" s="43"/>
      <c r="L11" s="43">
        <f>H11</f>
        <v>9331.16</v>
      </c>
    </row>
    <row r="12" spans="1:12" ht="15.75">
      <c r="A12" s="95" t="s">
        <v>98</v>
      </c>
      <c r="C12" s="20">
        <f>190715.15+869.63</f>
        <v>191584.78</v>
      </c>
      <c r="D12" s="177"/>
      <c r="F12" s="42" t="s">
        <v>80</v>
      </c>
      <c r="H12" s="40">
        <f>H9+H10+H11</f>
        <v>-357726.14000000019</v>
      </c>
      <c r="I12" s="40"/>
      <c r="J12" s="40"/>
      <c r="K12" s="40">
        <f>SUM(K9:K11)</f>
        <v>-244707.23823500014</v>
      </c>
      <c r="L12" s="40">
        <f>SUM(L9:L11)</f>
        <v>-113018.90176500005</v>
      </c>
    </row>
    <row r="13" spans="1:12" ht="16.5" thickBot="1">
      <c r="A13" s="8" t="s">
        <v>99</v>
      </c>
      <c r="C13" s="116">
        <v>0</v>
      </c>
      <c r="D13" s="177"/>
      <c r="F13" s="44"/>
      <c r="G13" s="45"/>
      <c r="H13" s="46"/>
      <c r="I13" s="47"/>
      <c r="J13" s="46"/>
      <c r="K13" s="41"/>
      <c r="L13" s="46"/>
    </row>
    <row r="14" spans="1:12" ht="16.5" thickBot="1">
      <c r="A14" s="12" t="s">
        <v>42</v>
      </c>
      <c r="C14" s="17">
        <f>SUM(C12:C13)</f>
        <v>191584.78</v>
      </c>
      <c r="D14" s="2"/>
      <c r="F14" s="9" t="s">
        <v>31</v>
      </c>
      <c r="G14" s="48"/>
      <c r="H14" s="176">
        <f>H12+H7</f>
        <v>1811550.0199999996</v>
      </c>
      <c r="I14" s="49">
        <f>SUM(I7:I13)</f>
        <v>1498102.1160959997</v>
      </c>
      <c r="J14" s="49">
        <f>SUM(J7:J13)</f>
        <v>671174.04390399996</v>
      </c>
      <c r="K14" s="49">
        <f>K12</f>
        <v>-244707.23823500014</v>
      </c>
      <c r="L14" s="49">
        <f>L12</f>
        <v>-113018.90176500005</v>
      </c>
    </row>
    <row r="15" spans="1:12" ht="15.75">
      <c r="A15" s="95" t="s">
        <v>113</v>
      </c>
      <c r="C15" s="20">
        <f>1783.42+398635.04</f>
        <v>400418.45999999996</v>
      </c>
      <c r="D15" s="177"/>
      <c r="F15" s="44"/>
      <c r="G15" s="45" t="s">
        <v>48</v>
      </c>
      <c r="H15" s="46">
        <f>H14-C61</f>
        <v>0</v>
      </c>
      <c r="I15" s="50"/>
      <c r="J15" s="46">
        <f>J7+I7-H7</f>
        <v>0</v>
      </c>
      <c r="L15" s="46">
        <f>H12-K14-L14</f>
        <v>0</v>
      </c>
    </row>
    <row r="16" spans="1:12" ht="15.75">
      <c r="A16" s="8" t="s">
        <v>114</v>
      </c>
      <c r="C16" s="116">
        <v>0</v>
      </c>
      <c r="D16" s="177"/>
      <c r="F16" s="51"/>
      <c r="G16" s="45"/>
      <c r="H16" s="52"/>
      <c r="I16" s="53"/>
      <c r="J16" s="52"/>
      <c r="L16" s="52"/>
    </row>
    <row r="17" spans="1:13" ht="15.75" thickBot="1">
      <c r="A17" s="12" t="s">
        <v>115</v>
      </c>
      <c r="C17" s="17">
        <f>SUM(C15:C16)</f>
        <v>400418.45999999996</v>
      </c>
      <c r="D17" s="2"/>
      <c r="F17" s="44"/>
      <c r="G17" s="45"/>
      <c r="H17" s="52"/>
      <c r="I17" s="53"/>
      <c r="J17" s="56"/>
      <c r="L17" s="52"/>
    </row>
    <row r="18" spans="1:13" ht="16.5" thickBot="1">
      <c r="A18" s="95" t="s">
        <v>96</v>
      </c>
      <c r="C18" s="20">
        <f>82092.5+420.11+10041.2</f>
        <v>92553.81</v>
      </c>
      <c r="D18" s="177"/>
      <c r="F18" s="204" t="s">
        <v>76</v>
      </c>
      <c r="G18" s="205"/>
      <c r="H18" s="205"/>
      <c r="I18" s="206"/>
      <c r="J18" s="204" t="s">
        <v>77</v>
      </c>
      <c r="K18" s="205"/>
      <c r="L18" s="205"/>
      <c r="M18" s="206"/>
    </row>
    <row r="19" spans="1:13" ht="15.75">
      <c r="A19" s="8" t="s">
        <v>97</v>
      </c>
      <c r="C19" s="116">
        <f>-1072.08</f>
        <v>-1072.08</v>
      </c>
      <c r="D19" s="177"/>
      <c r="F19" s="74" t="s">
        <v>50</v>
      </c>
      <c r="G19" s="37" t="s">
        <v>11</v>
      </c>
      <c r="H19" s="37" t="s">
        <v>11</v>
      </c>
      <c r="I19" s="37" t="s">
        <v>11</v>
      </c>
      <c r="J19" s="74" t="s">
        <v>50</v>
      </c>
      <c r="K19" s="37" t="s">
        <v>11</v>
      </c>
      <c r="L19" s="37" t="s">
        <v>11</v>
      </c>
      <c r="M19" s="58" t="s">
        <v>11</v>
      </c>
    </row>
    <row r="20" spans="1:13" ht="16.5" thickBot="1">
      <c r="A20" s="11" t="s">
        <v>43</v>
      </c>
      <c r="C20" s="17">
        <f>SUM(C18:C19)</f>
        <v>91481.73</v>
      </c>
      <c r="D20" s="177"/>
      <c r="F20" s="68" t="s">
        <v>95</v>
      </c>
      <c r="G20" s="38" t="s">
        <v>47</v>
      </c>
      <c r="H20" s="38" t="s">
        <v>14</v>
      </c>
      <c r="I20" s="38" t="s">
        <v>12</v>
      </c>
      <c r="J20" s="68" t="s">
        <v>95</v>
      </c>
      <c r="K20" s="38" t="s">
        <v>47</v>
      </c>
      <c r="L20" s="38" t="s">
        <v>14</v>
      </c>
      <c r="M20" s="38" t="s">
        <v>12</v>
      </c>
    </row>
    <row r="21" spans="1:13" ht="15.75">
      <c r="A21" s="8" t="s">
        <v>87</v>
      </c>
      <c r="C21" s="116">
        <f>2458.15+1850</f>
        <v>4308.1499999999996</v>
      </c>
      <c r="D21" s="177"/>
      <c r="F21" s="57"/>
      <c r="G21" s="4"/>
      <c r="H21" s="4"/>
      <c r="I21" s="58"/>
      <c r="J21" s="25"/>
      <c r="K21" s="5"/>
      <c r="L21" s="5"/>
      <c r="M21" s="75"/>
    </row>
    <row r="22" spans="1:13" ht="18" customHeight="1">
      <c r="A22" s="11" t="s">
        <v>87</v>
      </c>
      <c r="C22" s="17">
        <f>SUM(C21)</f>
        <v>4308.1499999999996</v>
      </c>
      <c r="D22" s="177"/>
      <c r="F22" s="72" t="s">
        <v>68</v>
      </c>
      <c r="G22" s="1"/>
      <c r="H22" s="1"/>
      <c r="I22" s="16"/>
      <c r="J22" s="72" t="s">
        <v>68</v>
      </c>
      <c r="K22" s="1"/>
      <c r="L22" s="1"/>
      <c r="M22" s="16"/>
    </row>
    <row r="23" spans="1:13" ht="15.75">
      <c r="A23" s="76" t="s">
        <v>110</v>
      </c>
      <c r="C23" s="17">
        <v>0</v>
      </c>
      <c r="D23" s="177"/>
      <c r="F23" s="73" t="s">
        <v>15</v>
      </c>
      <c r="G23" s="91">
        <v>3286813</v>
      </c>
      <c r="H23" s="96">
        <v>0.10743999999999999</v>
      </c>
      <c r="I23" s="69">
        <f t="shared" ref="I23:I31" si="0">G23*H23</f>
        <v>353135.18871999998</v>
      </c>
      <c r="J23" s="73" t="s">
        <v>15</v>
      </c>
      <c r="K23" s="91">
        <v>1559887</v>
      </c>
      <c r="L23" s="96">
        <v>0.10496999999999999</v>
      </c>
      <c r="M23" s="69">
        <f>K23*L23</f>
        <v>163741.33838999999</v>
      </c>
    </row>
    <row r="24" spans="1:13" ht="15.75">
      <c r="A24" s="76" t="s">
        <v>116</v>
      </c>
      <c r="C24" s="20">
        <v>0</v>
      </c>
      <c r="D24" s="177"/>
      <c r="F24" s="73" t="s">
        <v>156</v>
      </c>
      <c r="G24" s="91">
        <v>4240</v>
      </c>
      <c r="H24" s="96">
        <v>0.10743999999999999</v>
      </c>
      <c r="I24" s="69">
        <f t="shared" si="0"/>
        <v>455.54559999999998</v>
      </c>
      <c r="J24" s="73" t="s">
        <v>16</v>
      </c>
      <c r="K24" s="91">
        <v>1126511</v>
      </c>
      <c r="L24" s="96">
        <v>0.10496999999999999</v>
      </c>
      <c r="M24" s="69">
        <f t="shared" ref="M24:M27" si="1">K24*L24</f>
        <v>118249.85966999999</v>
      </c>
    </row>
    <row r="25" spans="1:13" ht="15.75">
      <c r="A25" s="76" t="s">
        <v>118</v>
      </c>
      <c r="C25" s="118">
        <v>0</v>
      </c>
      <c r="D25" s="177"/>
      <c r="F25" s="73" t="s">
        <v>16</v>
      </c>
      <c r="G25" s="91">
        <v>2210506</v>
      </c>
      <c r="H25" s="96">
        <v>9.8650000000000002E-2</v>
      </c>
      <c r="I25" s="69">
        <f t="shared" si="0"/>
        <v>218066.41690000001</v>
      </c>
      <c r="J25" s="73" t="s">
        <v>17</v>
      </c>
      <c r="K25" s="91">
        <v>30470</v>
      </c>
      <c r="L25" s="96">
        <v>0.10496999999999999</v>
      </c>
      <c r="M25" s="69">
        <f t="shared" si="1"/>
        <v>3198.4358999999999</v>
      </c>
    </row>
    <row r="26" spans="1:13" ht="15.75">
      <c r="A26" s="77" t="s">
        <v>117</v>
      </c>
      <c r="C26" s="119">
        <v>0</v>
      </c>
      <c r="D26" s="177"/>
      <c r="F26" s="73" t="s">
        <v>17</v>
      </c>
      <c r="G26" s="91">
        <v>3523</v>
      </c>
      <c r="H26" s="96">
        <v>9.8650000000000002E-2</v>
      </c>
      <c r="I26" s="69">
        <f t="shared" si="0"/>
        <v>347.54395</v>
      </c>
      <c r="J26" s="73" t="s">
        <v>18</v>
      </c>
      <c r="K26" s="91">
        <v>0</v>
      </c>
      <c r="L26" s="96">
        <v>0.10496999999999999</v>
      </c>
      <c r="M26" s="69">
        <f t="shared" si="1"/>
        <v>0</v>
      </c>
    </row>
    <row r="27" spans="1:13" ht="15.75">
      <c r="A27" s="11" t="s">
        <v>46</v>
      </c>
      <c r="C27" s="17">
        <f>SUM(C23:C26)</f>
        <v>0</v>
      </c>
      <c r="D27" s="177"/>
      <c r="F27" s="73" t="s">
        <v>18</v>
      </c>
      <c r="G27" s="91">
        <v>234262</v>
      </c>
      <c r="H27" s="96">
        <v>0.10433000000000001</v>
      </c>
      <c r="I27" s="69">
        <f t="shared" si="0"/>
        <v>24440.554460000003</v>
      </c>
      <c r="J27" s="73" t="s">
        <v>19</v>
      </c>
      <c r="K27" s="91">
        <v>0</v>
      </c>
      <c r="L27" s="96">
        <v>0.10496999999999999</v>
      </c>
      <c r="M27" s="69">
        <f t="shared" si="1"/>
        <v>0</v>
      </c>
    </row>
    <row r="28" spans="1:13" ht="16.5" thickBot="1">
      <c r="A28" s="78" t="s">
        <v>88</v>
      </c>
      <c r="C28" s="20">
        <v>0</v>
      </c>
      <c r="D28" s="2"/>
      <c r="F28" s="73" t="s">
        <v>19</v>
      </c>
      <c r="G28" s="91">
        <v>49642</v>
      </c>
      <c r="H28" s="96">
        <v>0.10433000000000001</v>
      </c>
      <c r="I28" s="69">
        <f t="shared" si="0"/>
        <v>5179.1498600000004</v>
      </c>
      <c r="J28" s="72" t="s">
        <v>69</v>
      </c>
      <c r="K28" s="54">
        <f>SUM(K23:K27)</f>
        <v>2716868</v>
      </c>
      <c r="L28" s="55"/>
      <c r="M28" s="70">
        <f>SUM(M23:M27)</f>
        <v>285189.63395999995</v>
      </c>
    </row>
    <row r="29" spans="1:13" ht="17.25" thickTop="1" thickBot="1">
      <c r="A29" s="78" t="s">
        <v>100</v>
      </c>
      <c r="C29" s="20">
        <v>0</v>
      </c>
      <c r="D29" s="177"/>
      <c r="F29" s="73" t="s">
        <v>20</v>
      </c>
      <c r="G29" s="91">
        <v>0</v>
      </c>
      <c r="H29" s="96">
        <v>6.2480000000000001E-2</v>
      </c>
      <c r="I29" s="69">
        <f t="shared" si="0"/>
        <v>0</v>
      </c>
      <c r="J29" s="72"/>
      <c r="K29" s="85">
        <v>2716868</v>
      </c>
      <c r="L29" s="60" t="s">
        <v>48</v>
      </c>
      <c r="M29" s="101">
        <f>M28/K28</f>
        <v>0.10496999999999998</v>
      </c>
    </row>
    <row r="30" spans="1:13" ht="16.5" thickBot="1">
      <c r="A30" s="9" t="s">
        <v>53</v>
      </c>
      <c r="C30" s="176">
        <f>C7+C11+C14+C17+C20+C22+C27+C28+C29</f>
        <v>2202091.2599999998</v>
      </c>
      <c r="D30" s="2"/>
      <c r="F30" s="73" t="s">
        <v>21</v>
      </c>
      <c r="G30" s="91">
        <v>72901</v>
      </c>
      <c r="H30" s="96">
        <v>6.2480000000000001E-2</v>
      </c>
      <c r="I30" s="69">
        <f t="shared" si="0"/>
        <v>4554.85448</v>
      </c>
      <c r="J30" s="73"/>
      <c r="K30" s="84">
        <f>K28-K29</f>
        <v>0</v>
      </c>
      <c r="L30" s="55"/>
      <c r="M30" s="71"/>
    </row>
    <row r="31" spans="1:13" ht="15.75">
      <c r="A31" s="95" t="s">
        <v>54</v>
      </c>
      <c r="C31" s="20">
        <v>-8268.8799999999992</v>
      </c>
      <c r="D31" s="178"/>
      <c r="F31" s="73" t="s">
        <v>36</v>
      </c>
      <c r="G31" s="91">
        <v>2500964</v>
      </c>
      <c r="H31" s="96">
        <v>5.4000000000000001E-4</v>
      </c>
      <c r="I31" s="69">
        <f t="shared" si="0"/>
        <v>1350.5205599999999</v>
      </c>
      <c r="J31" s="32"/>
      <c r="K31" s="1"/>
      <c r="L31" s="55"/>
      <c r="M31" s="71"/>
    </row>
    <row r="32" spans="1:13" ht="16.5" thickBot="1">
      <c r="A32" s="9" t="s">
        <v>58</v>
      </c>
      <c r="B32" s="9" t="s">
        <v>59</v>
      </c>
      <c r="C32" s="120">
        <f>C30+C31</f>
        <v>2193822.38</v>
      </c>
      <c r="D32" s="179"/>
      <c r="F32" s="72" t="s">
        <v>69</v>
      </c>
      <c r="G32" s="54">
        <f>SUM(G23:G31)</f>
        <v>8362851</v>
      </c>
      <c r="H32" s="1"/>
      <c r="I32" s="70">
        <f>SUM(I23:I31)</f>
        <v>607529.77452999994</v>
      </c>
      <c r="J32" s="65"/>
      <c r="K32" s="66"/>
      <c r="L32" s="1"/>
      <c r="M32" s="63"/>
    </row>
    <row r="33" spans="1:17" ht="17.25" thickTop="1" thickBot="1">
      <c r="A33" s="95" t="s">
        <v>55</v>
      </c>
      <c r="C33" s="120">
        <f>-C5-C9-C13-C16-C19</f>
        <v>-24546.22</v>
      </c>
      <c r="D33" s="177"/>
      <c r="F33" s="59"/>
      <c r="G33" s="85">
        <v>8362851</v>
      </c>
      <c r="H33" s="60" t="s">
        <v>48</v>
      </c>
      <c r="I33" s="82">
        <f>I32/G32</f>
        <v>7.2646251204284279E-2</v>
      </c>
      <c r="J33" s="65"/>
      <c r="K33" s="66"/>
      <c r="L33" s="1"/>
      <c r="M33" s="16"/>
    </row>
    <row r="34" spans="1:17" ht="16.5" thickBot="1">
      <c r="A34" s="9" t="s">
        <v>56</v>
      </c>
      <c r="C34" s="176">
        <f>SUM(C32:C33)</f>
        <v>2169276.1599999997</v>
      </c>
      <c r="D34" s="177"/>
      <c r="F34" s="32"/>
      <c r="G34" s="84">
        <f>G32-G33</f>
        <v>0</v>
      </c>
      <c r="H34" s="1"/>
      <c r="I34" s="16"/>
      <c r="J34" s="65"/>
      <c r="K34" s="64"/>
      <c r="L34" s="1"/>
      <c r="M34" s="16"/>
    </row>
    <row r="35" spans="1:17" ht="18" customHeight="1">
      <c r="A35" s="9"/>
      <c r="C35" s="120"/>
      <c r="D35" s="177"/>
      <c r="F35" s="57"/>
      <c r="G35" s="4"/>
      <c r="H35" s="4"/>
      <c r="I35" s="58"/>
      <c r="J35" s="72" t="s">
        <v>70</v>
      </c>
      <c r="K35" s="207"/>
      <c r="L35" s="207"/>
      <c r="M35" s="208"/>
    </row>
    <row r="36" spans="1:17" ht="15.75">
      <c r="A36" s="3" t="s">
        <v>44</v>
      </c>
      <c r="B36" s="9"/>
      <c r="C36" s="17"/>
      <c r="D36" s="177"/>
      <c r="F36" s="72" t="s">
        <v>70</v>
      </c>
      <c r="G36" s="1"/>
      <c r="H36" s="1"/>
      <c r="I36" s="16"/>
      <c r="J36" s="73" t="s">
        <v>15</v>
      </c>
      <c r="K36" s="92">
        <f>K23</f>
        <v>1559887</v>
      </c>
      <c r="L36" s="96">
        <v>0.16236</v>
      </c>
      <c r="M36" s="69">
        <f t="shared" ref="M36:M42" si="2">K36*L36</f>
        <v>253263.25332000002</v>
      </c>
      <c r="P36" s="180"/>
      <c r="Q36" s="180"/>
    </row>
    <row r="37" spans="1:17" ht="15.75">
      <c r="A37" s="1" t="s">
        <v>71</v>
      </c>
      <c r="B37" s="130" t="s">
        <v>57</v>
      </c>
      <c r="C37" s="20">
        <v>4202312.1100000003</v>
      </c>
      <c r="D37" s="177"/>
      <c r="F37" s="73" t="s">
        <v>15</v>
      </c>
      <c r="G37" s="92">
        <f>G23</f>
        <v>3286813</v>
      </c>
      <c r="H37" s="96">
        <v>0.16436000000000001</v>
      </c>
      <c r="I37" s="69">
        <f t="shared" ref="I37:I44" si="3">G37*H37</f>
        <v>540220.58467999997</v>
      </c>
      <c r="J37" s="73" t="s">
        <v>16</v>
      </c>
      <c r="K37" s="92">
        <f>K24</f>
        <v>1126511</v>
      </c>
      <c r="L37" s="96">
        <v>0.16236</v>
      </c>
      <c r="M37" s="69">
        <f t="shared" si="2"/>
        <v>182900.32596000002</v>
      </c>
      <c r="P37" s="180"/>
      <c r="Q37" s="180"/>
    </row>
    <row r="38" spans="1:17" ht="15.75">
      <c r="A38" s="79" t="s">
        <v>4</v>
      </c>
      <c r="B38" s="130" t="s">
        <v>57</v>
      </c>
      <c r="C38" s="20"/>
      <c r="D38" s="177"/>
      <c r="F38" s="73" t="s">
        <v>156</v>
      </c>
      <c r="G38" s="92">
        <f t="shared" ref="G38:G44" si="4">G24</f>
        <v>4240</v>
      </c>
      <c r="H38" s="96">
        <v>0.16436000000000001</v>
      </c>
      <c r="I38" s="69">
        <f t="shared" si="3"/>
        <v>696.88639999999998</v>
      </c>
      <c r="J38" s="73" t="s">
        <v>17</v>
      </c>
      <c r="K38" s="92">
        <f>K25</f>
        <v>30470</v>
      </c>
      <c r="L38" s="96">
        <v>0.16236</v>
      </c>
      <c r="M38" s="69">
        <f t="shared" si="2"/>
        <v>4947.1091999999999</v>
      </c>
      <c r="P38" s="180"/>
      <c r="Q38" s="180"/>
    </row>
    <row r="39" spans="1:17" ht="15.75">
      <c r="A39" s="1" t="s">
        <v>84</v>
      </c>
      <c r="B39" s="130" t="s">
        <v>85</v>
      </c>
      <c r="C39" s="20">
        <v>-68253.149999999994</v>
      </c>
      <c r="D39" s="177"/>
      <c r="F39" s="73" t="s">
        <v>16</v>
      </c>
      <c r="G39" s="92">
        <f t="shared" si="4"/>
        <v>2210506</v>
      </c>
      <c r="H39" s="96">
        <v>0.16436000000000001</v>
      </c>
      <c r="I39" s="69">
        <f t="shared" si="3"/>
        <v>363318.76616</v>
      </c>
      <c r="J39" s="73" t="s">
        <v>18</v>
      </c>
      <c r="K39" s="92">
        <f>K26</f>
        <v>0</v>
      </c>
      <c r="L39" s="96">
        <v>0.16236</v>
      </c>
      <c r="M39" s="69">
        <f t="shared" si="2"/>
        <v>0</v>
      </c>
      <c r="P39" s="180"/>
      <c r="Q39" s="180"/>
    </row>
    <row r="40" spans="1:17" ht="15.75">
      <c r="A40" s="1" t="s">
        <v>73</v>
      </c>
      <c r="B40" s="130" t="s">
        <v>74</v>
      </c>
      <c r="C40" s="20">
        <v>1266181.8799999999</v>
      </c>
      <c r="D40" s="177"/>
      <c r="F40" s="73" t="s">
        <v>17</v>
      </c>
      <c r="G40" s="92">
        <f t="shared" si="4"/>
        <v>3523</v>
      </c>
      <c r="H40" s="96">
        <v>0.16436000000000001</v>
      </c>
      <c r="I40" s="69">
        <f t="shared" si="3"/>
        <v>579.04028000000005</v>
      </c>
      <c r="J40" s="73" t="s">
        <v>19</v>
      </c>
      <c r="K40" s="92">
        <f>K27</f>
        <v>0</v>
      </c>
      <c r="L40" s="96">
        <v>0.16236</v>
      </c>
      <c r="M40" s="69">
        <f t="shared" si="2"/>
        <v>0</v>
      </c>
      <c r="P40" s="180"/>
      <c r="Q40" s="180"/>
    </row>
    <row r="41" spans="1:17" ht="15.75">
      <c r="A41" s="1" t="s">
        <v>90</v>
      </c>
      <c r="B41" s="125" t="s">
        <v>91</v>
      </c>
      <c r="C41" s="20">
        <v>-9372.5300000000007</v>
      </c>
      <c r="D41" s="177"/>
      <c r="F41" s="73" t="s">
        <v>18</v>
      </c>
      <c r="G41" s="92">
        <f t="shared" si="4"/>
        <v>234262</v>
      </c>
      <c r="H41" s="96">
        <v>0.16436000000000001</v>
      </c>
      <c r="I41" s="69">
        <f t="shared" si="3"/>
        <v>38503.302320000003</v>
      </c>
      <c r="J41" s="73" t="s">
        <v>20</v>
      </c>
      <c r="K41" s="91">
        <v>0</v>
      </c>
      <c r="L41" s="96">
        <v>0.16236</v>
      </c>
      <c r="M41" s="69">
        <f t="shared" si="2"/>
        <v>0</v>
      </c>
      <c r="P41" s="180"/>
      <c r="Q41" s="180"/>
    </row>
    <row r="42" spans="1:17" ht="16.5" thickBot="1">
      <c r="A42" s="1" t="s">
        <v>108</v>
      </c>
      <c r="B42" s="130" t="s">
        <v>109</v>
      </c>
      <c r="C42" s="20">
        <v>420101.98</v>
      </c>
      <c r="D42" s="2"/>
      <c r="F42" s="73" t="s">
        <v>19</v>
      </c>
      <c r="G42" s="92">
        <f t="shared" si="4"/>
        <v>49642</v>
      </c>
      <c r="H42" s="96">
        <v>0.16436000000000001</v>
      </c>
      <c r="I42" s="69">
        <f t="shared" si="3"/>
        <v>8159.1591200000003</v>
      </c>
      <c r="J42" s="73" t="s">
        <v>21</v>
      </c>
      <c r="K42" s="93">
        <v>0</v>
      </c>
      <c r="L42" s="96">
        <v>0.16236</v>
      </c>
      <c r="M42" s="69">
        <f t="shared" si="2"/>
        <v>0</v>
      </c>
      <c r="P42" s="180"/>
      <c r="Q42" s="180"/>
    </row>
    <row r="43" spans="1:17" ht="16.5" thickBot="1">
      <c r="A43" s="14" t="s">
        <v>65</v>
      </c>
      <c r="B43" s="4"/>
      <c r="C43" s="176">
        <f>SUM(C37:C42)</f>
        <v>5810970.2899999991</v>
      </c>
      <c r="D43" s="177"/>
      <c r="F43" s="73" t="s">
        <v>20</v>
      </c>
      <c r="G43" s="92">
        <f t="shared" si="4"/>
        <v>0</v>
      </c>
      <c r="H43" s="96">
        <v>0.16436000000000001</v>
      </c>
      <c r="I43" s="69">
        <f t="shared" si="3"/>
        <v>0</v>
      </c>
      <c r="J43" s="72" t="s">
        <v>75</v>
      </c>
      <c r="K43" s="54">
        <f>SUM(K36:K42)</f>
        <v>2716868</v>
      </c>
      <c r="L43" s="55"/>
      <c r="M43" s="70">
        <f>SUM(M36:M42)</f>
        <v>441110.68848000007</v>
      </c>
    </row>
    <row r="44" spans="1:17" ht="16.5" thickBot="1">
      <c r="A44" s="181" t="s">
        <v>107</v>
      </c>
      <c r="B44" s="182" t="s">
        <v>62</v>
      </c>
      <c r="C44" s="20">
        <f>-2135208.27+376299.62+5893.87</f>
        <v>-1753014.7799999998</v>
      </c>
      <c r="D44" s="2"/>
      <c r="F44" s="73" t="s">
        <v>21</v>
      </c>
      <c r="G44" s="92">
        <f t="shared" si="4"/>
        <v>72901</v>
      </c>
      <c r="H44" s="96">
        <v>0.16436000000000001</v>
      </c>
      <c r="I44" s="69">
        <f t="shared" si="3"/>
        <v>11982.00836</v>
      </c>
      <c r="J44" s="67"/>
      <c r="K44" s="86">
        <v>2716868</v>
      </c>
      <c r="L44" s="62" t="s">
        <v>48</v>
      </c>
      <c r="M44" s="83">
        <f>M43/K43</f>
        <v>0.16236000000000003</v>
      </c>
    </row>
    <row r="45" spans="1:17" ht="16.5" thickBot="1">
      <c r="A45" s="79" t="s">
        <v>101</v>
      </c>
      <c r="B45" s="125" t="s">
        <v>57</v>
      </c>
      <c r="C45" s="20">
        <v>0</v>
      </c>
      <c r="D45" s="178"/>
      <c r="F45" s="72" t="s">
        <v>75</v>
      </c>
      <c r="G45" s="54">
        <f>SUM(G37:G44)</f>
        <v>5861887</v>
      </c>
      <c r="H45" s="55"/>
      <c r="I45" s="70">
        <f>SUM(I37:I44)</f>
        <v>963459.74731999985</v>
      </c>
      <c r="J45" s="14"/>
      <c r="K45" s="85"/>
      <c r="L45" s="60"/>
      <c r="M45" s="117"/>
    </row>
    <row r="46" spans="1:17" ht="19.5" customHeight="1" thickTop="1" thickBot="1">
      <c r="A46" s="79" t="s">
        <v>102</v>
      </c>
      <c r="B46" s="125" t="s">
        <v>57</v>
      </c>
      <c r="C46" s="20">
        <v>0</v>
      </c>
      <c r="D46" s="179"/>
      <c r="F46" s="61"/>
      <c r="G46" s="86">
        <v>5861887</v>
      </c>
      <c r="H46" s="62" t="s">
        <v>48</v>
      </c>
      <c r="I46" s="81">
        <f>I45/G45</f>
        <v>0.16435999999999998</v>
      </c>
      <c r="J46" s="14"/>
      <c r="K46" s="85"/>
      <c r="L46" s="60"/>
      <c r="M46" s="117"/>
    </row>
    <row r="47" spans="1:17" ht="19.5" customHeight="1">
      <c r="A47" s="95" t="s">
        <v>79</v>
      </c>
      <c r="B47" s="125" t="s">
        <v>57</v>
      </c>
      <c r="C47" s="20"/>
      <c r="D47" s="177"/>
      <c r="G47" s="84">
        <f>G45-G46</f>
        <v>0</v>
      </c>
      <c r="J47" s="21"/>
      <c r="K47" s="84">
        <f>K43-K44</f>
        <v>0</v>
      </c>
      <c r="M47" s="21"/>
    </row>
    <row r="48" spans="1:17" ht="16.5" thickBot="1">
      <c r="A48" s="79" t="s">
        <v>155</v>
      </c>
      <c r="B48" s="125" t="s">
        <v>57</v>
      </c>
      <c r="C48" s="20">
        <v>7000</v>
      </c>
      <c r="D48" s="177"/>
      <c r="J48" s="21"/>
      <c r="K48" s="18"/>
      <c r="M48" s="13"/>
    </row>
    <row r="49" spans="1:21" ht="15.75">
      <c r="A49" s="1" t="s">
        <v>72</v>
      </c>
      <c r="B49" s="130" t="s">
        <v>89</v>
      </c>
      <c r="C49" s="20">
        <v>14910.12</v>
      </c>
      <c r="D49" s="177"/>
      <c r="G49" s="18"/>
      <c r="H49" s="25" t="s">
        <v>13</v>
      </c>
      <c r="I49" s="5" t="s">
        <v>13</v>
      </c>
      <c r="J49" s="5" t="s">
        <v>25</v>
      </c>
      <c r="K49" s="23" t="s">
        <v>32</v>
      </c>
      <c r="L49" s="21"/>
    </row>
    <row r="50" spans="1:21" ht="16.5" thickBot="1">
      <c r="A50" s="1" t="s">
        <v>121</v>
      </c>
      <c r="B50" s="130" t="s">
        <v>89</v>
      </c>
      <c r="C50" s="20">
        <v>3941.62</v>
      </c>
      <c r="D50" s="2"/>
      <c r="F50" s="9" t="s">
        <v>35</v>
      </c>
      <c r="H50" s="26" t="s">
        <v>0</v>
      </c>
      <c r="I50" s="27" t="s">
        <v>1</v>
      </c>
      <c r="J50" s="27" t="s">
        <v>0</v>
      </c>
      <c r="K50" s="24" t="s">
        <v>1</v>
      </c>
    </row>
    <row r="51" spans="1:21" ht="15.75">
      <c r="A51" s="1" t="s">
        <v>159</v>
      </c>
      <c r="B51" s="130" t="s">
        <v>89</v>
      </c>
      <c r="C51" s="20">
        <v>4709.0600000000004</v>
      </c>
      <c r="D51" s="177"/>
      <c r="H51" s="30"/>
      <c r="I51" s="31"/>
      <c r="J51" s="31"/>
      <c r="K51" s="31"/>
      <c r="L51" s="22" t="s">
        <v>49</v>
      </c>
    </row>
    <row r="52" spans="1:21" ht="15.75">
      <c r="A52" s="42" t="s">
        <v>60</v>
      </c>
      <c r="B52" s="125"/>
      <c r="C52" s="17">
        <f>-C33</f>
        <v>24546.22</v>
      </c>
      <c r="D52" s="174"/>
      <c r="F52" s="95" t="s">
        <v>78</v>
      </c>
      <c r="H52" s="80">
        <f>K12</f>
        <v>-244707.23823500014</v>
      </c>
      <c r="I52" s="19">
        <f>I14</f>
        <v>1498102.1160959997</v>
      </c>
      <c r="J52" s="19">
        <f>L12</f>
        <v>-113018.90176500005</v>
      </c>
      <c r="K52" s="19">
        <f>J14</f>
        <v>671174.04390399996</v>
      </c>
      <c r="L52" s="28">
        <f>SUM(H52:K52)</f>
        <v>1811550.0199999996</v>
      </c>
    </row>
    <row r="53" spans="1:21" ht="16.5" thickBot="1">
      <c r="A53" s="95" t="s">
        <v>166</v>
      </c>
      <c r="B53" s="130" t="s">
        <v>167</v>
      </c>
      <c r="C53" s="20">
        <f>10977.39-2603.29</f>
        <v>8374.0999999999985</v>
      </c>
      <c r="D53" s="174"/>
      <c r="F53" s="95" t="s">
        <v>51</v>
      </c>
      <c r="H53" s="80">
        <f>-I45</f>
        <v>-963459.74731999985</v>
      </c>
      <c r="I53" s="19">
        <f>-I32</f>
        <v>-607529.77452999994</v>
      </c>
      <c r="J53" s="19">
        <f>-M43</f>
        <v>-441110.68848000007</v>
      </c>
      <c r="K53" s="19">
        <f>-M28</f>
        <v>-285189.63395999995</v>
      </c>
      <c r="L53" s="90">
        <f>SUM(H53:K53)</f>
        <v>-2297289.8442899995</v>
      </c>
    </row>
    <row r="54" spans="1:21" ht="16.5" thickBot="1">
      <c r="A54" s="95" t="s">
        <v>66</v>
      </c>
      <c r="B54" s="125" t="s">
        <v>153</v>
      </c>
      <c r="C54" s="20">
        <f>-522958.75-2197174.21-1412631.62</f>
        <v>-4132764.58</v>
      </c>
      <c r="D54" s="177"/>
      <c r="F54" s="95" t="s">
        <v>37</v>
      </c>
      <c r="H54" s="87">
        <v>0</v>
      </c>
      <c r="I54" s="88">
        <v>0</v>
      </c>
      <c r="J54" s="88">
        <v>0</v>
      </c>
      <c r="K54" s="89">
        <v>0</v>
      </c>
      <c r="L54" s="183">
        <f>SUM(L52:L53)</f>
        <v>-485739.8242899999</v>
      </c>
    </row>
    <row r="55" spans="1:21" ht="16.5" thickBot="1">
      <c r="A55" s="95" t="s">
        <v>163</v>
      </c>
      <c r="B55" s="125" t="s">
        <v>119</v>
      </c>
      <c r="C55" s="20">
        <v>-375000</v>
      </c>
      <c r="D55" s="177"/>
      <c r="F55" s="95" t="s">
        <v>33</v>
      </c>
      <c r="H55" s="176">
        <f>IFERROR(H52+H53+H54,0)</f>
        <v>-1208166.9855549999</v>
      </c>
      <c r="I55" s="176">
        <f>I52+I53+I54</f>
        <v>890572.34156599978</v>
      </c>
      <c r="J55" s="176">
        <f>IFERROR(J52+J53+J54,0)</f>
        <v>-554129.59024500009</v>
      </c>
      <c r="K55" s="176">
        <f>K52+K53+K54</f>
        <v>385984.40994400001</v>
      </c>
      <c r="L55" s="184">
        <f>SUM(H55:K55)</f>
        <v>-485739.82429000019</v>
      </c>
    </row>
    <row r="56" spans="1:21" ht="16.5" thickBot="1">
      <c r="A56" s="185" t="s">
        <v>61</v>
      </c>
      <c r="B56" s="182"/>
      <c r="C56" s="34">
        <f>SUM(C43:C55)</f>
        <v>-386327.95000000019</v>
      </c>
      <c r="D56" s="177"/>
      <c r="F56" s="186" t="s">
        <v>111</v>
      </c>
      <c r="H56" s="95" t="s">
        <v>103</v>
      </c>
      <c r="I56" s="1">
        <f>SUM(H55:I55)</f>
        <v>-317594.64398900012</v>
      </c>
      <c r="J56" s="12" t="s">
        <v>104</v>
      </c>
      <c r="K56" s="95">
        <f>SUM(J55:K55)</f>
        <v>-168145.18030100007</v>
      </c>
      <c r="L56" s="187">
        <f>ROUND(L54-L55,3)</f>
        <v>0</v>
      </c>
      <c r="T56" s="188"/>
    </row>
    <row r="57" spans="1:21" ht="16.5" thickTop="1">
      <c r="A57" s="95" t="s">
        <v>63</v>
      </c>
      <c r="B57" s="125" t="s">
        <v>57</v>
      </c>
      <c r="C57" s="20">
        <v>19270.650000000001</v>
      </c>
      <c r="D57" s="177"/>
      <c r="F57" s="189" t="s">
        <v>111</v>
      </c>
      <c r="H57" s="190"/>
    </row>
    <row r="58" spans="1:21" ht="16.5" thickBot="1">
      <c r="A58" s="95" t="s">
        <v>64</v>
      </c>
      <c r="B58" s="125" t="s">
        <v>57</v>
      </c>
      <c r="C58" s="20">
        <v>9331.16</v>
      </c>
      <c r="D58" s="177"/>
      <c r="F58" s="189" t="s">
        <v>112</v>
      </c>
      <c r="H58" s="178"/>
      <c r="I58" s="191"/>
      <c r="J58" s="191"/>
      <c r="K58" s="192"/>
      <c r="L58" s="191"/>
    </row>
    <row r="59" spans="1:21" ht="16.5" thickBot="1">
      <c r="A59" s="9" t="s">
        <v>67</v>
      </c>
      <c r="B59" s="9"/>
      <c r="C59" s="34">
        <f>SUM(C56:C58)</f>
        <v>-357726.14000000019</v>
      </c>
      <c r="D59" s="177"/>
      <c r="F59" s="193" t="s">
        <v>154</v>
      </c>
      <c r="G59" s="108" t="str">
        <f>IF(OR(AND(I56&gt;0,K56&gt;0),AND(I56&lt;0,K56&lt;0)),"OK","ERROR")</f>
        <v>OK</v>
      </c>
      <c r="H59" s="30" t="s">
        <v>151</v>
      </c>
      <c r="I59" s="75"/>
    </row>
    <row r="60" spans="1:21" ht="17.25" thickTop="1" thickBot="1">
      <c r="A60" s="9"/>
      <c r="C60" s="120"/>
      <c r="D60" s="177"/>
      <c r="H60" s="33" t="s">
        <v>105</v>
      </c>
      <c r="I60" s="194" t="s">
        <v>106</v>
      </c>
      <c r="J60" s="1"/>
    </row>
    <row r="61" spans="1:21" ht="16.5" thickBot="1">
      <c r="A61" s="29"/>
      <c r="B61" s="29" t="s">
        <v>45</v>
      </c>
      <c r="C61" s="176">
        <f>C59+C34</f>
        <v>1811550.0199999996</v>
      </c>
      <c r="D61" s="177"/>
      <c r="H61" s="94"/>
      <c r="I61" s="98"/>
      <c r="J61" s="95">
        <f>H53+I53+J53+K53</f>
        <v>-2297289.8442899995</v>
      </c>
    </row>
    <row r="62" spans="1:21" ht="15.75">
      <c r="A62" s="9"/>
      <c r="B62" s="29" t="s">
        <v>94</v>
      </c>
      <c r="C62" s="126">
        <v>1811550.02</v>
      </c>
      <c r="D62" s="2"/>
      <c r="G62" s="1"/>
      <c r="I62" s="17"/>
      <c r="N62" s="1"/>
      <c r="O62" s="1"/>
      <c r="P62" s="195"/>
    </row>
    <row r="63" spans="1:21" ht="15.75">
      <c r="A63" s="29"/>
      <c r="B63" s="29" t="s">
        <v>93</v>
      </c>
      <c r="C63" s="17">
        <f>ROUND(C61-C62,2)</f>
        <v>0</v>
      </c>
      <c r="S63" s="125"/>
    </row>
    <row r="64" spans="1:21" ht="15.75">
      <c r="A64" s="15"/>
      <c r="C64" s="196"/>
      <c r="D64" s="177"/>
      <c r="N64" s="42"/>
      <c r="U64" s="9"/>
    </row>
    <row r="65" spans="1:21" ht="15.75">
      <c r="A65" s="15"/>
      <c r="C65" s="2"/>
      <c r="D65" s="197"/>
      <c r="N65" s="42"/>
      <c r="S65" s="198"/>
    </row>
    <row r="66" spans="1:21" ht="15.75">
      <c r="A66" s="9"/>
      <c r="C66" s="2"/>
      <c r="D66" s="177"/>
      <c r="N66" s="42"/>
      <c r="S66" s="199"/>
    </row>
    <row r="67" spans="1:21">
      <c r="C67" s="17"/>
      <c r="D67" s="177"/>
      <c r="N67" s="42"/>
      <c r="S67" s="200"/>
    </row>
    <row r="68" spans="1:21">
      <c r="D68" s="177"/>
      <c r="N68" s="42"/>
      <c r="S68" s="199"/>
    </row>
    <row r="69" spans="1:21">
      <c r="D69" s="177"/>
      <c r="N69" s="42"/>
    </row>
    <row r="70" spans="1:21">
      <c r="D70" s="2"/>
      <c r="N70" s="42"/>
      <c r="S70" s="201"/>
    </row>
    <row r="71" spans="1:21">
      <c r="D71" s="177"/>
    </row>
    <row r="72" spans="1:21">
      <c r="D72" s="177"/>
    </row>
    <row r="73" spans="1:21">
      <c r="D73" s="177"/>
      <c r="S73" s="202"/>
    </row>
    <row r="74" spans="1:21">
      <c r="D74" s="64"/>
      <c r="R74" s="125"/>
      <c r="S74" s="125"/>
      <c r="T74" s="125"/>
    </row>
    <row r="76" spans="1:21">
      <c r="U76" s="203"/>
    </row>
    <row r="1477" spans="3:3">
      <c r="C1477" s="95">
        <v>-2130</v>
      </c>
    </row>
    <row r="1485" spans="3:3">
      <c r="C1485" s="95">
        <f>7004298-2130</f>
        <v>7002168</v>
      </c>
    </row>
  </sheetData>
  <mergeCells count="3">
    <mergeCell ref="F18:I18"/>
    <mergeCell ref="J18:M18"/>
    <mergeCell ref="K35:M35"/>
  </mergeCells>
  <conditionalFormatting sqref="C63 L56 I62">
    <cfRule type="cellIs" dxfId="13" priority="7" stopIfTrue="1" operator="equal">
      <formula>0</formula>
    </cfRule>
    <cfRule type="cellIs" dxfId="12" priority="8" stopIfTrue="1" operator="notEqual">
      <formula>0</formula>
    </cfRule>
  </conditionalFormatting>
  <conditionalFormatting sqref="G34 G47 K30 K47">
    <cfRule type="cellIs" dxfId="11" priority="6" operator="notEqual">
      <formula>0</formula>
    </cfRule>
  </conditionalFormatting>
  <conditionalFormatting sqref="C63">
    <cfRule type="cellIs" dxfId="10" priority="4" stopIfTrue="1" operator="equal">
      <formula>0</formula>
    </cfRule>
    <cfRule type="cellIs" dxfId="9" priority="5" stopIfTrue="1" operator="notEqual">
      <formula>0</formula>
    </cfRule>
  </conditionalFormatting>
  <conditionalFormatting sqref="K30">
    <cfRule type="cellIs" dxfId="8" priority="3" operator="notEqual">
      <formula>0</formula>
    </cfRule>
  </conditionalFormatting>
  <conditionalFormatting sqref="G59">
    <cfRule type="cellIs" dxfId="7" priority="2" operator="equal">
      <formula>"ERROR"</formula>
    </cfRule>
  </conditionalFormatting>
  <conditionalFormatting sqref="G59">
    <cfRule type="cellIs" dxfId="6" priority="1" operator="equal">
      <formula>"ERROR"</formula>
    </cfRule>
  </conditionalFormatting>
  <printOptions verticalCentered="1" gridLinesSet="0"/>
  <pageMargins left="0.5" right="0" top="0.25" bottom="0.5" header="0" footer="0.25"/>
  <pageSetup scale="47" orientation="landscape" cellComments="asDisplayed" r:id="rId1"/>
  <headerFooter alignWithMargins="0">
    <oddFooter>&amp;L&amp;F&amp;C&amp;A&amp;R&amp;D&amp;T</oddFooter>
  </headerFooter>
  <customProperties>
    <customPr name="xxe4aPID" r:id="rId2"/>
  </customProperties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1">
    <tabColor rgb="FF00CC66"/>
    <pageSetUpPr fitToPage="1"/>
  </sheetPr>
  <dimension ref="A1:U1485"/>
  <sheetViews>
    <sheetView showGridLines="0" tabSelected="1" topLeftCell="A31" zoomScale="70" zoomScaleNormal="70" workbookViewId="0">
      <selection activeCell="X1" sqref="X1:X1048576"/>
    </sheetView>
  </sheetViews>
  <sheetFormatPr defaultColWidth="16" defaultRowHeight="15"/>
  <cols>
    <col min="1" max="1" width="44.85546875" style="95" customWidth="1"/>
    <col min="2" max="2" width="25.5703125" style="95" customWidth="1"/>
    <col min="3" max="3" width="25.28515625" style="95" customWidth="1"/>
    <col min="4" max="4" width="2.7109375" style="95" customWidth="1"/>
    <col min="5" max="5" width="4.28515625" style="95" customWidth="1"/>
    <col min="6" max="6" width="26.7109375" style="95" customWidth="1"/>
    <col min="7" max="7" width="19" style="95" customWidth="1"/>
    <col min="8" max="8" width="22" style="95" customWidth="1"/>
    <col min="9" max="9" width="20.42578125" style="95" customWidth="1"/>
    <col min="10" max="10" width="26.28515625" style="95" customWidth="1"/>
    <col min="11" max="11" width="21.85546875" style="95" bestFit="1" customWidth="1"/>
    <col min="12" max="12" width="23.85546875" style="95" customWidth="1"/>
    <col min="13" max="13" width="20.85546875" style="95" bestFit="1" customWidth="1"/>
    <col min="14" max="15" width="16" style="95"/>
    <col min="16" max="16" width="16.28515625" style="95" bestFit="1" customWidth="1"/>
    <col min="17" max="16384" width="16" style="95"/>
  </cols>
  <sheetData>
    <row r="1" spans="1:12" ht="16.5" thickBot="1">
      <c r="A1" s="172" t="s">
        <v>26</v>
      </c>
      <c r="B1" s="173"/>
      <c r="C1" s="107">
        <f>May!C1+1</f>
        <v>201806</v>
      </c>
      <c r="F1" s="107">
        <f>C1</f>
        <v>201806</v>
      </c>
      <c r="H1" s="35" t="s">
        <v>31</v>
      </c>
      <c r="I1" s="22" t="s">
        <v>1</v>
      </c>
      <c r="J1" s="22" t="s">
        <v>1</v>
      </c>
      <c r="K1" s="22" t="s">
        <v>28</v>
      </c>
      <c r="L1" s="22" t="s">
        <v>28</v>
      </c>
    </row>
    <row r="2" spans="1:12" ht="15.75">
      <c r="C2" s="6"/>
      <c r="H2" s="36" t="s">
        <v>10</v>
      </c>
      <c r="I2" s="37" t="s">
        <v>27</v>
      </c>
      <c r="J2" s="37" t="s">
        <v>27</v>
      </c>
      <c r="K2" s="37" t="s">
        <v>29</v>
      </c>
      <c r="L2" s="37" t="s">
        <v>29</v>
      </c>
    </row>
    <row r="3" spans="1:12" ht="16.5" thickBot="1">
      <c r="A3" s="10" t="s">
        <v>52</v>
      </c>
      <c r="C3" s="7"/>
      <c r="D3" s="174"/>
      <c r="F3" s="9" t="s">
        <v>34</v>
      </c>
      <c r="H3" s="38" t="s">
        <v>30</v>
      </c>
      <c r="I3" s="38" t="s">
        <v>13</v>
      </c>
      <c r="J3" s="38" t="s">
        <v>25</v>
      </c>
      <c r="K3" s="38" t="s">
        <v>13</v>
      </c>
      <c r="L3" s="38" t="s">
        <v>25</v>
      </c>
    </row>
    <row r="4" spans="1:12" ht="15.75">
      <c r="A4" s="95" t="s">
        <v>38</v>
      </c>
      <c r="C4" s="20">
        <f>3538040.09-1262.08</f>
        <v>3536778.01</v>
      </c>
      <c r="D4" s="6"/>
      <c r="H4" s="3"/>
    </row>
    <row r="5" spans="1:12" ht="14.25" customHeight="1">
      <c r="A5" s="95" t="s">
        <v>9</v>
      </c>
      <c r="C5" s="20">
        <f>23990.11</f>
        <v>23990.11</v>
      </c>
      <c r="D5" s="6"/>
      <c r="H5" s="3"/>
      <c r="I5" s="175">
        <v>0.69059999999999999</v>
      </c>
      <c r="J5" s="175">
        <v>0.30940000000000001</v>
      </c>
      <c r="K5" s="97">
        <f>ROUND(G45/(G45+K43),4)</f>
        <v>0.6401</v>
      </c>
      <c r="L5" s="97">
        <f>1-K5</f>
        <v>0.3599</v>
      </c>
    </row>
    <row r="6" spans="1:12" ht="16.5" thickBot="1">
      <c r="A6" s="8" t="s">
        <v>8</v>
      </c>
      <c r="C6" s="116">
        <f>-1446530.02-412587-117882-132617.25-76033.89-94965.74</f>
        <v>-2280615.9000000004</v>
      </c>
      <c r="D6" s="6"/>
    </row>
    <row r="7" spans="1:12" ht="16.5" thickBot="1">
      <c r="A7" s="12" t="s">
        <v>82</v>
      </c>
      <c r="C7" s="17">
        <f>SUM(C4:C6)</f>
        <v>1280152.2199999993</v>
      </c>
      <c r="D7" s="7"/>
      <c r="F7" s="39" t="s">
        <v>81</v>
      </c>
      <c r="G7" s="39"/>
      <c r="H7" s="176">
        <f>C34</f>
        <v>2103260.2699999991</v>
      </c>
      <c r="I7" s="40">
        <f>H7*I5</f>
        <v>1452511.5424619995</v>
      </c>
      <c r="J7" s="40">
        <f>H7*J5</f>
        <v>650748.72753799974</v>
      </c>
      <c r="K7" s="40"/>
      <c r="L7" s="40"/>
    </row>
    <row r="8" spans="1:12" ht="15.75">
      <c r="A8" s="95" t="s">
        <v>39</v>
      </c>
      <c r="C8" s="20">
        <v>185334.94</v>
      </c>
      <c r="D8" s="7"/>
      <c r="H8" s="41"/>
      <c r="I8" s="41"/>
      <c r="J8" s="41"/>
      <c r="K8" s="41"/>
      <c r="L8" s="41"/>
    </row>
    <row r="9" spans="1:12" ht="15.75">
      <c r="A9" s="95" t="s">
        <v>40</v>
      </c>
      <c r="C9" s="20">
        <f>14381.14+5019.21</f>
        <v>19400.349999999999</v>
      </c>
      <c r="D9" s="177"/>
      <c r="F9" s="39" t="s">
        <v>61</v>
      </c>
      <c r="H9" s="40">
        <f>C56</f>
        <v>-124858.45999999996</v>
      </c>
      <c r="I9" s="40"/>
      <c r="J9" s="40"/>
      <c r="K9" s="40">
        <f>H9*K5</f>
        <v>-79921.900245999976</v>
      </c>
      <c r="L9" s="40">
        <f>H9*L5</f>
        <v>-44936.559753999987</v>
      </c>
    </row>
    <row r="10" spans="1:12" ht="15.75">
      <c r="A10" s="8" t="s">
        <v>41</v>
      </c>
      <c r="C10" s="116">
        <f>-3308.2</f>
        <v>-3308.2</v>
      </c>
      <c r="D10" s="177"/>
      <c r="F10" s="42" t="s">
        <v>22</v>
      </c>
      <c r="H10" s="40">
        <f>C57</f>
        <v>-19480.580000000002</v>
      </c>
      <c r="I10" s="40"/>
      <c r="J10" s="40"/>
      <c r="K10" s="40">
        <f>H10</f>
        <v>-19480.580000000002</v>
      </c>
      <c r="L10" s="40"/>
    </row>
    <row r="11" spans="1:12">
      <c r="A11" s="12" t="s">
        <v>83</v>
      </c>
      <c r="C11" s="17">
        <f>SUM(C8:C10)</f>
        <v>201427.09</v>
      </c>
      <c r="D11" s="177"/>
      <c r="F11" s="42" t="s">
        <v>23</v>
      </c>
      <c r="H11" s="43">
        <f>C58</f>
        <v>-11858.25</v>
      </c>
      <c r="I11" s="40"/>
      <c r="J11" s="40"/>
      <c r="K11" s="43"/>
      <c r="L11" s="43">
        <f>H11</f>
        <v>-11858.25</v>
      </c>
    </row>
    <row r="12" spans="1:12" ht="15.75">
      <c r="A12" s="95" t="s">
        <v>98</v>
      </c>
      <c r="C12" s="20">
        <f>187826.29-5091.08</f>
        <v>182735.21000000002</v>
      </c>
      <c r="D12" s="177"/>
      <c r="F12" s="42" t="s">
        <v>80</v>
      </c>
      <c r="H12" s="40">
        <f>H9+H10+H11</f>
        <v>-156197.28999999998</v>
      </c>
      <c r="I12" s="40"/>
      <c r="J12" s="40"/>
      <c r="K12" s="40">
        <f>SUM(K9:K11)</f>
        <v>-99402.480245999977</v>
      </c>
      <c r="L12" s="40">
        <f>SUM(L9:L11)</f>
        <v>-56794.809753999987</v>
      </c>
    </row>
    <row r="13" spans="1:12" ht="16.5" thickBot="1">
      <c r="A13" s="8" t="s">
        <v>99</v>
      </c>
      <c r="C13" s="116">
        <v>0</v>
      </c>
      <c r="D13" s="177"/>
      <c r="F13" s="44"/>
      <c r="G13" s="45"/>
      <c r="H13" s="46"/>
      <c r="I13" s="47"/>
      <c r="J13" s="46"/>
      <c r="K13" s="41"/>
      <c r="L13" s="46"/>
    </row>
    <row r="14" spans="1:12" ht="16.5" thickBot="1">
      <c r="A14" s="12" t="s">
        <v>42</v>
      </c>
      <c r="C14" s="17">
        <f>SUM(C12:C13)</f>
        <v>182735.21000000002</v>
      </c>
      <c r="D14" s="2"/>
      <c r="F14" s="9" t="s">
        <v>31</v>
      </c>
      <c r="G14" s="48"/>
      <c r="H14" s="176">
        <f>H12+H7</f>
        <v>1947062.9799999991</v>
      </c>
      <c r="I14" s="49">
        <f>SUM(I7:I13)</f>
        <v>1452511.5424619995</v>
      </c>
      <c r="J14" s="49">
        <f>SUM(J7:J13)</f>
        <v>650748.72753799974</v>
      </c>
      <c r="K14" s="49">
        <f>K12</f>
        <v>-99402.480245999977</v>
      </c>
      <c r="L14" s="49">
        <f>L12</f>
        <v>-56794.809753999987</v>
      </c>
    </row>
    <row r="15" spans="1:12" ht="15.75">
      <c r="A15" s="95" t="s">
        <v>113</v>
      </c>
      <c r="C15" s="20">
        <f>392596.66-10641.46</f>
        <v>381955.19999999995</v>
      </c>
      <c r="D15" s="177"/>
      <c r="F15" s="44"/>
      <c r="G15" s="45" t="s">
        <v>48</v>
      </c>
      <c r="H15" s="46">
        <f>H14-C61</f>
        <v>0</v>
      </c>
      <c r="I15" s="50"/>
      <c r="J15" s="46">
        <f>J7+I7-H7</f>
        <v>0</v>
      </c>
      <c r="L15" s="46">
        <f>H12-K14-L14</f>
        <v>0</v>
      </c>
    </row>
    <row r="16" spans="1:12" ht="15.75">
      <c r="A16" s="8" t="s">
        <v>114</v>
      </c>
      <c r="C16" s="116">
        <v>0</v>
      </c>
      <c r="D16" s="177"/>
      <c r="F16" s="51"/>
      <c r="G16" s="45"/>
      <c r="H16" s="52"/>
      <c r="I16" s="53"/>
      <c r="J16" s="52"/>
      <c r="L16" s="52"/>
    </row>
    <row r="17" spans="1:13" ht="15.75" thickBot="1">
      <c r="A17" s="12" t="s">
        <v>115</v>
      </c>
      <c r="C17" s="17">
        <f>SUM(C15:C16)</f>
        <v>381955.19999999995</v>
      </c>
      <c r="D17" s="2"/>
      <c r="F17" s="44"/>
      <c r="G17" s="45"/>
      <c r="H17" s="52"/>
      <c r="I17" s="53"/>
      <c r="J17" s="56"/>
      <c r="L17" s="52"/>
    </row>
    <row r="18" spans="1:13" ht="16.5" thickBot="1">
      <c r="A18" s="95" t="s">
        <v>96</v>
      </c>
      <c r="C18" s="20">
        <f>80079.73-2449.22+9889.1</f>
        <v>87519.61</v>
      </c>
      <c r="D18" s="177"/>
      <c r="F18" s="204" t="s">
        <v>76</v>
      </c>
      <c r="G18" s="205"/>
      <c r="H18" s="205"/>
      <c r="I18" s="206"/>
      <c r="J18" s="204" t="s">
        <v>77</v>
      </c>
      <c r="K18" s="205"/>
      <c r="L18" s="205"/>
      <c r="M18" s="206"/>
    </row>
    <row r="19" spans="1:13" ht="15.75">
      <c r="A19" s="8" t="s">
        <v>97</v>
      </c>
      <c r="C19" s="116">
        <f>-5833.31</f>
        <v>-5833.31</v>
      </c>
      <c r="D19" s="177"/>
      <c r="F19" s="74" t="s">
        <v>50</v>
      </c>
      <c r="G19" s="37" t="s">
        <v>11</v>
      </c>
      <c r="H19" s="37" t="s">
        <v>11</v>
      </c>
      <c r="I19" s="37" t="s">
        <v>11</v>
      </c>
      <c r="J19" s="74" t="s">
        <v>50</v>
      </c>
      <c r="K19" s="37" t="s">
        <v>11</v>
      </c>
      <c r="L19" s="37" t="s">
        <v>11</v>
      </c>
      <c r="M19" s="58" t="s">
        <v>11</v>
      </c>
    </row>
    <row r="20" spans="1:13" ht="16.5" thickBot="1">
      <c r="A20" s="11" t="s">
        <v>43</v>
      </c>
      <c r="C20" s="17">
        <f>SUM(C18:C19)</f>
        <v>81686.3</v>
      </c>
      <c r="D20" s="177"/>
      <c r="F20" s="68" t="s">
        <v>95</v>
      </c>
      <c r="G20" s="38" t="s">
        <v>47</v>
      </c>
      <c r="H20" s="38" t="s">
        <v>14</v>
      </c>
      <c r="I20" s="38" t="s">
        <v>12</v>
      </c>
      <c r="J20" s="68" t="s">
        <v>95</v>
      </c>
      <c r="K20" s="38" t="s">
        <v>47</v>
      </c>
      <c r="L20" s="38" t="s">
        <v>14</v>
      </c>
      <c r="M20" s="38" t="s">
        <v>12</v>
      </c>
    </row>
    <row r="21" spans="1:13" ht="15.75">
      <c r="A21" s="8" t="s">
        <v>87</v>
      </c>
      <c r="C21" s="116">
        <f>2475.54+1850</f>
        <v>4325.54</v>
      </c>
      <c r="D21" s="177"/>
      <c r="F21" s="57"/>
      <c r="G21" s="4"/>
      <c r="H21" s="4"/>
      <c r="I21" s="58"/>
      <c r="J21" s="25"/>
      <c r="K21" s="5"/>
      <c r="L21" s="5"/>
      <c r="M21" s="75"/>
    </row>
    <row r="22" spans="1:13" ht="18" customHeight="1">
      <c r="A22" s="11" t="s">
        <v>87</v>
      </c>
      <c r="C22" s="17">
        <f>SUM(C21)</f>
        <v>4325.54</v>
      </c>
      <c r="D22" s="177"/>
      <c r="F22" s="72" t="s">
        <v>68</v>
      </c>
      <c r="G22" s="1"/>
      <c r="H22" s="1"/>
      <c r="I22" s="16"/>
      <c r="J22" s="72" t="s">
        <v>68</v>
      </c>
      <c r="K22" s="1"/>
      <c r="L22" s="1"/>
      <c r="M22" s="16"/>
    </row>
    <row r="23" spans="1:13" ht="15.75">
      <c r="A23" s="76" t="s">
        <v>110</v>
      </c>
      <c r="C23" s="17">
        <v>0</v>
      </c>
      <c r="D23" s="177"/>
      <c r="F23" s="73" t="s">
        <v>15</v>
      </c>
      <c r="G23" s="91">
        <v>2630854</v>
      </c>
      <c r="H23" s="96">
        <v>0.10743999999999999</v>
      </c>
      <c r="I23" s="69">
        <f>G23*H23</f>
        <v>282658.95376</v>
      </c>
      <c r="J23" s="73" t="s">
        <v>15</v>
      </c>
      <c r="K23" s="91">
        <v>1425082</v>
      </c>
      <c r="L23" s="96">
        <v>0.10496999999999999</v>
      </c>
      <c r="M23" s="69">
        <f>K23*L23</f>
        <v>149590.85754</v>
      </c>
    </row>
    <row r="24" spans="1:13" ht="15.75">
      <c r="A24" s="76" t="s">
        <v>116</v>
      </c>
      <c r="C24" s="20">
        <v>0</v>
      </c>
      <c r="D24" s="177"/>
      <c r="F24" s="73" t="s">
        <v>156</v>
      </c>
      <c r="G24" s="91">
        <v>2604</v>
      </c>
      <c r="H24" s="96">
        <v>0.10743999999999999</v>
      </c>
      <c r="I24" s="69">
        <f t="shared" ref="I24:I31" si="0">G24*H24</f>
        <v>279.77375999999998</v>
      </c>
      <c r="J24" s="73" t="s">
        <v>16</v>
      </c>
      <c r="K24" s="91">
        <v>1286771</v>
      </c>
      <c r="L24" s="96">
        <v>0.10496999999999999</v>
      </c>
      <c r="M24" s="69">
        <f t="shared" ref="M24:M27" si="1">K24*L24</f>
        <v>135072.35186999998</v>
      </c>
    </row>
    <row r="25" spans="1:13" ht="15.75">
      <c r="A25" s="76" t="s">
        <v>118</v>
      </c>
      <c r="C25" s="118">
        <v>0</v>
      </c>
      <c r="D25" s="177"/>
      <c r="F25" s="73" t="s">
        <v>16</v>
      </c>
      <c r="G25" s="91">
        <v>1922676</v>
      </c>
      <c r="H25" s="96">
        <v>9.8650000000000002E-2</v>
      </c>
      <c r="I25" s="69">
        <f t="shared" si="0"/>
        <v>189671.98740000001</v>
      </c>
      <c r="J25" s="73" t="s">
        <v>17</v>
      </c>
      <c r="K25" s="91">
        <v>77211</v>
      </c>
      <c r="L25" s="96">
        <v>0.10496999999999999</v>
      </c>
      <c r="M25" s="69">
        <f t="shared" si="1"/>
        <v>8104.8386699999992</v>
      </c>
    </row>
    <row r="26" spans="1:13" ht="15.75">
      <c r="A26" s="77" t="s">
        <v>117</v>
      </c>
      <c r="C26" s="119">
        <v>0</v>
      </c>
      <c r="D26" s="177"/>
      <c r="F26" s="73" t="s">
        <v>17</v>
      </c>
      <c r="G26" s="91">
        <v>6600</v>
      </c>
      <c r="H26" s="96">
        <v>9.8650000000000002E-2</v>
      </c>
      <c r="I26" s="69">
        <f t="shared" si="0"/>
        <v>651.09</v>
      </c>
      <c r="J26" s="73" t="s">
        <v>18</v>
      </c>
      <c r="K26" s="91">
        <v>0</v>
      </c>
      <c r="L26" s="96">
        <v>0.10496999999999999</v>
      </c>
      <c r="M26" s="69">
        <f t="shared" si="1"/>
        <v>0</v>
      </c>
    </row>
    <row r="27" spans="1:13" ht="15.75">
      <c r="A27" s="11" t="s">
        <v>46</v>
      </c>
      <c r="C27" s="17">
        <f>SUM(C23:C26)</f>
        <v>0</v>
      </c>
      <c r="D27" s="177"/>
      <c r="F27" s="73" t="s">
        <v>18</v>
      </c>
      <c r="G27" s="91">
        <v>318982</v>
      </c>
      <c r="H27" s="96">
        <v>0.10433000000000001</v>
      </c>
      <c r="I27" s="69">
        <f t="shared" si="0"/>
        <v>33279.392059999998</v>
      </c>
      <c r="J27" s="73" t="s">
        <v>19</v>
      </c>
      <c r="K27" s="91">
        <v>0</v>
      </c>
      <c r="L27" s="96">
        <v>0.10496999999999999</v>
      </c>
      <c r="M27" s="69">
        <f t="shared" si="1"/>
        <v>0</v>
      </c>
    </row>
    <row r="28" spans="1:13" ht="16.5" thickBot="1">
      <c r="A28" s="78" t="s">
        <v>88</v>
      </c>
      <c r="C28" s="20">
        <v>0</v>
      </c>
      <c r="D28" s="2"/>
      <c r="F28" s="73" t="s">
        <v>19</v>
      </c>
      <c r="G28" s="91">
        <v>31254</v>
      </c>
      <c r="H28" s="96">
        <v>0.10433000000000001</v>
      </c>
      <c r="I28" s="69">
        <f t="shared" si="0"/>
        <v>3260.72982</v>
      </c>
      <c r="J28" s="72" t="s">
        <v>69</v>
      </c>
      <c r="K28" s="54">
        <f>SUM(K23:K27)</f>
        <v>2789064</v>
      </c>
      <c r="L28" s="55"/>
      <c r="M28" s="70">
        <f>SUM(M23:M27)</f>
        <v>292768.04808000004</v>
      </c>
    </row>
    <row r="29" spans="1:13" ht="17.25" thickTop="1" thickBot="1">
      <c r="A29" s="78" t="s">
        <v>100</v>
      </c>
      <c r="C29" s="20">
        <v>0</v>
      </c>
      <c r="D29" s="177"/>
      <c r="F29" s="73" t="s">
        <v>20</v>
      </c>
      <c r="G29" s="91">
        <v>0</v>
      </c>
      <c r="H29" s="96">
        <v>6.2480000000000001E-2</v>
      </c>
      <c r="I29" s="69">
        <f t="shared" si="0"/>
        <v>0</v>
      </c>
      <c r="J29" s="72"/>
      <c r="K29" s="85">
        <v>2789064</v>
      </c>
      <c r="L29" s="60" t="s">
        <v>48</v>
      </c>
      <c r="M29" s="101">
        <f>M28/K28</f>
        <v>0.10497000000000001</v>
      </c>
    </row>
    <row r="30" spans="1:13" ht="16.5" thickBot="1">
      <c r="A30" s="9" t="s">
        <v>53</v>
      </c>
      <c r="C30" s="176">
        <f>C7+C11+C14+C17+C20+C22+C27+C28+C29</f>
        <v>2132281.5599999991</v>
      </c>
      <c r="D30" s="2"/>
      <c r="F30" s="73" t="s">
        <v>21</v>
      </c>
      <c r="G30" s="91">
        <v>47470</v>
      </c>
      <c r="H30" s="96">
        <v>6.2480000000000001E-2</v>
      </c>
      <c r="I30" s="69">
        <f t="shared" si="0"/>
        <v>2965.9256</v>
      </c>
      <c r="J30" s="73"/>
      <c r="K30" s="84">
        <f>K28-K29</f>
        <v>0</v>
      </c>
      <c r="L30" s="55"/>
      <c r="M30" s="71"/>
    </row>
    <row r="31" spans="1:13" ht="15.75">
      <c r="A31" s="95" t="s">
        <v>54</v>
      </c>
      <c r="C31" s="20">
        <v>8535.86</v>
      </c>
      <c r="D31" s="178"/>
      <c r="F31" s="73" t="s">
        <v>36</v>
      </c>
      <c r="G31" s="91">
        <v>2373589</v>
      </c>
      <c r="H31" s="96">
        <v>5.4000000000000001E-4</v>
      </c>
      <c r="I31" s="69">
        <f t="shared" si="0"/>
        <v>1281.7380599999999</v>
      </c>
      <c r="J31" s="32"/>
      <c r="K31" s="1"/>
      <c r="L31" s="55"/>
      <c r="M31" s="71"/>
    </row>
    <row r="32" spans="1:13" ht="16.5" thickBot="1">
      <c r="A32" s="9" t="s">
        <v>58</v>
      </c>
      <c r="B32" s="9" t="s">
        <v>59</v>
      </c>
      <c r="C32" s="120">
        <f>C30+C31</f>
        <v>2140817.419999999</v>
      </c>
      <c r="D32" s="179"/>
      <c r="F32" s="72" t="s">
        <v>69</v>
      </c>
      <c r="G32" s="54">
        <f>SUM(G23:G31)</f>
        <v>7334029</v>
      </c>
      <c r="H32" s="1"/>
      <c r="I32" s="70">
        <f>SUM(I23:I31)</f>
        <v>514049.59046000009</v>
      </c>
      <c r="J32" s="65"/>
      <c r="K32" s="66"/>
      <c r="L32" s="1"/>
      <c r="M32" s="63"/>
    </row>
    <row r="33" spans="1:17" ht="17.25" thickTop="1" thickBot="1">
      <c r="A33" s="95" t="s">
        <v>55</v>
      </c>
      <c r="C33" s="120">
        <f>-C5-C9-C13-C16-C19</f>
        <v>-37557.15</v>
      </c>
      <c r="D33" s="177"/>
      <c r="F33" s="59"/>
      <c r="G33" s="85">
        <v>7334029</v>
      </c>
      <c r="H33" s="60" t="s">
        <v>48</v>
      </c>
      <c r="I33" s="82">
        <f>I32/G32</f>
        <v>7.0091022337108302E-2</v>
      </c>
      <c r="J33" s="65"/>
      <c r="K33" s="66"/>
      <c r="L33" s="1"/>
      <c r="M33" s="16"/>
    </row>
    <row r="34" spans="1:17" ht="16.5" thickBot="1">
      <c r="A34" s="9" t="s">
        <v>56</v>
      </c>
      <c r="C34" s="176">
        <f>SUM(C32:C33)</f>
        <v>2103260.2699999991</v>
      </c>
      <c r="D34" s="177"/>
      <c r="F34" s="32"/>
      <c r="G34" s="84">
        <f>G32-G33</f>
        <v>0</v>
      </c>
      <c r="H34" s="1"/>
      <c r="I34" s="16"/>
      <c r="J34" s="65"/>
      <c r="K34" s="64"/>
      <c r="L34" s="1"/>
      <c r="M34" s="16"/>
    </row>
    <row r="35" spans="1:17" ht="18" customHeight="1">
      <c r="A35" s="9"/>
      <c r="C35" s="120"/>
      <c r="D35" s="177"/>
      <c r="F35" s="57"/>
      <c r="G35" s="4"/>
      <c r="H35" s="4"/>
      <c r="I35" s="58"/>
      <c r="J35" s="72" t="s">
        <v>70</v>
      </c>
      <c r="K35" s="207"/>
      <c r="L35" s="207"/>
      <c r="M35" s="208"/>
    </row>
    <row r="36" spans="1:17" ht="15.75">
      <c r="A36" s="3" t="s">
        <v>44</v>
      </c>
      <c r="B36" s="9"/>
      <c r="C36" s="17"/>
      <c r="D36" s="177"/>
      <c r="F36" s="72" t="s">
        <v>70</v>
      </c>
      <c r="G36" s="1"/>
      <c r="H36" s="1"/>
      <c r="I36" s="16"/>
      <c r="J36" s="73" t="s">
        <v>15</v>
      </c>
      <c r="K36" s="92">
        <f>K23</f>
        <v>1425082</v>
      </c>
      <c r="L36" s="96">
        <v>0.16236</v>
      </c>
      <c r="M36" s="69">
        <f t="shared" ref="M36:M42" si="2">K36*L36</f>
        <v>231376.31352</v>
      </c>
      <c r="P36" s="180"/>
      <c r="Q36" s="180"/>
    </row>
    <row r="37" spans="1:17" ht="15.75">
      <c r="A37" s="1" t="s">
        <v>71</v>
      </c>
      <c r="B37" s="130" t="s">
        <v>57</v>
      </c>
      <c r="C37" s="20">
        <v>5113166.41</v>
      </c>
      <c r="D37" s="177"/>
      <c r="F37" s="73" t="s">
        <v>15</v>
      </c>
      <c r="G37" s="92">
        <f>G23</f>
        <v>2630854</v>
      </c>
      <c r="H37" s="96">
        <v>0.16436000000000001</v>
      </c>
      <c r="I37" s="69">
        <f t="shared" ref="I37:I44" si="3">G37*H37</f>
        <v>432407.16344000003</v>
      </c>
      <c r="J37" s="73" t="s">
        <v>16</v>
      </c>
      <c r="K37" s="92">
        <f>K24</f>
        <v>1286771</v>
      </c>
      <c r="L37" s="96">
        <v>0.16236</v>
      </c>
      <c r="M37" s="69">
        <f t="shared" si="2"/>
        <v>208920.13956000001</v>
      </c>
      <c r="P37" s="180"/>
      <c r="Q37" s="180"/>
    </row>
    <row r="38" spans="1:17" ht="15.75">
      <c r="A38" s="79" t="s">
        <v>4</v>
      </c>
      <c r="B38" s="130" t="s">
        <v>57</v>
      </c>
      <c r="C38" s="20">
        <v>0</v>
      </c>
      <c r="D38" s="177"/>
      <c r="F38" s="73" t="s">
        <v>156</v>
      </c>
      <c r="G38" s="92">
        <f>G24</f>
        <v>2604</v>
      </c>
      <c r="H38" s="96">
        <v>0.16436000000000001</v>
      </c>
      <c r="I38" s="69">
        <f t="shared" si="3"/>
        <v>427.99344000000002</v>
      </c>
      <c r="J38" s="73" t="s">
        <v>17</v>
      </c>
      <c r="K38" s="92">
        <f>K25</f>
        <v>77211</v>
      </c>
      <c r="L38" s="96">
        <v>0.16236</v>
      </c>
      <c r="M38" s="69">
        <f t="shared" si="2"/>
        <v>12535.97796</v>
      </c>
      <c r="P38" s="180"/>
      <c r="Q38" s="180"/>
    </row>
    <row r="39" spans="1:17" ht="15.75">
      <c r="A39" s="1" t="s">
        <v>84</v>
      </c>
      <c r="B39" s="130" t="s">
        <v>85</v>
      </c>
      <c r="C39" s="20">
        <v>-81263.929999999993</v>
      </c>
      <c r="D39" s="177"/>
      <c r="F39" s="73" t="s">
        <v>16</v>
      </c>
      <c r="G39" s="92">
        <f t="shared" ref="G39:G44" si="4">G25</f>
        <v>1922676</v>
      </c>
      <c r="H39" s="96">
        <v>0.16436000000000001</v>
      </c>
      <c r="I39" s="69">
        <f t="shared" si="3"/>
        <v>316011.02736000001</v>
      </c>
      <c r="J39" s="73" t="s">
        <v>18</v>
      </c>
      <c r="K39" s="92">
        <f>K26</f>
        <v>0</v>
      </c>
      <c r="L39" s="96">
        <v>0.16236</v>
      </c>
      <c r="M39" s="69">
        <f t="shared" si="2"/>
        <v>0</v>
      </c>
      <c r="P39" s="180"/>
      <c r="Q39" s="180"/>
    </row>
    <row r="40" spans="1:17" ht="15.75">
      <c r="A40" s="1" t="s">
        <v>73</v>
      </c>
      <c r="B40" s="130" t="s">
        <v>74</v>
      </c>
      <c r="C40" s="20">
        <v>1484422.08</v>
      </c>
      <c r="D40" s="177"/>
      <c r="F40" s="73" t="s">
        <v>17</v>
      </c>
      <c r="G40" s="92">
        <f t="shared" si="4"/>
        <v>6600</v>
      </c>
      <c r="H40" s="96">
        <v>0.16436000000000001</v>
      </c>
      <c r="I40" s="69">
        <f t="shared" si="3"/>
        <v>1084.7760000000001</v>
      </c>
      <c r="J40" s="73" t="s">
        <v>19</v>
      </c>
      <c r="K40" s="92">
        <f>K27</f>
        <v>0</v>
      </c>
      <c r="L40" s="96">
        <v>0.16236</v>
      </c>
      <c r="M40" s="69">
        <f t="shared" si="2"/>
        <v>0</v>
      </c>
      <c r="P40" s="180"/>
      <c r="Q40" s="180"/>
    </row>
    <row r="41" spans="1:17" ht="15.75">
      <c r="A41" s="1" t="s">
        <v>90</v>
      </c>
      <c r="B41" s="125" t="s">
        <v>91</v>
      </c>
      <c r="C41" s="20">
        <v>-4939.8</v>
      </c>
      <c r="D41" s="177"/>
      <c r="F41" s="73" t="s">
        <v>18</v>
      </c>
      <c r="G41" s="92">
        <f t="shared" si="4"/>
        <v>318982</v>
      </c>
      <c r="H41" s="96">
        <v>0.16436000000000001</v>
      </c>
      <c r="I41" s="69">
        <f t="shared" si="3"/>
        <v>52427.881520000003</v>
      </c>
      <c r="J41" s="73" t="s">
        <v>20</v>
      </c>
      <c r="K41" s="91">
        <v>0</v>
      </c>
      <c r="L41" s="96">
        <v>0.16236</v>
      </c>
      <c r="M41" s="69">
        <f t="shared" si="2"/>
        <v>0</v>
      </c>
      <c r="P41" s="180"/>
      <c r="Q41" s="180"/>
    </row>
    <row r="42" spans="1:17" ht="16.5" thickBot="1">
      <c r="A42" s="1" t="s">
        <v>108</v>
      </c>
      <c r="B42" s="130" t="s">
        <v>109</v>
      </c>
      <c r="C42" s="20">
        <v>545518.42000000004</v>
      </c>
      <c r="D42" s="2"/>
      <c r="F42" s="73" t="s">
        <v>19</v>
      </c>
      <c r="G42" s="92">
        <f t="shared" si="4"/>
        <v>31254</v>
      </c>
      <c r="H42" s="96">
        <v>0.16436000000000001</v>
      </c>
      <c r="I42" s="69">
        <f t="shared" si="3"/>
        <v>5136.90744</v>
      </c>
      <c r="J42" s="73" t="s">
        <v>21</v>
      </c>
      <c r="K42" s="93">
        <v>0</v>
      </c>
      <c r="L42" s="96">
        <v>0.16236</v>
      </c>
      <c r="M42" s="69">
        <f t="shared" si="2"/>
        <v>0</v>
      </c>
      <c r="P42" s="180"/>
      <c r="Q42" s="180"/>
    </row>
    <row r="43" spans="1:17" ht="16.5" thickBot="1">
      <c r="A43" s="14" t="s">
        <v>65</v>
      </c>
      <c r="B43" s="4"/>
      <c r="C43" s="176">
        <f>SUM(C37:C42)</f>
        <v>7056903.1800000006</v>
      </c>
      <c r="D43" s="177"/>
      <c r="F43" s="73" t="s">
        <v>20</v>
      </c>
      <c r="G43" s="92">
        <f t="shared" si="4"/>
        <v>0</v>
      </c>
      <c r="H43" s="96">
        <v>0.16436000000000001</v>
      </c>
      <c r="I43" s="69">
        <f t="shared" si="3"/>
        <v>0</v>
      </c>
      <c r="J43" s="72" t="s">
        <v>75</v>
      </c>
      <c r="K43" s="54">
        <f>SUM(K36:K42)</f>
        <v>2789064</v>
      </c>
      <c r="L43" s="55"/>
      <c r="M43" s="70">
        <f>SUM(M36:M42)</f>
        <v>452832.43104</v>
      </c>
    </row>
    <row r="44" spans="1:17" ht="16.5" thickBot="1">
      <c r="A44" s="181" t="s">
        <v>107</v>
      </c>
      <c r="B44" s="182" t="s">
        <v>62</v>
      </c>
      <c r="C44" s="20">
        <f>-3021098.32+3459.1+137916.56</f>
        <v>-2879722.6599999997</v>
      </c>
      <c r="D44" s="2"/>
      <c r="F44" s="73" t="s">
        <v>21</v>
      </c>
      <c r="G44" s="92">
        <f t="shared" si="4"/>
        <v>47470</v>
      </c>
      <c r="H44" s="96">
        <v>0.16436000000000001</v>
      </c>
      <c r="I44" s="69">
        <f t="shared" si="3"/>
        <v>7802.1692000000003</v>
      </c>
      <c r="J44" s="67"/>
      <c r="K44" s="86">
        <v>2789064</v>
      </c>
      <c r="L44" s="62" t="s">
        <v>48</v>
      </c>
      <c r="M44" s="83">
        <f>M43/K43</f>
        <v>0.16236</v>
      </c>
    </row>
    <row r="45" spans="1:17" ht="16.5" thickBot="1">
      <c r="A45" s="79" t="s">
        <v>101</v>
      </c>
      <c r="B45" s="125" t="s">
        <v>57</v>
      </c>
      <c r="C45" s="20">
        <v>0</v>
      </c>
      <c r="D45" s="178"/>
      <c r="F45" s="72" t="s">
        <v>75</v>
      </c>
      <c r="G45" s="54">
        <f>SUM(G37:G44)</f>
        <v>4960440</v>
      </c>
      <c r="H45" s="55"/>
      <c r="I45" s="70">
        <f>SUM(I37:I44)</f>
        <v>815297.91840000008</v>
      </c>
      <c r="J45" s="14"/>
      <c r="K45" s="85"/>
      <c r="L45" s="60"/>
      <c r="M45" s="117"/>
    </row>
    <row r="46" spans="1:17" ht="19.5" customHeight="1" thickTop="1" thickBot="1">
      <c r="A46" s="79" t="s">
        <v>102</v>
      </c>
      <c r="B46" s="125" t="s">
        <v>57</v>
      </c>
      <c r="C46" s="20">
        <v>0</v>
      </c>
      <c r="D46" s="179"/>
      <c r="F46" s="61"/>
      <c r="G46" s="86">
        <v>4960440</v>
      </c>
      <c r="H46" s="62" t="s">
        <v>48</v>
      </c>
      <c r="I46" s="81">
        <f>I45/G45</f>
        <v>0.16436000000000001</v>
      </c>
      <c r="J46" s="14"/>
      <c r="K46" s="85"/>
      <c r="L46" s="60"/>
      <c r="M46" s="117"/>
    </row>
    <row r="47" spans="1:17" ht="19.5" customHeight="1">
      <c r="A47" s="95" t="s">
        <v>79</v>
      </c>
      <c r="B47" s="125" t="s">
        <v>57</v>
      </c>
      <c r="C47" s="20">
        <v>-246.95</v>
      </c>
      <c r="D47" s="177"/>
      <c r="G47" s="84">
        <f>G45-G46</f>
        <v>0</v>
      </c>
      <c r="J47" s="21"/>
      <c r="K47" s="84">
        <f>K43-K44</f>
        <v>0</v>
      </c>
      <c r="M47" s="21"/>
    </row>
    <row r="48" spans="1:17" ht="16.5" thickBot="1">
      <c r="A48" s="79" t="s">
        <v>155</v>
      </c>
      <c r="B48" s="125" t="s">
        <v>57</v>
      </c>
      <c r="C48" s="20">
        <v>7000</v>
      </c>
      <c r="D48" s="177"/>
      <c r="J48" s="21"/>
      <c r="K48" s="18"/>
      <c r="M48" s="13"/>
    </row>
    <row r="49" spans="1:21" ht="15.75">
      <c r="A49" s="1" t="s">
        <v>72</v>
      </c>
      <c r="B49" s="130" t="s">
        <v>89</v>
      </c>
      <c r="C49" s="20">
        <v>15563.33</v>
      </c>
      <c r="D49" s="177"/>
      <c r="G49" s="18"/>
      <c r="H49" s="25" t="s">
        <v>13</v>
      </c>
      <c r="I49" s="5" t="s">
        <v>13</v>
      </c>
      <c r="J49" s="5" t="s">
        <v>25</v>
      </c>
      <c r="K49" s="23" t="s">
        <v>32</v>
      </c>
      <c r="L49" s="21"/>
    </row>
    <row r="50" spans="1:21" ht="16.5" thickBot="1">
      <c r="A50" s="1" t="s">
        <v>121</v>
      </c>
      <c r="B50" s="130" t="s">
        <v>89</v>
      </c>
      <c r="C50" s="20">
        <v>3456.35</v>
      </c>
      <c r="D50" s="2"/>
      <c r="F50" s="9" t="s">
        <v>35</v>
      </c>
      <c r="H50" s="26" t="s">
        <v>0</v>
      </c>
      <c r="I50" s="27" t="s">
        <v>1</v>
      </c>
      <c r="J50" s="27" t="s">
        <v>0</v>
      </c>
      <c r="K50" s="24" t="s">
        <v>1</v>
      </c>
    </row>
    <row r="51" spans="1:21" ht="15.75">
      <c r="A51" s="1" t="s">
        <v>159</v>
      </c>
      <c r="B51" s="130" t="s">
        <v>89</v>
      </c>
      <c r="C51" s="20">
        <v>3560.56</v>
      </c>
      <c r="D51" s="177"/>
      <c r="H51" s="30"/>
      <c r="I51" s="31"/>
      <c r="J51" s="31"/>
      <c r="K51" s="31"/>
      <c r="L51" s="22" t="s">
        <v>49</v>
      </c>
    </row>
    <row r="52" spans="1:21" ht="15.75">
      <c r="A52" s="42" t="s">
        <v>60</v>
      </c>
      <c r="B52" s="125"/>
      <c r="C52" s="17">
        <f>-C33</f>
        <v>37557.15</v>
      </c>
      <c r="D52" s="174"/>
      <c r="F52" s="95" t="s">
        <v>78</v>
      </c>
      <c r="H52" s="80">
        <f>K12</f>
        <v>-99402.480245999977</v>
      </c>
      <c r="I52" s="19">
        <f>I14</f>
        <v>1452511.5424619995</v>
      </c>
      <c r="J52" s="19">
        <f>L12</f>
        <v>-56794.809753999987</v>
      </c>
      <c r="K52" s="19">
        <f>J14</f>
        <v>650748.72753799974</v>
      </c>
      <c r="L52" s="28">
        <f>SUM(H52:K52)</f>
        <v>1947062.9799999991</v>
      </c>
    </row>
    <row r="53" spans="1:21" ht="16.5" thickBot="1">
      <c r="A53" s="95" t="s">
        <v>166</v>
      </c>
      <c r="B53" s="130" t="s">
        <v>167</v>
      </c>
      <c r="C53" s="20">
        <v>11783.67</v>
      </c>
      <c r="D53" s="174"/>
      <c r="F53" s="95" t="s">
        <v>51</v>
      </c>
      <c r="H53" s="80">
        <f>-I45</f>
        <v>-815297.91840000008</v>
      </c>
      <c r="I53" s="19">
        <f>-I32</f>
        <v>-514049.59046000009</v>
      </c>
      <c r="J53" s="19">
        <f>-M43</f>
        <v>-452832.43104</v>
      </c>
      <c r="K53" s="19">
        <f>-M28</f>
        <v>-292768.04808000004</v>
      </c>
      <c r="L53" s="90">
        <f>SUM(H53:K53)</f>
        <v>-2074947.9879800002</v>
      </c>
    </row>
    <row r="54" spans="1:21" ht="16.5" thickBot="1">
      <c r="A54" s="95" t="s">
        <v>66</v>
      </c>
      <c r="B54" s="125" t="s">
        <v>153</v>
      </c>
      <c r="C54" s="20">
        <f>-758355.75-1731991.72-1515365.62</f>
        <v>-4005713.09</v>
      </c>
      <c r="D54" s="177"/>
      <c r="F54" s="95" t="s">
        <v>37</v>
      </c>
      <c r="H54" s="87">
        <v>0</v>
      </c>
      <c r="I54" s="88">
        <v>0</v>
      </c>
      <c r="J54" s="88">
        <v>0</v>
      </c>
      <c r="K54" s="89">
        <v>0</v>
      </c>
      <c r="L54" s="183">
        <f>SUM(L52:L53)</f>
        <v>-127885.00798000116</v>
      </c>
    </row>
    <row r="55" spans="1:21" ht="16.5" thickBot="1">
      <c r="A55" s="95" t="s">
        <v>163</v>
      </c>
      <c r="B55" s="125" t="s">
        <v>119</v>
      </c>
      <c r="C55" s="20">
        <v>-375000</v>
      </c>
      <c r="D55" s="177"/>
      <c r="F55" s="95" t="s">
        <v>33</v>
      </c>
      <c r="H55" s="176">
        <f>IFERROR(H52+H53+H54,0)</f>
        <v>-914700.39864600007</v>
      </c>
      <c r="I55" s="176">
        <f>I52+I53+I54</f>
        <v>938461.95200199937</v>
      </c>
      <c r="J55" s="176">
        <f>IFERROR(J52+J53+J54,0)</f>
        <v>-509627.24079399998</v>
      </c>
      <c r="K55" s="176">
        <f>K52+K53+K54</f>
        <v>357980.67945799971</v>
      </c>
      <c r="L55" s="184">
        <f>SUM(H55:K55)</f>
        <v>-127885.00798000098</v>
      </c>
    </row>
    <row r="56" spans="1:21" ht="16.5" thickBot="1">
      <c r="A56" s="185" t="s">
        <v>61</v>
      </c>
      <c r="B56" s="182"/>
      <c r="C56" s="34">
        <f>SUM(C43:C55)</f>
        <v>-124858.45999999996</v>
      </c>
      <c r="D56" s="177"/>
      <c r="F56" s="186" t="s">
        <v>111</v>
      </c>
      <c r="H56" s="95" t="s">
        <v>103</v>
      </c>
      <c r="I56" s="1">
        <f>SUM(H55:I55)</f>
        <v>23761.553355999291</v>
      </c>
      <c r="J56" s="12" t="s">
        <v>104</v>
      </c>
      <c r="K56" s="95">
        <f>SUM(J55:K55)</f>
        <v>-151646.56133600028</v>
      </c>
      <c r="L56" s="187">
        <f>ROUND(L54-L55,3)</f>
        <v>0</v>
      </c>
      <c r="T56" s="188"/>
    </row>
    <row r="57" spans="1:21" ht="16.5" thickTop="1">
      <c r="A57" s="95" t="s">
        <v>63</v>
      </c>
      <c r="B57" s="125" t="s">
        <v>57</v>
      </c>
      <c r="C57" s="20">
        <v>-19480.580000000002</v>
      </c>
      <c r="D57" s="177"/>
      <c r="F57" s="189"/>
      <c r="H57" s="190"/>
    </row>
    <row r="58" spans="1:21" ht="16.5" thickBot="1">
      <c r="A58" s="95" t="s">
        <v>64</v>
      </c>
      <c r="B58" s="125" t="s">
        <v>57</v>
      </c>
      <c r="C58" s="20">
        <v>-11858.25</v>
      </c>
      <c r="D58" s="177"/>
      <c r="F58" s="189"/>
      <c r="H58" s="178"/>
      <c r="I58" s="191"/>
      <c r="J58" s="191"/>
      <c r="K58" s="192"/>
      <c r="L58" s="191"/>
    </row>
    <row r="59" spans="1:21" ht="16.5" thickBot="1">
      <c r="A59" s="9" t="s">
        <v>67</v>
      </c>
      <c r="B59" s="9"/>
      <c r="C59" s="34">
        <f>SUM(C56:C58)</f>
        <v>-156197.28999999998</v>
      </c>
      <c r="D59" s="177"/>
      <c r="F59" s="193"/>
      <c r="H59" s="30" t="s">
        <v>151</v>
      </c>
      <c r="I59" s="75"/>
    </row>
    <row r="60" spans="1:21" ht="17.25" thickTop="1" thickBot="1">
      <c r="A60" s="9"/>
      <c r="C60" s="120"/>
      <c r="D60" s="177"/>
      <c r="H60" s="33" t="s">
        <v>105</v>
      </c>
      <c r="I60" s="194" t="s">
        <v>106</v>
      </c>
      <c r="J60" s="1"/>
    </row>
    <row r="61" spans="1:21" ht="16.5" thickBot="1">
      <c r="A61" s="29"/>
      <c r="B61" s="29" t="s">
        <v>45</v>
      </c>
      <c r="C61" s="176">
        <f>C59+C34</f>
        <v>1947062.9799999991</v>
      </c>
      <c r="D61" s="177"/>
      <c r="H61" s="94"/>
      <c r="I61" s="98"/>
      <c r="J61" s="95">
        <f>H53+I53+J53+K53</f>
        <v>-2074947.9879800002</v>
      </c>
    </row>
    <row r="62" spans="1:21" ht="15.75">
      <c r="A62" s="9"/>
      <c r="B62" s="29" t="s">
        <v>94</v>
      </c>
      <c r="C62" s="126">
        <v>1947062.98</v>
      </c>
      <c r="D62" s="2"/>
      <c r="G62" s="1"/>
      <c r="I62" s="17"/>
      <c r="N62" s="1"/>
      <c r="O62" s="1"/>
      <c r="P62" s="195"/>
    </row>
    <row r="63" spans="1:21" ht="15.75">
      <c r="A63" s="29"/>
      <c r="B63" s="29" t="s">
        <v>93</v>
      </c>
      <c r="C63" s="17">
        <f>ROUND(C61-C62,2)</f>
        <v>0</v>
      </c>
      <c r="S63" s="125"/>
    </row>
    <row r="64" spans="1:21" ht="15.75">
      <c r="A64" s="15"/>
      <c r="C64" s="196"/>
      <c r="D64" s="177"/>
      <c r="N64" s="42"/>
      <c r="U64" s="9"/>
    </row>
    <row r="65" spans="1:21" ht="15.75">
      <c r="A65" s="15"/>
      <c r="C65" s="2"/>
      <c r="D65" s="197"/>
      <c r="N65" s="42"/>
      <c r="S65" s="198"/>
    </row>
    <row r="66" spans="1:21" ht="15.75">
      <c r="A66" s="9"/>
      <c r="C66" s="2"/>
      <c r="D66" s="177"/>
      <c r="N66" s="42"/>
      <c r="S66" s="199"/>
    </row>
    <row r="67" spans="1:21">
      <c r="C67" s="17"/>
      <c r="D67" s="177"/>
      <c r="N67" s="42"/>
      <c r="S67" s="200"/>
    </row>
    <row r="68" spans="1:21">
      <c r="D68" s="177"/>
      <c r="N68" s="42"/>
      <c r="S68" s="199"/>
    </row>
    <row r="69" spans="1:21">
      <c r="D69" s="177"/>
      <c r="N69" s="42"/>
    </row>
    <row r="70" spans="1:21">
      <c r="D70" s="2"/>
      <c r="N70" s="42"/>
      <c r="S70" s="201"/>
    </row>
    <row r="71" spans="1:21">
      <c r="D71" s="177"/>
    </row>
    <row r="72" spans="1:21">
      <c r="D72" s="177"/>
    </row>
    <row r="73" spans="1:21">
      <c r="D73" s="177"/>
      <c r="S73" s="202"/>
    </row>
    <row r="74" spans="1:21">
      <c r="D74" s="64"/>
      <c r="R74" s="125"/>
      <c r="S74" s="125"/>
      <c r="T74" s="125"/>
    </row>
    <row r="76" spans="1:21">
      <c r="U76" s="203"/>
    </row>
    <row r="1477" spans="3:3">
      <c r="C1477" s="95">
        <v>-2130</v>
      </c>
    </row>
    <row r="1485" spans="3:3">
      <c r="C1485" s="95">
        <f>7004298-2130</f>
        <v>7002168</v>
      </c>
    </row>
  </sheetData>
  <mergeCells count="3">
    <mergeCell ref="F18:I18"/>
    <mergeCell ref="J18:M18"/>
    <mergeCell ref="K35:M35"/>
  </mergeCells>
  <conditionalFormatting sqref="C63 L56 I62">
    <cfRule type="cellIs" dxfId="5" priority="7" stopIfTrue="1" operator="equal">
      <formula>0</formula>
    </cfRule>
    <cfRule type="cellIs" dxfId="4" priority="8" stopIfTrue="1" operator="notEqual">
      <formula>0</formula>
    </cfRule>
  </conditionalFormatting>
  <conditionalFormatting sqref="G34 G47 K30 K47">
    <cfRule type="cellIs" dxfId="3" priority="6" operator="notEqual">
      <formula>0</formula>
    </cfRule>
  </conditionalFormatting>
  <conditionalFormatting sqref="C63">
    <cfRule type="cellIs" dxfId="2" priority="4" stopIfTrue="1" operator="equal">
      <formula>0</formula>
    </cfRule>
    <cfRule type="cellIs" dxfId="1" priority="5" stopIfTrue="1" operator="notEqual">
      <formula>0</formula>
    </cfRule>
  </conditionalFormatting>
  <conditionalFormatting sqref="K30">
    <cfRule type="cellIs" dxfId="0" priority="3" operator="notEqual">
      <formula>0</formula>
    </cfRule>
  </conditionalFormatting>
  <printOptions verticalCentered="1" gridLinesSet="0"/>
  <pageMargins left="0.5" right="0" top="0.25" bottom="0.5" header="0" footer="0.25"/>
  <pageSetup scale="47" orientation="landscape" cellComments="asDisplayed" r:id="rId1"/>
  <headerFooter alignWithMargins="0">
    <oddFooter>&amp;L&amp;F&amp;C&amp;A&amp;R&amp;D&amp;T</oddFooter>
  </headerFooter>
  <customProperties>
    <customPr name="xxe4aPID" r:id="rId2"/>
  </customPropertie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tabColor rgb="FF00CC66"/>
    <pageSetUpPr fitToPage="1"/>
  </sheetPr>
  <dimension ref="A1:U1485"/>
  <sheetViews>
    <sheetView showGridLines="0" tabSelected="1" zoomScale="70" zoomScaleNormal="70" workbookViewId="0">
      <selection activeCell="X1" sqref="X1:X1048576"/>
    </sheetView>
  </sheetViews>
  <sheetFormatPr defaultColWidth="16" defaultRowHeight="15"/>
  <cols>
    <col min="1" max="1" width="44.85546875" style="95" customWidth="1"/>
    <col min="2" max="2" width="25.5703125" style="95" customWidth="1"/>
    <col min="3" max="3" width="25.28515625" style="95" customWidth="1"/>
    <col min="4" max="4" width="2.7109375" style="95" customWidth="1"/>
    <col min="5" max="5" width="4.28515625" style="95" customWidth="1"/>
    <col min="6" max="6" width="26.7109375" style="95" customWidth="1"/>
    <col min="7" max="7" width="19" style="95" customWidth="1"/>
    <col min="8" max="8" width="22" style="95" customWidth="1"/>
    <col min="9" max="9" width="20.42578125" style="95" customWidth="1"/>
    <col min="10" max="10" width="26.28515625" style="95" customWidth="1"/>
    <col min="11" max="11" width="21.85546875" style="95" bestFit="1" customWidth="1"/>
    <col min="12" max="12" width="23.85546875" style="95" customWidth="1"/>
    <col min="13" max="13" width="20.85546875" style="95" bestFit="1" customWidth="1"/>
    <col min="14" max="15" width="16" style="95"/>
    <col min="16" max="16" width="16.28515625" style="95" bestFit="1" customWidth="1"/>
    <col min="17" max="16384" width="16" style="95"/>
  </cols>
  <sheetData>
    <row r="1" spans="1:12" ht="16.5" thickBot="1">
      <c r="A1" s="172" t="s">
        <v>26</v>
      </c>
      <c r="B1" s="173"/>
      <c r="C1" s="107">
        <f>[4]Jun!C1+1</f>
        <v>201707</v>
      </c>
      <c r="F1" s="107">
        <f>C1</f>
        <v>201707</v>
      </c>
      <c r="H1" s="35" t="s">
        <v>31</v>
      </c>
      <c r="I1" s="22" t="s">
        <v>1</v>
      </c>
      <c r="J1" s="22" t="s">
        <v>1</v>
      </c>
      <c r="K1" s="22" t="s">
        <v>28</v>
      </c>
      <c r="L1" s="22" t="s">
        <v>28</v>
      </c>
    </row>
    <row r="2" spans="1:12" ht="15.75">
      <c r="C2" s="6"/>
      <c r="H2" s="36" t="s">
        <v>10</v>
      </c>
      <c r="I2" s="37" t="s">
        <v>27</v>
      </c>
      <c r="J2" s="37" t="s">
        <v>27</v>
      </c>
      <c r="K2" s="37" t="s">
        <v>29</v>
      </c>
      <c r="L2" s="37" t="s">
        <v>29</v>
      </c>
    </row>
    <row r="3" spans="1:12" ht="16.5" thickBot="1">
      <c r="A3" s="10" t="s">
        <v>52</v>
      </c>
      <c r="C3" s="7"/>
      <c r="D3" s="174"/>
      <c r="F3" s="9" t="s">
        <v>34</v>
      </c>
      <c r="H3" s="38" t="s">
        <v>30</v>
      </c>
      <c r="I3" s="38" t="s">
        <v>13</v>
      </c>
      <c r="J3" s="38" t="s">
        <v>25</v>
      </c>
      <c r="K3" s="38" t="s">
        <v>13</v>
      </c>
      <c r="L3" s="38" t="s">
        <v>25</v>
      </c>
    </row>
    <row r="4" spans="1:12" ht="15.75">
      <c r="A4" s="95" t="s">
        <v>38</v>
      </c>
      <c r="C4" s="20">
        <f>4598122.63</f>
        <v>4598122.63</v>
      </c>
      <c r="D4" s="6"/>
      <c r="H4" s="3"/>
    </row>
    <row r="5" spans="1:12" ht="14.25" customHeight="1">
      <c r="A5" s="95" t="s">
        <v>9</v>
      </c>
      <c r="C5" s="20">
        <f>44463.08-6.51</f>
        <v>44456.57</v>
      </c>
      <c r="D5" s="6"/>
      <c r="H5" s="3"/>
      <c r="I5" s="175">
        <v>0.70530000000000004</v>
      </c>
      <c r="J5" s="175">
        <v>0.29470000000000002</v>
      </c>
      <c r="K5" s="97">
        <f>ROUND(G45/(G45+K43),4)</f>
        <v>0.65149999999999997</v>
      </c>
      <c r="L5" s="97">
        <f>1-K5</f>
        <v>0.34850000000000003</v>
      </c>
    </row>
    <row r="6" spans="1:12" ht="16.5" thickBot="1">
      <c r="A6" s="8" t="s">
        <v>8</v>
      </c>
      <c r="C6" s="116">
        <f>-2343063.08-444850-127100-142987.5-81979.5-102391.76</f>
        <v>-3242371.84</v>
      </c>
      <c r="D6" s="6"/>
    </row>
    <row r="7" spans="1:12" ht="16.5" thickBot="1">
      <c r="A7" s="12" t="s">
        <v>82</v>
      </c>
      <c r="C7" s="17">
        <f>SUM(C4:C6)</f>
        <v>1400207.3600000003</v>
      </c>
      <c r="D7" s="7"/>
      <c r="F7" s="39" t="s">
        <v>81</v>
      </c>
      <c r="G7" s="39"/>
      <c r="H7" s="176">
        <f>C34</f>
        <v>2278810.6300000004</v>
      </c>
      <c r="I7" s="40">
        <f>H7*I5</f>
        <v>1607245.1373390004</v>
      </c>
      <c r="J7" s="40">
        <f>H7*J5</f>
        <v>671565.49266100011</v>
      </c>
      <c r="K7" s="40"/>
      <c r="L7" s="40"/>
    </row>
    <row r="8" spans="1:12" ht="15.75">
      <c r="A8" s="95" t="s">
        <v>39</v>
      </c>
      <c r="C8" s="20">
        <f>191512.75</f>
        <v>191512.75</v>
      </c>
      <c r="D8" s="7"/>
      <c r="H8" s="41"/>
      <c r="I8" s="41"/>
      <c r="J8" s="41"/>
      <c r="K8" s="41"/>
      <c r="L8" s="41"/>
    </row>
    <row r="9" spans="1:12" ht="15.75">
      <c r="A9" s="95" t="s">
        <v>40</v>
      </c>
      <c r="C9" s="20">
        <f>6176.25</f>
        <v>6176.25</v>
      </c>
      <c r="D9" s="177"/>
      <c r="F9" s="39" t="s">
        <v>61</v>
      </c>
      <c r="H9" s="40">
        <f>C56</f>
        <v>-1976290.3600000013</v>
      </c>
      <c r="I9" s="40"/>
      <c r="J9" s="40"/>
      <c r="K9" s="40">
        <f>H9*K5</f>
        <v>-1287553.1695400008</v>
      </c>
      <c r="L9" s="40">
        <f>H9*L5</f>
        <v>-688737.19046000054</v>
      </c>
    </row>
    <row r="10" spans="1:12" ht="15.75">
      <c r="A10" s="8" t="s">
        <v>41</v>
      </c>
      <c r="C10" s="116">
        <f>-3418.47</f>
        <v>-3418.47</v>
      </c>
      <c r="D10" s="177"/>
      <c r="F10" s="42" t="s">
        <v>22</v>
      </c>
      <c r="H10" s="40">
        <f>C57</f>
        <v>1710.99</v>
      </c>
      <c r="I10" s="40"/>
      <c r="J10" s="40"/>
      <c r="K10" s="40">
        <f>H10</f>
        <v>1710.99</v>
      </c>
      <c r="L10" s="40"/>
    </row>
    <row r="11" spans="1:12">
      <c r="A11" s="12" t="s">
        <v>83</v>
      </c>
      <c r="C11" s="17">
        <f>SUM(C8:C10)</f>
        <v>194270.53</v>
      </c>
      <c r="D11" s="177"/>
      <c r="F11" s="42" t="s">
        <v>23</v>
      </c>
      <c r="H11" s="43">
        <f>C58</f>
        <v>465.53</v>
      </c>
      <c r="I11" s="40"/>
      <c r="J11" s="40"/>
      <c r="K11" s="43"/>
      <c r="L11" s="43">
        <f>H11</f>
        <v>465.53</v>
      </c>
    </row>
    <row r="12" spans="1:12" ht="15.75">
      <c r="A12" s="95" t="s">
        <v>98</v>
      </c>
      <c r="C12" s="20">
        <f>190672.32+5805.69</f>
        <v>196478.01</v>
      </c>
      <c r="D12" s="177"/>
      <c r="F12" s="42" t="s">
        <v>80</v>
      </c>
      <c r="H12" s="40">
        <f>H9+H10+H11</f>
        <v>-1974113.8400000012</v>
      </c>
      <c r="I12" s="40"/>
      <c r="J12" s="40"/>
      <c r="K12" s="40">
        <f>SUM(K9:K11)</f>
        <v>-1285842.1795400009</v>
      </c>
      <c r="L12" s="40">
        <f>SUM(L9:L11)</f>
        <v>-688271.66046000051</v>
      </c>
    </row>
    <row r="13" spans="1:12" ht="16.5" thickBot="1">
      <c r="A13" s="8" t="s">
        <v>99</v>
      </c>
      <c r="C13" s="116">
        <v>0</v>
      </c>
      <c r="D13" s="177"/>
      <c r="F13" s="44"/>
      <c r="G13" s="45"/>
      <c r="H13" s="46"/>
      <c r="I13" s="47"/>
      <c r="J13" s="46"/>
      <c r="K13" s="41"/>
      <c r="L13" s="46"/>
    </row>
    <row r="14" spans="1:12" ht="16.5" thickBot="1">
      <c r="A14" s="12" t="s">
        <v>42</v>
      </c>
      <c r="C14" s="17">
        <f>SUM(C12:C13)</f>
        <v>196478.01</v>
      </c>
      <c r="D14" s="2"/>
      <c r="F14" s="9" t="s">
        <v>31</v>
      </c>
      <c r="G14" s="48"/>
      <c r="H14" s="176">
        <f>H12+H7</f>
        <v>304696.78999999911</v>
      </c>
      <c r="I14" s="49">
        <f>SUM(I7:I13)</f>
        <v>1607245.1373390004</v>
      </c>
      <c r="J14" s="49">
        <f>SUM(J7:J13)</f>
        <v>671565.49266100011</v>
      </c>
      <c r="K14" s="49">
        <f>K12</f>
        <v>-1285842.1795400009</v>
      </c>
      <c r="L14" s="49">
        <f>L12</f>
        <v>-688271.66046000051</v>
      </c>
    </row>
    <row r="15" spans="1:12" ht="15.75">
      <c r="A15" s="95" t="s">
        <v>113</v>
      </c>
      <c r="C15" s="20">
        <f>445538.71+13565.99</f>
        <v>459104.7</v>
      </c>
      <c r="D15" s="177"/>
      <c r="F15" s="44"/>
      <c r="G15" s="45" t="s">
        <v>48</v>
      </c>
      <c r="H15" s="46">
        <f>H14-C61</f>
        <v>0</v>
      </c>
      <c r="I15" s="50"/>
      <c r="J15" s="46">
        <f>J7+I7-H7</f>
        <v>0</v>
      </c>
      <c r="L15" s="46">
        <f>H12-K14-L14</f>
        <v>0</v>
      </c>
    </row>
    <row r="16" spans="1:12" ht="15.75">
      <c r="A16" s="8" t="s">
        <v>114</v>
      </c>
      <c r="C16" s="116">
        <v>0</v>
      </c>
      <c r="D16" s="177"/>
      <c r="F16" s="51"/>
      <c r="G16" s="45"/>
      <c r="H16" s="52"/>
      <c r="I16" s="53"/>
      <c r="J16" s="52"/>
      <c r="L16" s="52"/>
    </row>
    <row r="17" spans="1:13" ht="15.75" thickBot="1">
      <c r="A17" s="12" t="s">
        <v>115</v>
      </c>
      <c r="C17" s="17">
        <f>SUM(C15:C16)</f>
        <v>459104.7</v>
      </c>
      <c r="D17" s="2"/>
      <c r="F17" s="44"/>
      <c r="G17" s="45"/>
      <c r="H17" s="52"/>
      <c r="I17" s="53"/>
      <c r="J17" s="56"/>
      <c r="L17" s="52"/>
    </row>
    <row r="18" spans="1:13" ht="16.5" thickBot="1">
      <c r="A18" s="95" t="s">
        <v>96</v>
      </c>
      <c r="C18" s="20">
        <f>2285.45+64812.3+10435.1</f>
        <v>77532.850000000006</v>
      </c>
      <c r="D18" s="177"/>
      <c r="F18" s="204" t="s">
        <v>76</v>
      </c>
      <c r="G18" s="205"/>
      <c r="H18" s="205"/>
      <c r="I18" s="206"/>
      <c r="J18" s="204" t="s">
        <v>77</v>
      </c>
      <c r="K18" s="205"/>
      <c r="L18" s="205"/>
      <c r="M18" s="206"/>
    </row>
    <row r="19" spans="1:13" ht="15.75">
      <c r="A19" s="8" t="s">
        <v>97</v>
      </c>
      <c r="C19" s="116">
        <f>-7861.34</f>
        <v>-7861.34</v>
      </c>
      <c r="D19" s="177"/>
      <c r="F19" s="74" t="s">
        <v>50</v>
      </c>
      <c r="G19" s="37" t="s">
        <v>11</v>
      </c>
      <c r="H19" s="37" t="s">
        <v>11</v>
      </c>
      <c r="I19" s="37" t="s">
        <v>11</v>
      </c>
      <c r="J19" s="74" t="s">
        <v>50</v>
      </c>
      <c r="K19" s="37" t="s">
        <v>11</v>
      </c>
      <c r="L19" s="37" t="s">
        <v>11</v>
      </c>
      <c r="M19" s="58" t="s">
        <v>11</v>
      </c>
    </row>
    <row r="20" spans="1:13" ht="16.5" thickBot="1">
      <c r="A20" s="11" t="s">
        <v>43</v>
      </c>
      <c r="C20" s="17">
        <f>SUM(C18:C19)</f>
        <v>69671.510000000009</v>
      </c>
      <c r="D20" s="177"/>
      <c r="F20" s="68" t="s">
        <v>95</v>
      </c>
      <c r="G20" s="38" t="s">
        <v>47</v>
      </c>
      <c r="H20" s="38" t="s">
        <v>14</v>
      </c>
      <c r="I20" s="38" t="s">
        <v>12</v>
      </c>
      <c r="J20" s="68" t="s">
        <v>95</v>
      </c>
      <c r="K20" s="38" t="s">
        <v>47</v>
      </c>
      <c r="L20" s="38" t="s">
        <v>14</v>
      </c>
      <c r="M20" s="38" t="s">
        <v>12</v>
      </c>
    </row>
    <row r="21" spans="1:13" ht="15.75">
      <c r="A21" s="8" t="s">
        <v>87</v>
      </c>
      <c r="C21" s="116">
        <f>1850</f>
        <v>1850</v>
      </c>
      <c r="D21" s="177"/>
      <c r="F21" s="57"/>
      <c r="G21" s="4"/>
      <c r="H21" s="4"/>
      <c r="I21" s="58"/>
      <c r="J21" s="25"/>
      <c r="K21" s="5"/>
      <c r="L21" s="5"/>
      <c r="M21" s="75"/>
    </row>
    <row r="22" spans="1:13" ht="18" customHeight="1">
      <c r="A22" s="11" t="s">
        <v>87</v>
      </c>
      <c r="C22" s="17">
        <f>SUM(C21)</f>
        <v>1850</v>
      </c>
      <c r="D22" s="177"/>
      <c r="F22" s="72" t="s">
        <v>68</v>
      </c>
      <c r="G22" s="1"/>
      <c r="H22" s="1"/>
      <c r="I22" s="16"/>
      <c r="J22" s="72" t="s">
        <v>68</v>
      </c>
      <c r="K22" s="1"/>
      <c r="L22" s="1"/>
      <c r="M22" s="16"/>
    </row>
    <row r="23" spans="1:13" ht="15.75">
      <c r="A23" s="76" t="s">
        <v>110</v>
      </c>
      <c r="C23" s="17">
        <v>0</v>
      </c>
      <c r="D23" s="177"/>
      <c r="F23" s="73" t="s">
        <v>15</v>
      </c>
      <c r="G23" s="91">
        <v>2070483</v>
      </c>
      <c r="H23" s="96">
        <v>0.12678</v>
      </c>
      <c r="I23" s="69">
        <f t="shared" ref="I23:I31" si="0">G23*H23</f>
        <v>262495.83474000002</v>
      </c>
      <c r="J23" s="73" t="s">
        <v>15</v>
      </c>
      <c r="K23" s="91">
        <v>1087844</v>
      </c>
      <c r="L23" s="96">
        <v>0.11330999999999999</v>
      </c>
      <c r="M23" s="69">
        <f>K23*L23</f>
        <v>123263.60363999999</v>
      </c>
    </row>
    <row r="24" spans="1:13" ht="15.75">
      <c r="A24" s="76" t="s">
        <v>116</v>
      </c>
      <c r="C24" s="20">
        <v>0</v>
      </c>
      <c r="D24" s="177"/>
      <c r="F24" s="73" t="s">
        <v>156</v>
      </c>
      <c r="G24" s="91">
        <v>2296</v>
      </c>
      <c r="H24" s="96">
        <v>0.12678</v>
      </c>
      <c r="I24" s="69">
        <f t="shared" si="0"/>
        <v>291.08688000000001</v>
      </c>
      <c r="J24" s="73" t="s">
        <v>16</v>
      </c>
      <c r="K24" s="91">
        <v>931171</v>
      </c>
      <c r="L24" s="96">
        <v>0.11330999999999999</v>
      </c>
      <c r="M24" s="69">
        <f t="shared" ref="M24:M27" si="1">K24*L24</f>
        <v>105510.98600999999</v>
      </c>
    </row>
    <row r="25" spans="1:13" ht="15.75">
      <c r="A25" s="76" t="s">
        <v>118</v>
      </c>
      <c r="C25" s="118">
        <v>0</v>
      </c>
      <c r="D25" s="177"/>
      <c r="F25" s="73" t="s">
        <v>16</v>
      </c>
      <c r="G25" s="91">
        <v>1446879</v>
      </c>
      <c r="H25" s="96">
        <v>0.11865000000000001</v>
      </c>
      <c r="I25" s="69">
        <f t="shared" si="0"/>
        <v>171672.19335000002</v>
      </c>
      <c r="J25" s="73" t="s">
        <v>17</v>
      </c>
      <c r="K25" s="91">
        <v>70834</v>
      </c>
      <c r="L25" s="96">
        <v>0.11330999999999999</v>
      </c>
      <c r="M25" s="69">
        <f t="shared" si="1"/>
        <v>8026.2005399999998</v>
      </c>
    </row>
    <row r="26" spans="1:13" ht="15.75">
      <c r="A26" s="77" t="s">
        <v>117</v>
      </c>
      <c r="C26" s="119">
        <v>0</v>
      </c>
      <c r="D26" s="177"/>
      <c r="F26" s="73" t="s">
        <v>17</v>
      </c>
      <c r="G26" s="91">
        <v>0</v>
      </c>
      <c r="H26" s="96">
        <v>0.11865000000000001</v>
      </c>
      <c r="I26" s="69">
        <f t="shared" si="0"/>
        <v>0</v>
      </c>
      <c r="J26" s="73" t="s">
        <v>18</v>
      </c>
      <c r="K26" s="91">
        <v>0</v>
      </c>
      <c r="L26" s="96">
        <v>0.11330999999999999</v>
      </c>
      <c r="M26" s="69">
        <f t="shared" si="1"/>
        <v>0</v>
      </c>
    </row>
    <row r="27" spans="1:13" ht="15.75">
      <c r="A27" s="11" t="s">
        <v>46</v>
      </c>
      <c r="C27" s="17">
        <f>SUM(C23:C26)</f>
        <v>0</v>
      </c>
      <c r="D27" s="177"/>
      <c r="F27" s="73" t="s">
        <v>18</v>
      </c>
      <c r="G27" s="91">
        <v>274504</v>
      </c>
      <c r="H27" s="96">
        <v>0.11541</v>
      </c>
      <c r="I27" s="69">
        <f t="shared" si="0"/>
        <v>31680.50664</v>
      </c>
      <c r="J27" s="73" t="s">
        <v>19</v>
      </c>
      <c r="K27" s="91">
        <v>0</v>
      </c>
      <c r="L27" s="96">
        <v>0.11330999999999999</v>
      </c>
      <c r="M27" s="69">
        <f t="shared" si="1"/>
        <v>0</v>
      </c>
    </row>
    <row r="28" spans="1:13" ht="16.5" thickBot="1">
      <c r="A28" s="78" t="s">
        <v>88</v>
      </c>
      <c r="C28" s="20">
        <v>0</v>
      </c>
      <c r="D28" s="2"/>
      <c r="F28" s="73" t="s">
        <v>19</v>
      </c>
      <c r="G28" s="91">
        <v>44343</v>
      </c>
      <c r="H28" s="96">
        <v>0.11541</v>
      </c>
      <c r="I28" s="69">
        <f t="shared" si="0"/>
        <v>5117.6256299999995</v>
      </c>
      <c r="J28" s="72" t="s">
        <v>69</v>
      </c>
      <c r="K28" s="54">
        <f>SUM(K23:K27)</f>
        <v>2089849</v>
      </c>
      <c r="L28" s="55"/>
      <c r="M28" s="70">
        <f>SUM(M23:M27)</f>
        <v>236800.79018999997</v>
      </c>
    </row>
    <row r="29" spans="1:13" ht="17.25" thickTop="1" thickBot="1">
      <c r="A29" s="78" t="s">
        <v>100</v>
      </c>
      <c r="C29" s="20">
        <v>0</v>
      </c>
      <c r="D29" s="177"/>
      <c r="F29" s="73" t="s">
        <v>20</v>
      </c>
      <c r="G29" s="91">
        <v>0</v>
      </c>
      <c r="H29" s="96">
        <v>7.4310000000000001E-2</v>
      </c>
      <c r="I29" s="69">
        <f t="shared" si="0"/>
        <v>0</v>
      </c>
      <c r="J29" s="72"/>
      <c r="K29" s="85">
        <v>2089849</v>
      </c>
      <c r="L29" s="60" t="s">
        <v>48</v>
      </c>
      <c r="M29" s="101">
        <f>M28/K28</f>
        <v>0.11330999999999998</v>
      </c>
    </row>
    <row r="30" spans="1:13" ht="16.5" thickBot="1">
      <c r="A30" s="9" t="s">
        <v>53</v>
      </c>
      <c r="C30" s="176">
        <f>C7+C11+C14+C17+C20+C22+C27+C28+C29</f>
        <v>2321582.1100000003</v>
      </c>
      <c r="D30" s="2"/>
      <c r="F30" s="73" t="s">
        <v>21</v>
      </c>
      <c r="G30" s="91">
        <v>67673</v>
      </c>
      <c r="H30" s="96">
        <v>7.4310000000000001E-2</v>
      </c>
      <c r="I30" s="69">
        <f t="shared" si="0"/>
        <v>5028.7806300000002</v>
      </c>
      <c r="J30" s="73"/>
      <c r="K30" s="84">
        <f>K28-K29</f>
        <v>0</v>
      </c>
      <c r="L30" s="55"/>
      <c r="M30" s="71"/>
    </row>
    <row r="31" spans="1:13" ht="15.75">
      <c r="A31" s="95" t="s">
        <v>54</v>
      </c>
      <c r="C31" s="20">
        <v>0</v>
      </c>
      <c r="D31" s="178"/>
      <c r="F31" s="73" t="s">
        <v>36</v>
      </c>
      <c r="G31" s="91">
        <v>2144434</v>
      </c>
      <c r="H31" s="96">
        <v>5.4000000000000001E-4</v>
      </c>
      <c r="I31" s="69">
        <f t="shared" si="0"/>
        <v>1157.9943599999999</v>
      </c>
      <c r="J31" s="32"/>
      <c r="K31" s="1"/>
      <c r="L31" s="55"/>
      <c r="M31" s="71"/>
    </row>
    <row r="32" spans="1:13" ht="16.5" thickBot="1">
      <c r="A32" s="9" t="s">
        <v>58</v>
      </c>
      <c r="B32" s="9" t="s">
        <v>59</v>
      </c>
      <c r="C32" s="120">
        <f>C30+C31</f>
        <v>2321582.1100000003</v>
      </c>
      <c r="D32" s="179"/>
      <c r="F32" s="72" t="s">
        <v>69</v>
      </c>
      <c r="G32" s="54">
        <f>SUM(G23:G31)</f>
        <v>6050612</v>
      </c>
      <c r="H32" s="1"/>
      <c r="I32" s="70">
        <f>SUM(I23:I31)</f>
        <v>477444.02223000006</v>
      </c>
      <c r="J32" s="65"/>
      <c r="K32" s="66"/>
      <c r="L32" s="1"/>
      <c r="M32" s="63"/>
    </row>
    <row r="33" spans="1:17" ht="17.25" thickTop="1" thickBot="1">
      <c r="A33" s="95" t="s">
        <v>55</v>
      </c>
      <c r="C33" s="120">
        <f>-C5-C9-C13-C16-C19</f>
        <v>-42771.479999999996</v>
      </c>
      <c r="D33" s="177"/>
      <c r="F33" s="59"/>
      <c r="G33" s="85">
        <v>6050612</v>
      </c>
      <c r="H33" s="60" t="s">
        <v>48</v>
      </c>
      <c r="I33" s="82">
        <f>I32/G32</f>
        <v>7.8908385173268439E-2</v>
      </c>
      <c r="J33" s="65"/>
      <c r="K33" s="66"/>
      <c r="L33" s="1"/>
      <c r="M33" s="16"/>
    </row>
    <row r="34" spans="1:17" ht="16.5" thickBot="1">
      <c r="A34" s="9" t="s">
        <v>56</v>
      </c>
      <c r="C34" s="176">
        <f>SUM(C32:C33)</f>
        <v>2278810.6300000004</v>
      </c>
      <c r="D34" s="177"/>
      <c r="F34" s="32"/>
      <c r="G34" s="84">
        <f>G32-G33</f>
        <v>0</v>
      </c>
      <c r="H34" s="1"/>
      <c r="I34" s="16"/>
      <c r="J34" s="65"/>
      <c r="K34" s="64"/>
      <c r="L34" s="1"/>
      <c r="M34" s="16"/>
    </row>
    <row r="35" spans="1:17" ht="18" customHeight="1">
      <c r="A35" s="9"/>
      <c r="C35" s="120"/>
      <c r="D35" s="177"/>
      <c r="F35" s="57"/>
      <c r="G35" s="4"/>
      <c r="H35" s="4"/>
      <c r="I35" s="58"/>
      <c r="J35" s="72" t="s">
        <v>70</v>
      </c>
      <c r="K35" s="207"/>
      <c r="L35" s="207"/>
      <c r="M35" s="208"/>
    </row>
    <row r="36" spans="1:17" ht="15.75">
      <c r="A36" s="3" t="s">
        <v>44</v>
      </c>
      <c r="B36" s="9"/>
      <c r="C36" s="17"/>
      <c r="D36" s="177"/>
      <c r="F36" s="72" t="s">
        <v>70</v>
      </c>
      <c r="G36" s="1"/>
      <c r="H36" s="1"/>
      <c r="I36" s="16"/>
      <c r="J36" s="73" t="s">
        <v>15</v>
      </c>
      <c r="K36" s="92">
        <f>K23</f>
        <v>1087844</v>
      </c>
      <c r="L36" s="96">
        <v>0.23895</v>
      </c>
      <c r="M36" s="69">
        <f t="shared" ref="M36:M42" si="2">K36*L36</f>
        <v>259940.32379999998</v>
      </c>
      <c r="P36" s="180"/>
      <c r="Q36" s="180"/>
    </row>
    <row r="37" spans="1:17" ht="15.75">
      <c r="A37" s="1" t="s">
        <v>71</v>
      </c>
      <c r="B37" s="130" t="s">
        <v>57</v>
      </c>
      <c r="C37" s="20">
        <v>8310205.4500000002</v>
      </c>
      <c r="D37" s="177"/>
      <c r="F37" s="73" t="s">
        <v>15</v>
      </c>
      <c r="G37" s="92">
        <f>G23</f>
        <v>2070483</v>
      </c>
      <c r="H37" s="96">
        <v>0.23860000000000001</v>
      </c>
      <c r="I37" s="69">
        <f t="shared" ref="I37:I44" si="3">G37*H37</f>
        <v>494017.2438</v>
      </c>
      <c r="J37" s="73" t="s">
        <v>16</v>
      </c>
      <c r="K37" s="92">
        <f>K24</f>
        <v>931171</v>
      </c>
      <c r="L37" s="96">
        <v>0.23895</v>
      </c>
      <c r="M37" s="69">
        <f t="shared" si="2"/>
        <v>222503.31044999999</v>
      </c>
      <c r="P37" s="180"/>
      <c r="Q37" s="180"/>
    </row>
    <row r="38" spans="1:17" ht="15.75">
      <c r="A38" s="79" t="s">
        <v>4</v>
      </c>
      <c r="B38" s="130" t="s">
        <v>57</v>
      </c>
      <c r="C38" s="20">
        <v>0</v>
      </c>
      <c r="D38" s="177"/>
      <c r="F38" s="73" t="s">
        <v>156</v>
      </c>
      <c r="G38" s="92">
        <f>G24</f>
        <v>2296</v>
      </c>
      <c r="H38" s="96">
        <v>0.23860000000000001</v>
      </c>
      <c r="I38" s="69">
        <f t="shared" si="3"/>
        <v>547.82560000000001</v>
      </c>
      <c r="J38" s="73" t="s">
        <v>17</v>
      </c>
      <c r="K38" s="92">
        <f>K25</f>
        <v>70834</v>
      </c>
      <c r="L38" s="96">
        <v>0.23895</v>
      </c>
      <c r="M38" s="69">
        <f t="shared" si="2"/>
        <v>16925.784299999999</v>
      </c>
      <c r="P38" s="180"/>
      <c r="Q38" s="180"/>
    </row>
    <row r="39" spans="1:17" ht="15.75">
      <c r="A39" s="1" t="s">
        <v>84</v>
      </c>
      <c r="B39" s="130" t="s">
        <v>85</v>
      </c>
      <c r="C39" s="20">
        <v>-1156.3399999999999</v>
      </c>
      <c r="D39" s="177"/>
      <c r="F39" s="73" t="s">
        <v>16</v>
      </c>
      <c r="G39" s="92">
        <f t="shared" ref="G39:G44" si="4">G25</f>
        <v>1446879</v>
      </c>
      <c r="H39" s="96">
        <v>0.23860000000000001</v>
      </c>
      <c r="I39" s="69">
        <f t="shared" si="3"/>
        <v>345225.32939999999</v>
      </c>
      <c r="J39" s="73" t="s">
        <v>18</v>
      </c>
      <c r="K39" s="92">
        <f>K26</f>
        <v>0</v>
      </c>
      <c r="L39" s="96">
        <v>0.23895</v>
      </c>
      <c r="M39" s="69">
        <f t="shared" si="2"/>
        <v>0</v>
      </c>
      <c r="P39" s="180"/>
      <c r="Q39" s="180"/>
    </row>
    <row r="40" spans="1:17" ht="15.75">
      <c r="A40" s="1" t="s">
        <v>73</v>
      </c>
      <c r="B40" s="130" t="s">
        <v>74</v>
      </c>
      <c r="C40" s="20">
        <v>261096.29</v>
      </c>
      <c r="D40" s="177"/>
      <c r="F40" s="73" t="s">
        <v>17</v>
      </c>
      <c r="G40" s="92">
        <f t="shared" si="4"/>
        <v>0</v>
      </c>
      <c r="H40" s="96">
        <v>0.23860000000000001</v>
      </c>
      <c r="I40" s="69">
        <f t="shared" si="3"/>
        <v>0</v>
      </c>
      <c r="J40" s="73" t="s">
        <v>19</v>
      </c>
      <c r="K40" s="92">
        <f>K27</f>
        <v>0</v>
      </c>
      <c r="L40" s="96">
        <v>0.23895</v>
      </c>
      <c r="M40" s="69">
        <f t="shared" si="2"/>
        <v>0</v>
      </c>
      <c r="P40" s="180"/>
      <c r="Q40" s="180"/>
    </row>
    <row r="41" spans="1:17" ht="15.75">
      <c r="A41" s="1" t="s">
        <v>90</v>
      </c>
      <c r="B41" s="125" t="s">
        <v>91</v>
      </c>
      <c r="C41" s="20">
        <v>21511.93</v>
      </c>
      <c r="D41" s="177"/>
      <c r="F41" s="73" t="s">
        <v>18</v>
      </c>
      <c r="G41" s="92">
        <f t="shared" si="4"/>
        <v>274504</v>
      </c>
      <c r="H41" s="96">
        <v>0.23860000000000001</v>
      </c>
      <c r="I41" s="69">
        <f t="shared" si="3"/>
        <v>65496.654399999999</v>
      </c>
      <c r="J41" s="73" t="s">
        <v>20</v>
      </c>
      <c r="K41" s="91">
        <v>0</v>
      </c>
      <c r="L41" s="96">
        <v>0.23895</v>
      </c>
      <c r="M41" s="69">
        <f t="shared" si="2"/>
        <v>0</v>
      </c>
      <c r="P41" s="180"/>
      <c r="Q41" s="180"/>
    </row>
    <row r="42" spans="1:17" ht="16.5" thickBot="1">
      <c r="A42" s="1" t="s">
        <v>108</v>
      </c>
      <c r="B42" s="130" t="s">
        <v>109</v>
      </c>
      <c r="C42" s="20">
        <v>371821.59</v>
      </c>
      <c r="D42" s="2"/>
      <c r="F42" s="73" t="s">
        <v>19</v>
      </c>
      <c r="G42" s="92">
        <f t="shared" si="4"/>
        <v>44343</v>
      </c>
      <c r="H42" s="96">
        <v>0.23860000000000001</v>
      </c>
      <c r="I42" s="69">
        <f t="shared" si="3"/>
        <v>10580.239800000001</v>
      </c>
      <c r="J42" s="73" t="s">
        <v>21</v>
      </c>
      <c r="K42" s="93">
        <v>0</v>
      </c>
      <c r="L42" s="96">
        <v>0.23895</v>
      </c>
      <c r="M42" s="69">
        <f t="shared" si="2"/>
        <v>0</v>
      </c>
      <c r="P42" s="180"/>
      <c r="Q42" s="180"/>
    </row>
    <row r="43" spans="1:17" ht="16.5" thickBot="1">
      <c r="A43" s="14" t="s">
        <v>65</v>
      </c>
      <c r="B43" s="4"/>
      <c r="C43" s="176">
        <f>SUM(C37:C42)</f>
        <v>8963478.9199999999</v>
      </c>
      <c r="D43" s="177"/>
      <c r="F43" s="73" t="s">
        <v>20</v>
      </c>
      <c r="G43" s="92">
        <f t="shared" si="4"/>
        <v>0</v>
      </c>
      <c r="H43" s="96">
        <v>0.23860000000000001</v>
      </c>
      <c r="I43" s="69">
        <f t="shared" si="3"/>
        <v>0</v>
      </c>
      <c r="J43" s="72" t="s">
        <v>75</v>
      </c>
      <c r="K43" s="54">
        <f>SUM(K36:K42)</f>
        <v>2089849</v>
      </c>
      <c r="L43" s="55"/>
      <c r="M43" s="70">
        <f>SUM(M36:M42)</f>
        <v>499369.41855</v>
      </c>
    </row>
    <row r="44" spans="1:17" ht="16.5" thickBot="1">
      <c r="A44" s="181" t="s">
        <v>107</v>
      </c>
      <c r="B44" s="182" t="s">
        <v>62</v>
      </c>
      <c r="C44" s="20">
        <f>-1579802.39+1125281.72-364.1+266.04</f>
        <v>-454618.72999999992</v>
      </c>
      <c r="D44" s="2"/>
      <c r="F44" s="73" t="s">
        <v>21</v>
      </c>
      <c r="G44" s="92">
        <f t="shared" si="4"/>
        <v>67673</v>
      </c>
      <c r="H44" s="96">
        <v>0.23860000000000001</v>
      </c>
      <c r="I44" s="69">
        <f t="shared" si="3"/>
        <v>16146.7778</v>
      </c>
      <c r="J44" s="67"/>
      <c r="K44" s="86">
        <v>2089849</v>
      </c>
      <c r="L44" s="62" t="s">
        <v>48</v>
      </c>
      <c r="M44" s="83">
        <f>M43/K43</f>
        <v>0.23895</v>
      </c>
    </row>
    <row r="45" spans="1:17" ht="16.5" thickBot="1">
      <c r="A45" s="79" t="s">
        <v>101</v>
      </c>
      <c r="B45" s="125" t="s">
        <v>57</v>
      </c>
      <c r="C45" s="20">
        <v>0</v>
      </c>
      <c r="D45" s="178"/>
      <c r="F45" s="72" t="s">
        <v>75</v>
      </c>
      <c r="G45" s="54">
        <f>SUM(G37:G44)</f>
        <v>3906178</v>
      </c>
      <c r="H45" s="55"/>
      <c r="I45" s="70">
        <f>SUM(I37:I44)</f>
        <v>932014.07079999999</v>
      </c>
      <c r="J45" s="14"/>
      <c r="K45" s="85"/>
      <c r="L45" s="60"/>
      <c r="M45" s="117"/>
    </row>
    <row r="46" spans="1:17" ht="19.5" customHeight="1" thickTop="1" thickBot="1">
      <c r="A46" s="79" t="s">
        <v>102</v>
      </c>
      <c r="B46" s="125" t="s">
        <v>57</v>
      </c>
      <c r="C46" s="20">
        <v>0</v>
      </c>
      <c r="D46" s="179"/>
      <c r="F46" s="61"/>
      <c r="G46" s="86">
        <v>3906178</v>
      </c>
      <c r="H46" s="62" t="s">
        <v>48</v>
      </c>
      <c r="I46" s="81">
        <f>I45/G45</f>
        <v>0.23860000000000001</v>
      </c>
      <c r="J46" s="14"/>
      <c r="K46" s="85"/>
      <c r="L46" s="60"/>
      <c r="M46" s="117"/>
    </row>
    <row r="47" spans="1:17" ht="19.149999999999999" customHeight="1">
      <c r="A47" s="95" t="s">
        <v>79</v>
      </c>
      <c r="B47" s="125" t="s">
        <v>57</v>
      </c>
      <c r="C47" s="20">
        <v>0</v>
      </c>
      <c r="D47" s="177"/>
      <c r="G47" s="84">
        <f>G45-G46</f>
        <v>0</v>
      </c>
      <c r="J47" s="21"/>
      <c r="K47" s="84">
        <f>K43-K44</f>
        <v>0</v>
      </c>
      <c r="M47" s="21"/>
    </row>
    <row r="48" spans="1:17" ht="16.5" thickBot="1">
      <c r="A48" s="79" t="s">
        <v>155</v>
      </c>
      <c r="B48" s="125" t="s">
        <v>57</v>
      </c>
      <c r="C48" s="20">
        <v>7000</v>
      </c>
      <c r="D48" s="177"/>
      <c r="J48" s="21"/>
      <c r="K48" s="18"/>
      <c r="M48" s="13"/>
    </row>
    <row r="49" spans="1:21" ht="15.75">
      <c r="A49" s="1" t="s">
        <v>72</v>
      </c>
      <c r="B49" s="130" t="s">
        <v>89</v>
      </c>
      <c r="C49" s="20">
        <v>27365.119999999999</v>
      </c>
      <c r="D49" s="177"/>
      <c r="G49" s="18"/>
      <c r="H49" s="25" t="s">
        <v>13</v>
      </c>
      <c r="I49" s="5" t="s">
        <v>13</v>
      </c>
      <c r="J49" s="5" t="s">
        <v>25</v>
      </c>
      <c r="K49" s="23" t="s">
        <v>32</v>
      </c>
      <c r="L49" s="21"/>
    </row>
    <row r="50" spans="1:21" ht="16.5" thickBot="1">
      <c r="A50" s="1" t="s">
        <v>121</v>
      </c>
      <c r="B50" s="130" t="s">
        <v>89</v>
      </c>
      <c r="C50" s="20">
        <v>700.49</v>
      </c>
      <c r="D50" s="2"/>
      <c r="F50" s="9" t="s">
        <v>35</v>
      </c>
      <c r="H50" s="26" t="s">
        <v>0</v>
      </c>
      <c r="I50" s="27" t="s">
        <v>1</v>
      </c>
      <c r="J50" s="27" t="s">
        <v>0</v>
      </c>
      <c r="K50" s="24" t="s">
        <v>1</v>
      </c>
    </row>
    <row r="51" spans="1:21" ht="15.75">
      <c r="A51" s="1" t="s">
        <v>159</v>
      </c>
      <c r="B51" s="130" t="s">
        <v>89</v>
      </c>
      <c r="C51" s="20">
        <v>4150.05</v>
      </c>
      <c r="D51" s="177"/>
      <c r="H51" s="30"/>
      <c r="I51" s="31"/>
      <c r="J51" s="31"/>
      <c r="K51" s="31"/>
      <c r="L51" s="22" t="s">
        <v>49</v>
      </c>
    </row>
    <row r="52" spans="1:21" ht="15.75">
      <c r="A52" s="42" t="s">
        <v>60</v>
      </c>
      <c r="B52" s="125"/>
      <c r="C52" s="17">
        <f>-C33</f>
        <v>42771.479999999996</v>
      </c>
      <c r="D52" s="174"/>
      <c r="F52" s="95" t="s">
        <v>78</v>
      </c>
      <c r="H52" s="80">
        <f>K12</f>
        <v>-1285842.1795400009</v>
      </c>
      <c r="I52" s="19">
        <f>I14</f>
        <v>1607245.1373390004</v>
      </c>
      <c r="J52" s="19">
        <f>L12</f>
        <v>-688271.66046000051</v>
      </c>
      <c r="K52" s="19">
        <f>J14</f>
        <v>671565.49266100011</v>
      </c>
      <c r="L52" s="28">
        <f>SUM(H52:K52)</f>
        <v>304696.78999999911</v>
      </c>
    </row>
    <row r="53" spans="1:21" ht="16.5" thickBot="1">
      <c r="A53" s="95" t="s">
        <v>166</v>
      </c>
      <c r="B53" s="130" t="s">
        <v>167</v>
      </c>
      <c r="C53" s="20">
        <v>50484.03</v>
      </c>
      <c r="D53" s="177"/>
      <c r="F53" s="95" t="s">
        <v>51</v>
      </c>
      <c r="H53" s="80">
        <f>-I45</f>
        <v>-932014.07079999999</v>
      </c>
      <c r="I53" s="19">
        <f>-I32</f>
        <v>-477444.02223000006</v>
      </c>
      <c r="J53" s="19">
        <f>-M43</f>
        <v>-499369.41855</v>
      </c>
      <c r="K53" s="19">
        <f>-M28</f>
        <v>-236800.79018999997</v>
      </c>
      <c r="L53" s="90">
        <f>SUM(H53:K53)</f>
        <v>-2145628.3017700003</v>
      </c>
    </row>
    <row r="54" spans="1:21" ht="16.5" thickBot="1">
      <c r="A54" s="95" t="s">
        <v>66</v>
      </c>
      <c r="B54" s="125" t="s">
        <v>153</v>
      </c>
      <c r="C54" s="20">
        <v>-10242621.720000001</v>
      </c>
      <c r="D54" s="177"/>
      <c r="F54" s="95" t="s">
        <v>37</v>
      </c>
      <c r="H54" s="87">
        <v>0</v>
      </c>
      <c r="I54" s="88">
        <v>0</v>
      </c>
      <c r="J54" s="88">
        <v>0</v>
      </c>
      <c r="K54" s="89">
        <v>0</v>
      </c>
      <c r="L54" s="183">
        <f>SUM(L52:L53)</f>
        <v>-1840931.5117700011</v>
      </c>
    </row>
    <row r="55" spans="1:21" ht="16.5" thickBot="1">
      <c r="A55" s="95" t="s">
        <v>163</v>
      </c>
      <c r="B55" s="125" t="s">
        <v>119</v>
      </c>
      <c r="C55" s="20">
        <v>-375000</v>
      </c>
      <c r="D55" s="177"/>
      <c r="F55" s="95" t="s">
        <v>33</v>
      </c>
      <c r="H55" s="176">
        <f>IFERROR(H52+H53+H54,0)</f>
        <v>-2217856.2503400007</v>
      </c>
      <c r="I55" s="176">
        <f>I52+I53+I54</f>
        <v>1129801.1151090004</v>
      </c>
      <c r="J55" s="176">
        <f>IFERROR(J52+J53+J54,0)</f>
        <v>-1187641.0790100005</v>
      </c>
      <c r="K55" s="176">
        <f>K52+K53+K54</f>
        <v>434764.70247100014</v>
      </c>
      <c r="L55" s="184">
        <f>SUM(H55:K55)</f>
        <v>-1840931.5117700007</v>
      </c>
    </row>
    <row r="56" spans="1:21" ht="16.5" thickBot="1">
      <c r="A56" s="185" t="s">
        <v>61</v>
      </c>
      <c r="B56" s="182"/>
      <c r="C56" s="34">
        <f>SUM(C43:C55)</f>
        <v>-1976290.3600000013</v>
      </c>
      <c r="D56" s="177"/>
      <c r="F56" s="186" t="s">
        <v>111</v>
      </c>
      <c r="H56" s="95" t="s">
        <v>103</v>
      </c>
      <c r="I56" s="1">
        <f>SUM(H55:I55)</f>
        <v>-1088055.1352310004</v>
      </c>
      <c r="J56" s="12" t="s">
        <v>104</v>
      </c>
      <c r="K56" s="95">
        <f>SUM(J55:K55)</f>
        <v>-752876.37653900031</v>
      </c>
      <c r="L56" s="187">
        <f>ROUND(L54-L55,3)</f>
        <v>0</v>
      </c>
      <c r="T56" s="188"/>
    </row>
    <row r="57" spans="1:21" ht="16.5" thickTop="1">
      <c r="A57" s="95" t="s">
        <v>63</v>
      </c>
      <c r="B57" s="125" t="s">
        <v>57</v>
      </c>
      <c r="C57" s="20">
        <v>1710.99</v>
      </c>
      <c r="D57" s="177"/>
      <c r="F57" s="189" t="s">
        <v>111</v>
      </c>
      <c r="H57" s="190"/>
    </row>
    <row r="58" spans="1:21" ht="16.5" thickBot="1">
      <c r="A58" s="95" t="s">
        <v>64</v>
      </c>
      <c r="B58" s="125" t="s">
        <v>57</v>
      </c>
      <c r="C58" s="20">
        <v>465.53</v>
      </c>
      <c r="D58" s="177"/>
      <c r="F58" s="189" t="s">
        <v>112</v>
      </c>
      <c r="H58" s="178"/>
      <c r="I58" s="191"/>
      <c r="J58" s="191"/>
      <c r="K58" s="192"/>
      <c r="L58" s="191"/>
    </row>
    <row r="59" spans="1:21" ht="16.5" thickBot="1">
      <c r="A59" s="9" t="s">
        <v>67</v>
      </c>
      <c r="B59" s="9"/>
      <c r="C59" s="34">
        <f>SUM(C56:C58)</f>
        <v>-1974113.8400000012</v>
      </c>
      <c r="D59" s="177"/>
      <c r="F59" s="193" t="s">
        <v>154</v>
      </c>
      <c r="G59" s="108" t="str">
        <f>IF(OR(AND(I56&gt;0,K56&gt;0),AND(I56&lt;0,K56&lt;0)),"OK","ERROR")</f>
        <v>OK</v>
      </c>
      <c r="H59" s="30" t="s">
        <v>151</v>
      </c>
      <c r="I59" s="75"/>
    </row>
    <row r="60" spans="1:21" ht="17.25" thickTop="1" thickBot="1">
      <c r="A60" s="9"/>
      <c r="C60" s="120"/>
      <c r="D60" s="177"/>
      <c r="H60" s="33" t="s">
        <v>105</v>
      </c>
      <c r="I60" s="194" t="s">
        <v>106</v>
      </c>
      <c r="J60" s="1"/>
    </row>
    <row r="61" spans="1:21" ht="16.5" thickBot="1">
      <c r="A61" s="29"/>
      <c r="B61" s="29" t="s">
        <v>45</v>
      </c>
      <c r="C61" s="176">
        <f>C59+C34</f>
        <v>304696.78999999911</v>
      </c>
      <c r="D61" s="2"/>
      <c r="H61" s="94"/>
      <c r="I61" s="98"/>
      <c r="J61" s="95">
        <f>H53+I53+J53+K53</f>
        <v>-2145628.3017700003</v>
      </c>
    </row>
    <row r="62" spans="1:21" ht="15.75">
      <c r="A62" s="9"/>
      <c r="B62" s="29" t="s">
        <v>94</v>
      </c>
      <c r="C62" s="126">
        <v>304696.78999999998</v>
      </c>
      <c r="G62" s="1"/>
      <c r="I62" s="17"/>
      <c r="N62" s="1"/>
      <c r="O62" s="1"/>
      <c r="P62" s="195"/>
    </row>
    <row r="63" spans="1:21" ht="15.75">
      <c r="A63" s="29"/>
      <c r="B63" s="29" t="s">
        <v>93</v>
      </c>
      <c r="C63" s="17">
        <f>ROUND(C61-C62,2)</f>
        <v>0</v>
      </c>
      <c r="D63" s="177"/>
      <c r="S63" s="125"/>
    </row>
    <row r="64" spans="1:21" ht="15.75">
      <c r="A64" s="15"/>
      <c r="C64" s="196"/>
      <c r="D64" s="197"/>
      <c r="N64" s="42"/>
      <c r="U64" s="9"/>
    </row>
    <row r="65" spans="1:21" ht="15.75">
      <c r="A65" s="15"/>
      <c r="C65" s="2"/>
      <c r="D65" s="177"/>
      <c r="N65" s="42"/>
      <c r="S65" s="198"/>
    </row>
    <row r="66" spans="1:21" ht="15.75">
      <c r="A66" s="9"/>
      <c r="C66" s="2"/>
      <c r="D66" s="177"/>
      <c r="N66" s="42"/>
      <c r="S66" s="199"/>
    </row>
    <row r="67" spans="1:21">
      <c r="C67" s="17"/>
      <c r="D67" s="177"/>
      <c r="N67" s="42"/>
      <c r="S67" s="200"/>
    </row>
    <row r="68" spans="1:21">
      <c r="D68" s="177"/>
      <c r="N68" s="42"/>
      <c r="S68" s="199"/>
    </row>
    <row r="69" spans="1:21">
      <c r="D69" s="2"/>
      <c r="N69" s="42"/>
    </row>
    <row r="70" spans="1:21">
      <c r="D70" s="177"/>
      <c r="N70" s="42"/>
      <c r="S70" s="201"/>
    </row>
    <row r="71" spans="1:21">
      <c r="D71" s="177"/>
    </row>
    <row r="72" spans="1:21">
      <c r="D72" s="177"/>
    </row>
    <row r="73" spans="1:21">
      <c r="D73" s="64"/>
      <c r="S73" s="202"/>
    </row>
    <row r="74" spans="1:21">
      <c r="R74" s="125"/>
      <c r="S74" s="125"/>
      <c r="T74" s="125"/>
    </row>
    <row r="76" spans="1:21">
      <c r="U76" s="203"/>
    </row>
    <row r="1477" spans="3:3">
      <c r="C1477" s="95">
        <v>-2130</v>
      </c>
    </row>
    <row r="1485" spans="3:3">
      <c r="C1485" s="95">
        <f>7004298-2130</f>
        <v>7002168</v>
      </c>
    </row>
  </sheetData>
  <mergeCells count="3">
    <mergeCell ref="F18:I18"/>
    <mergeCell ref="J18:M18"/>
    <mergeCell ref="K35:M35"/>
  </mergeCells>
  <conditionalFormatting sqref="C63 L56 I62">
    <cfRule type="cellIs" dxfId="90" priority="7" stopIfTrue="1" operator="equal">
      <formula>0</formula>
    </cfRule>
    <cfRule type="cellIs" dxfId="89" priority="8" stopIfTrue="1" operator="notEqual">
      <formula>0</formula>
    </cfRule>
  </conditionalFormatting>
  <conditionalFormatting sqref="G34 G47 K30 K47">
    <cfRule type="cellIs" dxfId="88" priority="6" operator="notEqual">
      <formula>0</formula>
    </cfRule>
  </conditionalFormatting>
  <conditionalFormatting sqref="C63">
    <cfRule type="cellIs" dxfId="87" priority="4" stopIfTrue="1" operator="equal">
      <formula>0</formula>
    </cfRule>
    <cfRule type="cellIs" dxfId="86" priority="5" stopIfTrue="1" operator="notEqual">
      <formula>0</formula>
    </cfRule>
  </conditionalFormatting>
  <conditionalFormatting sqref="K30">
    <cfRule type="cellIs" dxfId="85" priority="3" operator="notEqual">
      <formula>0</formula>
    </cfRule>
  </conditionalFormatting>
  <conditionalFormatting sqref="G59">
    <cfRule type="cellIs" dxfId="84" priority="2" operator="equal">
      <formula>"ERROR"</formula>
    </cfRule>
  </conditionalFormatting>
  <conditionalFormatting sqref="G59">
    <cfRule type="cellIs" dxfId="83" priority="1" operator="equal">
      <formula>"ERROR"</formula>
    </cfRule>
  </conditionalFormatting>
  <printOptions verticalCentered="1" gridLinesSet="0"/>
  <pageMargins left="0.5" right="0" top="0.25" bottom="0.5" header="0" footer="0.25"/>
  <pageSetup scale="47" orientation="landscape" cellComments="asDisplayed" r:id="rId1"/>
  <headerFooter alignWithMargins="0">
    <oddFooter>&amp;L&amp;F&amp;C&amp;A&amp;R&amp;D&amp;T</oddFooter>
  </headerFooter>
  <customProperties>
    <customPr name="xxe4aPID" r:id="rId2"/>
  </customPropertie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tabColor rgb="FF00CC66"/>
    <pageSetUpPr fitToPage="1"/>
  </sheetPr>
  <dimension ref="A1:U1485"/>
  <sheetViews>
    <sheetView showGridLines="0" tabSelected="1" topLeftCell="A19" zoomScale="70" zoomScaleNormal="70" workbookViewId="0">
      <selection activeCell="X1" sqref="X1:X1048576"/>
    </sheetView>
  </sheetViews>
  <sheetFormatPr defaultColWidth="16" defaultRowHeight="15"/>
  <cols>
    <col min="1" max="1" width="44.85546875" style="95" customWidth="1"/>
    <col min="2" max="2" width="25.5703125" style="95" customWidth="1"/>
    <col min="3" max="3" width="25.28515625" style="95" customWidth="1"/>
    <col min="4" max="4" width="2.7109375" style="95" customWidth="1"/>
    <col min="5" max="5" width="4.28515625" style="95" customWidth="1"/>
    <col min="6" max="6" width="26.7109375" style="95" customWidth="1"/>
    <col min="7" max="7" width="19" style="95" customWidth="1"/>
    <col min="8" max="8" width="22" style="95" customWidth="1"/>
    <col min="9" max="9" width="20.42578125" style="95" customWidth="1"/>
    <col min="10" max="10" width="26.28515625" style="95" customWidth="1"/>
    <col min="11" max="11" width="21.85546875" style="95" bestFit="1" customWidth="1"/>
    <col min="12" max="12" width="23.85546875" style="95" customWidth="1"/>
    <col min="13" max="13" width="20.85546875" style="95" bestFit="1" customWidth="1"/>
    <col min="14" max="15" width="16" style="95"/>
    <col min="16" max="16" width="16.28515625" style="95" bestFit="1" customWidth="1"/>
    <col min="17" max="16384" width="16" style="95"/>
  </cols>
  <sheetData>
    <row r="1" spans="1:12" ht="16.5" thickBot="1">
      <c r="A1" s="172" t="s">
        <v>26</v>
      </c>
      <c r="B1" s="173"/>
      <c r="C1" s="107">
        <f>[5]Jul!C1+1</f>
        <v>201708</v>
      </c>
      <c r="F1" s="107">
        <f>C1</f>
        <v>201708</v>
      </c>
      <c r="H1" s="35" t="s">
        <v>31</v>
      </c>
      <c r="I1" s="22" t="s">
        <v>1</v>
      </c>
      <c r="J1" s="22" t="s">
        <v>1</v>
      </c>
      <c r="K1" s="22" t="s">
        <v>28</v>
      </c>
      <c r="L1" s="22" t="s">
        <v>28</v>
      </c>
    </row>
    <row r="2" spans="1:12" ht="15.75">
      <c r="C2" s="6"/>
      <c r="H2" s="36" t="s">
        <v>10</v>
      </c>
      <c r="I2" s="37" t="s">
        <v>27</v>
      </c>
      <c r="J2" s="37" t="s">
        <v>27</v>
      </c>
      <c r="K2" s="37" t="s">
        <v>29</v>
      </c>
      <c r="L2" s="37" t="s">
        <v>29</v>
      </c>
    </row>
    <row r="3" spans="1:12" ht="16.5" thickBot="1">
      <c r="A3" s="10" t="s">
        <v>52</v>
      </c>
      <c r="C3" s="7"/>
      <c r="D3" s="174"/>
      <c r="F3" s="9" t="s">
        <v>34</v>
      </c>
      <c r="H3" s="38" t="s">
        <v>30</v>
      </c>
      <c r="I3" s="38" t="s">
        <v>13</v>
      </c>
      <c r="J3" s="38" t="s">
        <v>25</v>
      </c>
      <c r="K3" s="38" t="s">
        <v>13</v>
      </c>
      <c r="L3" s="38" t="s">
        <v>25</v>
      </c>
    </row>
    <row r="4" spans="1:12" ht="15.75">
      <c r="A4" s="95" t="s">
        <v>38</v>
      </c>
      <c r="C4" s="20">
        <f>4598122.63</f>
        <v>4598122.63</v>
      </c>
      <c r="D4" s="6"/>
      <c r="H4" s="3"/>
    </row>
    <row r="5" spans="1:12" ht="14.25" customHeight="1">
      <c r="A5" s="95" t="s">
        <v>9</v>
      </c>
      <c r="C5" s="20">
        <f>42848.39+117.92-158.87</f>
        <v>42807.439999999995</v>
      </c>
      <c r="D5" s="6"/>
      <c r="H5" s="3"/>
      <c r="I5" s="175">
        <v>0.70530000000000004</v>
      </c>
      <c r="J5" s="175">
        <v>0.29470000000000002</v>
      </c>
      <c r="K5" s="97">
        <f>ROUND(G45/(G45+K43),4)</f>
        <v>0.61480000000000001</v>
      </c>
      <c r="L5" s="97">
        <f>1-K5</f>
        <v>0.38519999999999999</v>
      </c>
    </row>
    <row r="6" spans="1:12" ht="16.5" thickBot="1">
      <c r="A6" s="8" t="s">
        <v>8</v>
      </c>
      <c r="C6" s="116">
        <f>-2343063.08-444850-127100-142987.5-81979.5-102391.76</f>
        <v>-3242371.84</v>
      </c>
      <c r="D6" s="6"/>
    </row>
    <row r="7" spans="1:12" ht="16.5" thickBot="1">
      <c r="A7" s="12" t="s">
        <v>82</v>
      </c>
      <c r="C7" s="17">
        <f>SUM(C4:C6)</f>
        <v>1398558.2300000004</v>
      </c>
      <c r="D7" s="7"/>
      <c r="F7" s="39" t="s">
        <v>81</v>
      </c>
      <c r="G7" s="39"/>
      <c r="H7" s="176">
        <f>C34</f>
        <v>2229985.0300000003</v>
      </c>
      <c r="I7" s="40">
        <f>H7*I5</f>
        <v>1572808.4416590002</v>
      </c>
      <c r="J7" s="40">
        <f>H7*J5</f>
        <v>657176.58834100014</v>
      </c>
      <c r="K7" s="40"/>
      <c r="L7" s="40"/>
    </row>
    <row r="8" spans="1:12" ht="15.75">
      <c r="A8" s="95" t="s">
        <v>39</v>
      </c>
      <c r="C8" s="20">
        <v>191512.75</v>
      </c>
      <c r="D8" s="7"/>
      <c r="H8" s="41"/>
      <c r="I8" s="41"/>
      <c r="J8" s="41"/>
      <c r="K8" s="41"/>
      <c r="L8" s="41"/>
    </row>
    <row r="9" spans="1:12" ht="15.75">
      <c r="A9" s="95" t="s">
        <v>40</v>
      </c>
      <c r="C9" s="20">
        <v>6446.71</v>
      </c>
      <c r="D9" s="177"/>
      <c r="F9" s="39" t="s">
        <v>61</v>
      </c>
      <c r="H9" s="40">
        <f>C56</f>
        <v>-1823262.9799999995</v>
      </c>
      <c r="I9" s="40"/>
      <c r="J9" s="40"/>
      <c r="K9" s="40">
        <f>H9*K5</f>
        <v>-1120942.0801039997</v>
      </c>
      <c r="L9" s="40">
        <f>H9*L5</f>
        <v>-702320.89989599981</v>
      </c>
    </row>
    <row r="10" spans="1:12" ht="15.75">
      <c r="A10" s="8" t="s">
        <v>41</v>
      </c>
      <c r="C10" s="116">
        <v>-3418.47</v>
      </c>
      <c r="D10" s="177"/>
      <c r="F10" s="42" t="s">
        <v>22</v>
      </c>
      <c r="H10" s="40">
        <f>C57</f>
        <v>-60364.39</v>
      </c>
      <c r="I10" s="40"/>
      <c r="J10" s="40"/>
      <c r="K10" s="40">
        <f>H10</f>
        <v>-60364.39</v>
      </c>
      <c r="L10" s="40"/>
    </row>
    <row r="11" spans="1:12">
      <c r="A11" s="12" t="s">
        <v>83</v>
      </c>
      <c r="C11" s="17">
        <f>SUM(C8:C10)</f>
        <v>194540.99</v>
      </c>
      <c r="D11" s="177"/>
      <c r="F11" s="42" t="s">
        <v>23</v>
      </c>
      <c r="H11" s="43">
        <f>C58</f>
        <v>-38982.51</v>
      </c>
      <c r="I11" s="40"/>
      <c r="J11" s="40"/>
      <c r="K11" s="43"/>
      <c r="L11" s="43">
        <f>H11</f>
        <v>-38982.51</v>
      </c>
    </row>
    <row r="12" spans="1:12" ht="15.75">
      <c r="A12" s="95" t="s">
        <v>98</v>
      </c>
      <c r="C12" s="20">
        <f>190268.51-1841.12</f>
        <v>188427.39</v>
      </c>
      <c r="D12" s="177"/>
      <c r="F12" s="42" t="s">
        <v>80</v>
      </c>
      <c r="H12" s="40">
        <f>H9+H10+H11</f>
        <v>-1922609.8799999994</v>
      </c>
      <c r="I12" s="40" t="s">
        <v>168</v>
      </c>
      <c r="J12" s="40"/>
      <c r="K12" s="40">
        <f>SUM(K9:K11)</f>
        <v>-1181306.4701039996</v>
      </c>
      <c r="L12" s="40">
        <f>SUM(L9:L11)</f>
        <v>-741303.40989599982</v>
      </c>
    </row>
    <row r="13" spans="1:12" ht="16.5" thickBot="1">
      <c r="A13" s="8" t="s">
        <v>99</v>
      </c>
      <c r="C13" s="116">
        <v>0</v>
      </c>
      <c r="D13" s="177"/>
      <c r="F13" s="44"/>
      <c r="G13" s="45"/>
      <c r="H13" s="46"/>
      <c r="I13" s="47"/>
      <c r="J13" s="46"/>
      <c r="K13" s="41"/>
      <c r="L13" s="46"/>
    </row>
    <row r="14" spans="1:12" ht="16.5" thickBot="1">
      <c r="A14" s="12" t="s">
        <v>42</v>
      </c>
      <c r="C14" s="17">
        <f>SUM(C12:C13)</f>
        <v>188427.39</v>
      </c>
      <c r="D14" s="2"/>
      <c r="F14" s="9" t="s">
        <v>31</v>
      </c>
      <c r="G14" s="48"/>
      <c r="H14" s="176">
        <f>H12+H7</f>
        <v>307375.15000000084</v>
      </c>
      <c r="I14" s="49">
        <f>SUM(I7:I13)</f>
        <v>1572808.4416590002</v>
      </c>
      <c r="J14" s="49">
        <f>SUM(J7:J13)</f>
        <v>657176.58834100014</v>
      </c>
      <c r="K14" s="49">
        <f>K12</f>
        <v>-1181306.4701039996</v>
      </c>
      <c r="L14" s="49">
        <f>L12</f>
        <v>-741303.40989599982</v>
      </c>
    </row>
    <row r="15" spans="1:12" ht="15.75">
      <c r="A15" s="95" t="s">
        <v>113</v>
      </c>
      <c r="C15" s="20">
        <f>444595.13-4302.9</f>
        <v>440292.23</v>
      </c>
      <c r="D15" s="177"/>
      <c r="F15" s="44"/>
      <c r="G15" s="45" t="s">
        <v>48</v>
      </c>
      <c r="H15" s="46">
        <f>H14-C61</f>
        <v>0</v>
      </c>
      <c r="I15" s="50"/>
      <c r="J15" s="46">
        <f>J7+I7-H7</f>
        <v>0</v>
      </c>
      <c r="L15" s="46">
        <f>H12-K14-L14</f>
        <v>0</v>
      </c>
    </row>
    <row r="16" spans="1:12" ht="15.75">
      <c r="A16" s="8" t="s">
        <v>114</v>
      </c>
      <c r="C16" s="116">
        <v>0</v>
      </c>
      <c r="D16" s="177"/>
      <c r="F16" s="51"/>
      <c r="G16" s="45"/>
      <c r="H16" s="52"/>
      <c r="I16" s="53"/>
      <c r="J16" s="52"/>
      <c r="L16" s="52"/>
    </row>
    <row r="17" spans="1:13" ht="15.75" thickBot="1">
      <c r="A17" s="12" t="s">
        <v>115</v>
      </c>
      <c r="C17" s="17">
        <f>SUM(C15:C16)</f>
        <v>440292.23</v>
      </c>
      <c r="D17" s="2"/>
      <c r="F17" s="44"/>
      <c r="G17" s="45"/>
      <c r="H17" s="52"/>
      <c r="I17" s="53"/>
      <c r="J17" s="56"/>
      <c r="L17" s="52"/>
    </row>
    <row r="18" spans="1:13" ht="16.5" thickBot="1">
      <c r="A18" s="95" t="s">
        <v>96</v>
      </c>
      <c r="C18" s="20">
        <f>-1586.97+10413+64675.04</f>
        <v>73501.070000000007</v>
      </c>
      <c r="D18" s="177"/>
      <c r="F18" s="204" t="s">
        <v>76</v>
      </c>
      <c r="G18" s="205"/>
      <c r="H18" s="205"/>
      <c r="I18" s="206"/>
      <c r="J18" s="204" t="s">
        <v>77</v>
      </c>
      <c r="K18" s="205"/>
      <c r="L18" s="205"/>
      <c r="M18" s="206"/>
    </row>
    <row r="19" spans="1:13" ht="15.75">
      <c r="A19" s="8" t="s">
        <v>97</v>
      </c>
      <c r="C19" s="116">
        <f>-4284.96</f>
        <v>-4284.96</v>
      </c>
      <c r="D19" s="177"/>
      <c r="F19" s="74" t="s">
        <v>50</v>
      </c>
      <c r="G19" s="37" t="s">
        <v>11</v>
      </c>
      <c r="H19" s="37" t="s">
        <v>11</v>
      </c>
      <c r="I19" s="37" t="s">
        <v>11</v>
      </c>
      <c r="J19" s="74" t="s">
        <v>50</v>
      </c>
      <c r="K19" s="37" t="s">
        <v>11</v>
      </c>
      <c r="L19" s="37" t="s">
        <v>11</v>
      </c>
      <c r="M19" s="58" t="s">
        <v>11</v>
      </c>
    </row>
    <row r="20" spans="1:13" ht="16.5" thickBot="1">
      <c r="A20" s="11" t="s">
        <v>43</v>
      </c>
      <c r="C20" s="17">
        <f>SUM(C18:C19)</f>
        <v>69216.11</v>
      </c>
      <c r="D20" s="177"/>
      <c r="F20" s="68" t="s">
        <v>95</v>
      </c>
      <c r="G20" s="38" t="s">
        <v>47</v>
      </c>
      <c r="H20" s="38" t="s">
        <v>14</v>
      </c>
      <c r="I20" s="38" t="s">
        <v>12</v>
      </c>
      <c r="J20" s="68" t="s">
        <v>95</v>
      </c>
      <c r="K20" s="38" t="s">
        <v>47</v>
      </c>
      <c r="L20" s="38" t="s">
        <v>14</v>
      </c>
      <c r="M20" s="38" t="s">
        <v>12</v>
      </c>
    </row>
    <row r="21" spans="1:13" ht="15.75">
      <c r="A21" s="8" t="s">
        <v>87</v>
      </c>
      <c r="C21" s="116">
        <f>1850-129.71</f>
        <v>1720.29</v>
      </c>
      <c r="D21" s="177"/>
      <c r="F21" s="57"/>
      <c r="G21" s="4"/>
      <c r="H21" s="4"/>
      <c r="I21" s="58"/>
      <c r="J21" s="25"/>
      <c r="K21" s="5"/>
      <c r="L21" s="5"/>
      <c r="M21" s="75"/>
    </row>
    <row r="22" spans="1:13" ht="18" customHeight="1">
      <c r="A22" s="11" t="s">
        <v>87</v>
      </c>
      <c r="C22" s="17">
        <f>SUM(C21)</f>
        <v>1720.29</v>
      </c>
      <c r="D22" s="177"/>
      <c r="F22" s="72" t="s">
        <v>68</v>
      </c>
      <c r="G22" s="1"/>
      <c r="H22" s="1"/>
      <c r="I22" s="16"/>
      <c r="J22" s="72" t="s">
        <v>68</v>
      </c>
      <c r="K22" s="1"/>
      <c r="L22" s="1"/>
      <c r="M22" s="16"/>
    </row>
    <row r="23" spans="1:13" ht="15.75">
      <c r="A23" s="76" t="s">
        <v>110</v>
      </c>
      <c r="C23" s="17">
        <v>0</v>
      </c>
      <c r="D23" s="177"/>
      <c r="F23" s="73" t="s">
        <v>15</v>
      </c>
      <c r="G23" s="91">
        <v>2080707</v>
      </c>
      <c r="H23" s="96">
        <v>0.12678</v>
      </c>
      <c r="I23" s="69">
        <f t="shared" ref="I23:I31" si="0">G23*H23</f>
        <v>263792.03346000001</v>
      </c>
      <c r="J23" s="73" t="s">
        <v>15</v>
      </c>
      <c r="K23" s="91">
        <v>986275</v>
      </c>
      <c r="L23" s="96">
        <v>0.11330999999999999</v>
      </c>
      <c r="M23" s="69">
        <f>K23*L23</f>
        <v>111754.82024999999</v>
      </c>
    </row>
    <row r="24" spans="1:13" ht="15.75">
      <c r="A24" s="76" t="s">
        <v>116</v>
      </c>
      <c r="C24" s="20">
        <v>0</v>
      </c>
      <c r="D24" s="177"/>
      <c r="F24" s="73" t="s">
        <v>156</v>
      </c>
      <c r="G24" s="91">
        <v>2393</v>
      </c>
      <c r="H24" s="96">
        <v>0.12678</v>
      </c>
      <c r="I24" s="69">
        <f t="shared" si="0"/>
        <v>303.38454000000002</v>
      </c>
      <c r="J24" s="73" t="s">
        <v>16</v>
      </c>
      <c r="K24" s="91">
        <v>1366641</v>
      </c>
      <c r="L24" s="96">
        <v>0.11330999999999999</v>
      </c>
      <c r="M24" s="69">
        <f t="shared" ref="M24:M27" si="1">K24*L24</f>
        <v>154854.09170999998</v>
      </c>
    </row>
    <row r="25" spans="1:13" ht="15.75">
      <c r="A25" s="76" t="s">
        <v>118</v>
      </c>
      <c r="C25" s="118">
        <v>0</v>
      </c>
      <c r="D25" s="177"/>
      <c r="F25" s="73" t="s">
        <v>16</v>
      </c>
      <c r="G25" s="91">
        <v>1463939</v>
      </c>
      <c r="H25" s="96">
        <v>0.11865000000000001</v>
      </c>
      <c r="I25" s="69">
        <f t="shared" si="0"/>
        <v>173696.36235000001</v>
      </c>
      <c r="J25" s="73" t="s">
        <v>17</v>
      </c>
      <c r="K25" s="91">
        <v>82239</v>
      </c>
      <c r="L25" s="96">
        <v>0.11330999999999999</v>
      </c>
      <c r="M25" s="69">
        <f t="shared" si="1"/>
        <v>9318.5010899999997</v>
      </c>
    </row>
    <row r="26" spans="1:13" ht="15.75">
      <c r="A26" s="77" t="s">
        <v>117</v>
      </c>
      <c r="C26" s="119">
        <v>0</v>
      </c>
      <c r="D26" s="177"/>
      <c r="F26" s="73" t="s">
        <v>17</v>
      </c>
      <c r="G26" s="91">
        <v>0</v>
      </c>
      <c r="H26" s="96">
        <v>0.11865000000000001</v>
      </c>
      <c r="I26" s="69">
        <f t="shared" si="0"/>
        <v>0</v>
      </c>
      <c r="J26" s="73" t="s">
        <v>18</v>
      </c>
      <c r="K26" s="91">
        <v>0</v>
      </c>
      <c r="L26" s="96">
        <v>0.11330999999999999</v>
      </c>
      <c r="M26" s="69">
        <f t="shared" si="1"/>
        <v>0</v>
      </c>
    </row>
    <row r="27" spans="1:13" ht="15.75">
      <c r="A27" s="11" t="s">
        <v>46</v>
      </c>
      <c r="C27" s="17">
        <f>SUM(C23:C26)</f>
        <v>0</v>
      </c>
      <c r="D27" s="177"/>
      <c r="F27" s="73" t="s">
        <v>18</v>
      </c>
      <c r="G27" s="91">
        <v>291721</v>
      </c>
      <c r="H27" s="96">
        <v>0.11541</v>
      </c>
      <c r="I27" s="69">
        <f t="shared" si="0"/>
        <v>33667.52061</v>
      </c>
      <c r="J27" s="73" t="s">
        <v>19</v>
      </c>
      <c r="K27" s="91">
        <v>0</v>
      </c>
      <c r="L27" s="96">
        <v>0.11330999999999999</v>
      </c>
      <c r="M27" s="69">
        <f t="shared" si="1"/>
        <v>0</v>
      </c>
    </row>
    <row r="28" spans="1:13" ht="16.5" thickBot="1">
      <c r="A28" s="78" t="s">
        <v>88</v>
      </c>
      <c r="C28" s="20">
        <v>0</v>
      </c>
      <c r="D28" s="2"/>
      <c r="F28" s="73" t="s">
        <v>19</v>
      </c>
      <c r="G28" s="91">
        <v>24662</v>
      </c>
      <c r="H28" s="96">
        <v>0.11541</v>
      </c>
      <c r="I28" s="69">
        <f t="shared" si="0"/>
        <v>2846.2414199999998</v>
      </c>
      <c r="J28" s="72" t="s">
        <v>69</v>
      </c>
      <c r="K28" s="54">
        <f>SUM(K23:K27)</f>
        <v>2435155</v>
      </c>
      <c r="L28" s="55"/>
      <c r="M28" s="70">
        <f>SUM(M23:M27)</f>
        <v>275927.41304999992</v>
      </c>
    </row>
    <row r="29" spans="1:13" ht="17.25" thickTop="1" thickBot="1">
      <c r="A29" s="78" t="s">
        <v>100</v>
      </c>
      <c r="C29" s="20">
        <v>0</v>
      </c>
      <c r="D29" s="177"/>
      <c r="F29" s="73" t="s">
        <v>20</v>
      </c>
      <c r="G29" s="91">
        <v>0</v>
      </c>
      <c r="H29" s="96">
        <v>7.4310000000000001E-2</v>
      </c>
      <c r="I29" s="69">
        <f t="shared" si="0"/>
        <v>0</v>
      </c>
      <c r="J29" s="72"/>
      <c r="K29" s="85">
        <v>2435155</v>
      </c>
      <c r="L29" s="60" t="s">
        <v>48</v>
      </c>
      <c r="M29" s="101">
        <f>M28/K28</f>
        <v>0.11330999999999997</v>
      </c>
    </row>
    <row r="30" spans="1:13" ht="16.5" thickBot="1">
      <c r="A30" s="9" t="s">
        <v>53</v>
      </c>
      <c r="C30" s="176">
        <f>C7+C11+C14+C17+C20+C22+C27+C28+C29</f>
        <v>2292755.2400000002</v>
      </c>
      <c r="D30" s="2"/>
      <c r="F30" s="73" t="s">
        <v>21</v>
      </c>
      <c r="G30" s="91">
        <v>23786</v>
      </c>
      <c r="H30" s="96">
        <v>7.4310000000000001E-2</v>
      </c>
      <c r="I30" s="69">
        <f t="shared" si="0"/>
        <v>1767.53766</v>
      </c>
      <c r="J30" s="73"/>
      <c r="K30" s="84">
        <f>K28-K29</f>
        <v>0</v>
      </c>
      <c r="L30" s="55"/>
      <c r="M30" s="71"/>
    </row>
    <row r="31" spans="1:13" ht="15.75">
      <c r="A31" s="95" t="s">
        <v>54</v>
      </c>
      <c r="C31" s="20">
        <v>-17801.02</v>
      </c>
      <c r="D31" s="178"/>
      <c r="F31" s="73" t="s">
        <v>36</v>
      </c>
      <c r="G31" s="91">
        <v>2338940</v>
      </c>
      <c r="H31" s="96">
        <v>5.4000000000000001E-4</v>
      </c>
      <c r="I31" s="69">
        <f t="shared" si="0"/>
        <v>1263.0276000000001</v>
      </c>
      <c r="J31" s="32"/>
      <c r="K31" s="1"/>
      <c r="L31" s="55"/>
      <c r="M31" s="71"/>
    </row>
    <row r="32" spans="1:13" ht="16.5" thickBot="1">
      <c r="A32" s="9" t="s">
        <v>58</v>
      </c>
      <c r="B32" s="9" t="s">
        <v>59</v>
      </c>
      <c r="C32" s="120">
        <f>C30+C31</f>
        <v>2274954.2200000002</v>
      </c>
      <c r="D32" s="179"/>
      <c r="F32" s="72" t="s">
        <v>69</v>
      </c>
      <c r="G32" s="54">
        <f>SUM(G23:G31)</f>
        <v>6226148</v>
      </c>
      <c r="H32" s="1"/>
      <c r="I32" s="70">
        <f>SUM(I23:I31)</f>
        <v>477336.10763999994</v>
      </c>
      <c r="J32" s="65"/>
      <c r="K32" s="66"/>
      <c r="L32" s="1"/>
      <c r="M32" s="63"/>
    </row>
    <row r="33" spans="1:17" ht="17.25" thickTop="1" thickBot="1">
      <c r="A33" s="95" t="s">
        <v>55</v>
      </c>
      <c r="C33" s="120">
        <f>-C5-C9-C13-C16-C19</f>
        <v>-44969.189999999995</v>
      </c>
      <c r="D33" s="177"/>
      <c r="F33" s="59"/>
      <c r="G33" s="85">
        <v>6226148</v>
      </c>
      <c r="H33" s="60" t="s">
        <v>48</v>
      </c>
      <c r="I33" s="82">
        <f>I32/G32</f>
        <v>7.6666360587637802E-2</v>
      </c>
      <c r="J33" s="65"/>
      <c r="K33" s="66"/>
      <c r="L33" s="1"/>
      <c r="M33" s="16"/>
    </row>
    <row r="34" spans="1:17" ht="16.5" thickBot="1">
      <c r="A34" s="9" t="s">
        <v>56</v>
      </c>
      <c r="C34" s="176">
        <f>SUM(C32:C33)</f>
        <v>2229985.0300000003</v>
      </c>
      <c r="D34" s="177"/>
      <c r="F34" s="32"/>
      <c r="G34" s="84">
        <f>G32-G33</f>
        <v>0</v>
      </c>
      <c r="H34" s="1"/>
      <c r="I34" s="16"/>
      <c r="J34" s="65"/>
      <c r="K34" s="64"/>
      <c r="L34" s="1"/>
      <c r="M34" s="16"/>
    </row>
    <row r="35" spans="1:17" ht="18" customHeight="1">
      <c r="A35" s="9"/>
      <c r="C35" s="120"/>
      <c r="D35" s="177"/>
      <c r="F35" s="57"/>
      <c r="G35" s="4"/>
      <c r="H35" s="4"/>
      <c r="I35" s="58"/>
      <c r="J35" s="72" t="s">
        <v>70</v>
      </c>
      <c r="K35" s="207"/>
      <c r="L35" s="207"/>
      <c r="M35" s="208"/>
    </row>
    <row r="36" spans="1:17" ht="15.75">
      <c r="A36" s="3" t="s">
        <v>44</v>
      </c>
      <c r="B36" s="9"/>
      <c r="C36" s="17"/>
      <c r="D36" s="177"/>
      <c r="F36" s="72" t="s">
        <v>70</v>
      </c>
      <c r="G36" s="1"/>
      <c r="H36" s="1"/>
      <c r="I36" s="16"/>
      <c r="J36" s="73" t="s">
        <v>15</v>
      </c>
      <c r="K36" s="92">
        <f>K23</f>
        <v>986275</v>
      </c>
      <c r="L36" s="96">
        <v>0.23895</v>
      </c>
      <c r="M36" s="69">
        <f t="shared" ref="M36:M42" si="2">K36*L36</f>
        <v>235670.41125</v>
      </c>
      <c r="P36" s="180"/>
      <c r="Q36" s="180"/>
    </row>
    <row r="37" spans="1:17" ht="15.75">
      <c r="A37" s="1" t="s">
        <v>71</v>
      </c>
      <c r="B37" s="130" t="s">
        <v>57</v>
      </c>
      <c r="C37" s="20">
        <v>7642183.6399999997</v>
      </c>
      <c r="D37" s="177"/>
      <c r="F37" s="73" t="s">
        <v>15</v>
      </c>
      <c r="G37" s="92">
        <f>G23</f>
        <v>2080707</v>
      </c>
      <c r="H37" s="96">
        <v>0.23860000000000001</v>
      </c>
      <c r="I37" s="69">
        <f t="shared" ref="I37:I44" si="3">G37*H37</f>
        <v>496456.69020000001</v>
      </c>
      <c r="J37" s="73" t="s">
        <v>16</v>
      </c>
      <c r="K37" s="92">
        <f>K24</f>
        <v>1366641</v>
      </c>
      <c r="L37" s="96">
        <v>0.23895</v>
      </c>
      <c r="M37" s="69">
        <f t="shared" si="2"/>
        <v>326558.86695</v>
      </c>
      <c r="P37" s="180"/>
      <c r="Q37" s="180"/>
    </row>
    <row r="38" spans="1:17" ht="15.75">
      <c r="A38" s="79" t="s">
        <v>4</v>
      </c>
      <c r="B38" s="130" t="s">
        <v>57</v>
      </c>
      <c r="C38" s="20">
        <v>0</v>
      </c>
      <c r="D38" s="177"/>
      <c r="F38" s="73" t="s">
        <v>156</v>
      </c>
      <c r="G38" s="92">
        <f>G24</f>
        <v>2393</v>
      </c>
      <c r="H38" s="96">
        <v>0.23860000000000001</v>
      </c>
      <c r="I38" s="69">
        <f t="shared" si="3"/>
        <v>570.96979999999996</v>
      </c>
      <c r="J38" s="73" t="s">
        <v>17</v>
      </c>
      <c r="K38" s="92">
        <f>K25</f>
        <v>82239</v>
      </c>
      <c r="L38" s="96">
        <v>0.23895</v>
      </c>
      <c r="M38" s="69">
        <f t="shared" si="2"/>
        <v>19651.009050000001</v>
      </c>
      <c r="P38" s="180"/>
      <c r="Q38" s="180"/>
    </row>
    <row r="39" spans="1:17" ht="15.75">
      <c r="A39" s="1" t="s">
        <v>84</v>
      </c>
      <c r="B39" s="130" t="s">
        <v>85</v>
      </c>
      <c r="C39" s="20">
        <v>-54851.29</v>
      </c>
      <c r="D39" s="177"/>
      <c r="F39" s="73" t="s">
        <v>16</v>
      </c>
      <c r="G39" s="92">
        <f t="shared" ref="G39:G44" si="4">G25</f>
        <v>1463939</v>
      </c>
      <c r="H39" s="96">
        <v>0.23860000000000001</v>
      </c>
      <c r="I39" s="69">
        <f t="shared" si="3"/>
        <v>349295.84539999999</v>
      </c>
      <c r="J39" s="73" t="s">
        <v>18</v>
      </c>
      <c r="K39" s="92">
        <f>K26</f>
        <v>0</v>
      </c>
      <c r="L39" s="96">
        <v>0.23895</v>
      </c>
      <c r="M39" s="69">
        <f t="shared" si="2"/>
        <v>0</v>
      </c>
      <c r="P39" s="180"/>
      <c r="Q39" s="180"/>
    </row>
    <row r="40" spans="1:17" ht="15.75">
      <c r="A40" s="1" t="s">
        <v>73</v>
      </c>
      <c r="B40" s="130" t="s">
        <v>74</v>
      </c>
      <c r="C40" s="20">
        <v>306159.90999999997</v>
      </c>
      <c r="D40" s="177"/>
      <c r="F40" s="73" t="s">
        <v>17</v>
      </c>
      <c r="G40" s="92">
        <f t="shared" si="4"/>
        <v>0</v>
      </c>
      <c r="H40" s="96">
        <v>0.23860000000000001</v>
      </c>
      <c r="I40" s="69">
        <f t="shared" si="3"/>
        <v>0</v>
      </c>
      <c r="J40" s="73" t="s">
        <v>19</v>
      </c>
      <c r="K40" s="92">
        <f>K27</f>
        <v>0</v>
      </c>
      <c r="L40" s="96">
        <v>0.23895</v>
      </c>
      <c r="M40" s="69">
        <f t="shared" si="2"/>
        <v>0</v>
      </c>
      <c r="P40" s="180"/>
      <c r="Q40" s="180"/>
    </row>
    <row r="41" spans="1:17" ht="15.75">
      <c r="A41" s="1" t="s">
        <v>90</v>
      </c>
      <c r="B41" s="125" t="s">
        <v>91</v>
      </c>
      <c r="C41" s="20">
        <v>54490.6</v>
      </c>
      <c r="D41" s="177"/>
      <c r="F41" s="73" t="s">
        <v>18</v>
      </c>
      <c r="G41" s="92">
        <f t="shared" si="4"/>
        <v>291721</v>
      </c>
      <c r="H41" s="96">
        <v>0.23860000000000001</v>
      </c>
      <c r="I41" s="69">
        <f t="shared" si="3"/>
        <v>69604.630600000004</v>
      </c>
      <c r="J41" s="73" t="s">
        <v>20</v>
      </c>
      <c r="K41" s="91">
        <v>0</v>
      </c>
      <c r="L41" s="96">
        <v>0.23895</v>
      </c>
      <c r="M41" s="69">
        <f t="shared" si="2"/>
        <v>0</v>
      </c>
      <c r="P41" s="180"/>
      <c r="Q41" s="180"/>
    </row>
    <row r="42" spans="1:17" ht="16.5" thickBot="1">
      <c r="A42" s="1" t="s">
        <v>108</v>
      </c>
      <c r="B42" s="130" t="s">
        <v>109</v>
      </c>
      <c r="C42" s="20">
        <v>350599.55</v>
      </c>
      <c r="D42" s="2"/>
      <c r="F42" s="73" t="s">
        <v>19</v>
      </c>
      <c r="G42" s="92">
        <f t="shared" si="4"/>
        <v>24662</v>
      </c>
      <c r="H42" s="96">
        <v>0.23860000000000001</v>
      </c>
      <c r="I42" s="69">
        <f t="shared" si="3"/>
        <v>5884.3532000000005</v>
      </c>
      <c r="J42" s="73" t="s">
        <v>21</v>
      </c>
      <c r="K42" s="93">
        <v>0</v>
      </c>
      <c r="L42" s="96">
        <v>0.23895</v>
      </c>
      <c r="M42" s="69">
        <f t="shared" si="2"/>
        <v>0</v>
      </c>
      <c r="P42" s="180"/>
      <c r="Q42" s="180"/>
    </row>
    <row r="43" spans="1:17" ht="16.5" thickBot="1">
      <c r="A43" s="14" t="s">
        <v>65</v>
      </c>
      <c r="B43" s="4"/>
      <c r="C43" s="176">
        <f>SUM(C37:C42)</f>
        <v>8298582.4099999992</v>
      </c>
      <c r="D43" s="177"/>
      <c r="F43" s="73" t="s">
        <v>20</v>
      </c>
      <c r="G43" s="92">
        <f t="shared" si="4"/>
        <v>0</v>
      </c>
      <c r="H43" s="96">
        <v>0.23860000000000001</v>
      </c>
      <c r="I43" s="69">
        <f t="shared" si="3"/>
        <v>0</v>
      </c>
      <c r="J43" s="72" t="s">
        <v>75</v>
      </c>
      <c r="K43" s="54">
        <f>SUM(K36:K42)</f>
        <v>2435155</v>
      </c>
      <c r="L43" s="55"/>
      <c r="M43" s="70">
        <f>SUM(M36:M42)</f>
        <v>581880.28725000005</v>
      </c>
    </row>
    <row r="44" spans="1:17" ht="16.5" thickBot="1">
      <c r="A44" s="181" t="s">
        <v>107</v>
      </c>
      <c r="B44" s="182" t="s">
        <v>62</v>
      </c>
      <c r="C44" s="20">
        <f>-2108794.83+422385.48</f>
        <v>-1686409.35</v>
      </c>
      <c r="D44" s="2"/>
      <c r="F44" s="73" t="s">
        <v>21</v>
      </c>
      <c r="G44" s="92">
        <f t="shared" si="4"/>
        <v>23786</v>
      </c>
      <c r="H44" s="96">
        <v>0.23860000000000001</v>
      </c>
      <c r="I44" s="69">
        <f t="shared" si="3"/>
        <v>5675.3396000000002</v>
      </c>
      <c r="J44" s="67"/>
      <c r="K44" s="86">
        <v>2435155</v>
      </c>
      <c r="L44" s="62" t="s">
        <v>48</v>
      </c>
      <c r="M44" s="83">
        <f>M43/K43</f>
        <v>0.23895000000000002</v>
      </c>
    </row>
    <row r="45" spans="1:17" ht="16.5" thickBot="1">
      <c r="A45" s="79" t="s">
        <v>101</v>
      </c>
      <c r="B45" s="125" t="s">
        <v>57</v>
      </c>
      <c r="C45" s="20">
        <v>0</v>
      </c>
      <c r="D45" s="178"/>
      <c r="F45" s="72" t="s">
        <v>75</v>
      </c>
      <c r="G45" s="54">
        <f>SUM(G37:G44)</f>
        <v>3887208</v>
      </c>
      <c r="H45" s="55"/>
      <c r="I45" s="70">
        <f>SUM(I37:I44)</f>
        <v>927487.82880000002</v>
      </c>
      <c r="J45" s="14"/>
      <c r="K45" s="85"/>
      <c r="L45" s="60"/>
      <c r="M45" s="117"/>
    </row>
    <row r="46" spans="1:17" ht="19.5" customHeight="1" thickTop="1" thickBot="1">
      <c r="A46" s="79" t="s">
        <v>102</v>
      </c>
      <c r="B46" s="125" t="s">
        <v>57</v>
      </c>
      <c r="C46" s="20">
        <v>0</v>
      </c>
      <c r="D46" s="179"/>
      <c r="F46" s="61"/>
      <c r="G46" s="86">
        <v>3887208</v>
      </c>
      <c r="H46" s="62" t="s">
        <v>48</v>
      </c>
      <c r="I46" s="81">
        <f>I45/G45</f>
        <v>0.23860000000000001</v>
      </c>
      <c r="J46" s="14"/>
      <c r="K46" s="85"/>
      <c r="L46" s="60"/>
      <c r="M46" s="117"/>
    </row>
    <row r="47" spans="1:17" ht="19.5" customHeight="1">
      <c r="A47" s="95" t="s">
        <v>79</v>
      </c>
      <c r="B47" s="125" t="s">
        <v>57</v>
      </c>
      <c r="C47" s="20">
        <v>0</v>
      </c>
      <c r="D47" s="177"/>
      <c r="G47" s="84">
        <f>G45-G46</f>
        <v>0</v>
      </c>
      <c r="J47" s="21"/>
      <c r="K47" s="84">
        <f>K43-K44</f>
        <v>0</v>
      </c>
      <c r="M47" s="21"/>
    </row>
    <row r="48" spans="1:17" ht="16.5" thickBot="1">
      <c r="A48" s="79" t="s">
        <v>155</v>
      </c>
      <c r="B48" s="125" t="s">
        <v>57</v>
      </c>
      <c r="C48" s="20">
        <v>7000</v>
      </c>
      <c r="D48" s="177"/>
      <c r="J48" s="21"/>
      <c r="K48" s="18"/>
      <c r="M48" s="13"/>
    </row>
    <row r="49" spans="1:21" ht="15.75">
      <c r="A49" s="1" t="s">
        <v>72</v>
      </c>
      <c r="B49" s="130" t="s">
        <v>89</v>
      </c>
      <c r="C49" s="20">
        <v>17272.150000000001</v>
      </c>
      <c r="D49" s="177"/>
      <c r="G49" s="18"/>
      <c r="H49" s="25" t="s">
        <v>13</v>
      </c>
      <c r="I49" s="5" t="s">
        <v>13</v>
      </c>
      <c r="J49" s="5" t="s">
        <v>25</v>
      </c>
      <c r="K49" s="23" t="s">
        <v>32</v>
      </c>
      <c r="L49" s="21"/>
    </row>
    <row r="50" spans="1:21" ht="16.5" thickBot="1">
      <c r="A50" s="1" t="s">
        <v>121</v>
      </c>
      <c r="B50" s="130" t="s">
        <v>89</v>
      </c>
      <c r="C50" s="20">
        <v>1011.96</v>
      </c>
      <c r="D50" s="2"/>
      <c r="F50" s="9" t="s">
        <v>35</v>
      </c>
      <c r="H50" s="26" t="s">
        <v>0</v>
      </c>
      <c r="I50" s="27" t="s">
        <v>1</v>
      </c>
      <c r="J50" s="27" t="s">
        <v>0</v>
      </c>
      <c r="K50" s="24" t="s">
        <v>1</v>
      </c>
    </row>
    <row r="51" spans="1:21" ht="15.75">
      <c r="A51" s="1" t="s">
        <v>159</v>
      </c>
      <c r="B51" s="130" t="s">
        <v>89</v>
      </c>
      <c r="C51" s="20">
        <v>4806.32</v>
      </c>
      <c r="D51" s="177"/>
      <c r="H51" s="30"/>
      <c r="I51" s="31"/>
      <c r="J51" s="31"/>
      <c r="K51" s="31"/>
      <c r="L51" s="22" t="s">
        <v>49</v>
      </c>
    </row>
    <row r="52" spans="1:21" ht="15.75">
      <c r="A52" s="42" t="s">
        <v>60</v>
      </c>
      <c r="B52" s="125"/>
      <c r="C52" s="17">
        <f>-C33</f>
        <v>44969.189999999995</v>
      </c>
      <c r="D52" s="174"/>
      <c r="F52" s="95" t="s">
        <v>78</v>
      </c>
      <c r="H52" s="80">
        <f>K12</f>
        <v>-1181306.4701039996</v>
      </c>
      <c r="I52" s="19">
        <f>I14</f>
        <v>1572808.4416590002</v>
      </c>
      <c r="J52" s="19">
        <f>L12</f>
        <v>-741303.40989599982</v>
      </c>
      <c r="K52" s="19">
        <f>J14</f>
        <v>657176.58834100014</v>
      </c>
      <c r="L52" s="28">
        <f>SUM(H52:K52)</f>
        <v>307375.15000000095</v>
      </c>
    </row>
    <row r="53" spans="1:21" ht="16.5" thickBot="1">
      <c r="A53" s="95" t="s">
        <v>166</v>
      </c>
      <c r="B53" s="130" t="s">
        <v>167</v>
      </c>
      <c r="C53" s="20">
        <f>10285.55+0.05+34210.61</f>
        <v>44496.21</v>
      </c>
      <c r="D53" s="174"/>
      <c r="F53" s="95" t="s">
        <v>51</v>
      </c>
      <c r="H53" s="80">
        <f>-I45</f>
        <v>-927487.82880000002</v>
      </c>
      <c r="I53" s="19">
        <f>-I32</f>
        <v>-477336.10763999994</v>
      </c>
      <c r="J53" s="19">
        <f>-M43</f>
        <v>-581880.28725000005</v>
      </c>
      <c r="K53" s="19">
        <f>-M28</f>
        <v>-275927.41304999992</v>
      </c>
      <c r="L53" s="90">
        <f>SUM(H53:K53)</f>
        <v>-2262631.63674</v>
      </c>
    </row>
    <row r="54" spans="1:21" ht="16.5" thickBot="1">
      <c r="A54" s="95" t="s">
        <v>66</v>
      </c>
      <c r="B54" s="125" t="s">
        <v>153</v>
      </c>
      <c r="C54" s="20">
        <f>-268611.14-3188020.17-4723360.56</f>
        <v>-8179991.8699999992</v>
      </c>
      <c r="D54" s="177"/>
      <c r="F54" s="95" t="s">
        <v>37</v>
      </c>
      <c r="H54" s="87">
        <v>0</v>
      </c>
      <c r="I54" s="88">
        <v>0</v>
      </c>
      <c r="J54" s="88">
        <v>0</v>
      </c>
      <c r="K54" s="89">
        <v>0</v>
      </c>
      <c r="L54" s="183">
        <f>SUM(L52:L53)</f>
        <v>-1955256.4867399991</v>
      </c>
    </row>
    <row r="55" spans="1:21" ht="16.5" thickBot="1">
      <c r="A55" s="95" t="s">
        <v>163</v>
      </c>
      <c r="B55" s="125" t="s">
        <v>119</v>
      </c>
      <c r="C55" s="20">
        <v>-375000</v>
      </c>
      <c r="D55" s="177"/>
      <c r="F55" s="95" t="s">
        <v>33</v>
      </c>
      <c r="H55" s="176">
        <f>IFERROR(H52+H53+H54,0)</f>
        <v>-2108794.2989039999</v>
      </c>
      <c r="I55" s="176">
        <f>I52+I53+I54</f>
        <v>1095472.3340190002</v>
      </c>
      <c r="J55" s="176">
        <f>IFERROR(J52+J53+J54,0)</f>
        <v>-1323183.6971459999</v>
      </c>
      <c r="K55" s="176">
        <f>K52+K53+K54</f>
        <v>381249.17529100023</v>
      </c>
      <c r="L55" s="184">
        <f>SUM(H55:K55)</f>
        <v>-1955256.4867399994</v>
      </c>
    </row>
    <row r="56" spans="1:21" ht="16.5" thickBot="1">
      <c r="A56" s="185" t="s">
        <v>61</v>
      </c>
      <c r="B56" s="182"/>
      <c r="C56" s="34">
        <f>SUM(C43:C55)</f>
        <v>-1823262.9799999995</v>
      </c>
      <c r="D56" s="177"/>
      <c r="F56" s="186" t="s">
        <v>111</v>
      </c>
      <c r="H56" s="95" t="s">
        <v>103</v>
      </c>
      <c r="I56" s="1">
        <f>SUM(H55:I55)</f>
        <v>-1013321.9648849997</v>
      </c>
      <c r="J56" s="12" t="s">
        <v>104</v>
      </c>
      <c r="K56" s="95">
        <f>SUM(J55:K55)</f>
        <v>-941934.52185499971</v>
      </c>
      <c r="L56" s="187">
        <f>ROUND(L54-L55,3)</f>
        <v>0</v>
      </c>
      <c r="T56" s="188"/>
    </row>
    <row r="57" spans="1:21" ht="16.5" thickTop="1">
      <c r="A57" s="95" t="s">
        <v>63</v>
      </c>
      <c r="B57" s="125" t="s">
        <v>57</v>
      </c>
      <c r="C57" s="20">
        <v>-60364.39</v>
      </c>
      <c r="D57" s="177"/>
      <c r="F57" s="189" t="s">
        <v>111</v>
      </c>
      <c r="H57" s="190"/>
    </row>
    <row r="58" spans="1:21" ht="16.5" thickBot="1">
      <c r="A58" s="95" t="s">
        <v>64</v>
      </c>
      <c r="B58" s="125" t="s">
        <v>57</v>
      </c>
      <c r="C58" s="20">
        <v>-38982.51</v>
      </c>
      <c r="D58" s="177"/>
      <c r="F58" s="189" t="s">
        <v>112</v>
      </c>
      <c r="H58" s="178"/>
      <c r="I58" s="191"/>
      <c r="J58" s="191"/>
      <c r="K58" s="192"/>
      <c r="L58" s="191"/>
    </row>
    <row r="59" spans="1:21" ht="16.5" thickBot="1">
      <c r="A59" s="9" t="s">
        <v>67</v>
      </c>
      <c r="B59" s="9"/>
      <c r="C59" s="34">
        <f>SUM(C56:C58)</f>
        <v>-1922609.8799999994</v>
      </c>
      <c r="D59" s="177"/>
      <c r="F59" s="193" t="s">
        <v>154</v>
      </c>
      <c r="G59" s="108" t="str">
        <f>IF(OR(AND(I56&gt;0,K56&gt;0),AND(I56&lt;0,K56&lt;0)),"OK","ERROR")</f>
        <v>OK</v>
      </c>
      <c r="H59" s="30" t="s">
        <v>151</v>
      </c>
      <c r="I59" s="75"/>
    </row>
    <row r="60" spans="1:21" ht="17.25" thickTop="1" thickBot="1">
      <c r="A60" s="9"/>
      <c r="C60" s="120"/>
      <c r="D60" s="177"/>
      <c r="H60" s="33" t="s">
        <v>105</v>
      </c>
      <c r="I60" s="194" t="s">
        <v>106</v>
      </c>
      <c r="J60" s="1"/>
    </row>
    <row r="61" spans="1:21" ht="16.5" thickBot="1">
      <c r="A61" s="29"/>
      <c r="B61" s="29" t="s">
        <v>45</v>
      </c>
      <c r="C61" s="176">
        <f>C59+C34</f>
        <v>307375.15000000084</v>
      </c>
      <c r="D61" s="177"/>
      <c r="H61" s="94"/>
      <c r="I61" s="98"/>
      <c r="J61" s="95">
        <f>H53+I53+J53+K53</f>
        <v>-2262631.63674</v>
      </c>
    </row>
    <row r="62" spans="1:21" ht="15.75">
      <c r="A62" s="9"/>
      <c r="B62" s="29" t="s">
        <v>94</v>
      </c>
      <c r="C62" s="126">
        <v>307375.15000000002</v>
      </c>
      <c r="D62" s="2"/>
      <c r="G62" s="1"/>
      <c r="I62" s="17"/>
      <c r="N62" s="1"/>
      <c r="O62" s="1"/>
      <c r="P62" s="195"/>
    </row>
    <row r="63" spans="1:21" ht="15.75">
      <c r="A63" s="29"/>
      <c r="B63" s="29" t="s">
        <v>93</v>
      </c>
      <c r="C63" s="17">
        <f>ROUND(C61-C62,2)</f>
        <v>0</v>
      </c>
      <c r="S63" s="125"/>
    </row>
    <row r="64" spans="1:21" ht="15.75">
      <c r="A64" s="15"/>
      <c r="C64" s="196"/>
      <c r="D64" s="177"/>
      <c r="N64" s="42"/>
      <c r="U64" s="9"/>
    </row>
    <row r="65" spans="1:21" ht="15.75">
      <c r="A65" s="15"/>
      <c r="C65" s="2"/>
      <c r="D65" s="197"/>
      <c r="N65" s="42"/>
      <c r="S65" s="198"/>
    </row>
    <row r="66" spans="1:21" ht="15.75">
      <c r="A66" s="9"/>
      <c r="C66" s="2"/>
      <c r="D66" s="177"/>
      <c r="N66" s="42"/>
      <c r="S66" s="199"/>
    </row>
    <row r="67" spans="1:21">
      <c r="C67" s="17"/>
      <c r="D67" s="177"/>
      <c r="N67" s="42"/>
      <c r="S67" s="200"/>
    </row>
    <row r="68" spans="1:21">
      <c r="D68" s="177"/>
      <c r="N68" s="42"/>
      <c r="S68" s="199"/>
    </row>
    <row r="69" spans="1:21">
      <c r="D69" s="177"/>
      <c r="N69" s="42"/>
    </row>
    <row r="70" spans="1:21">
      <c r="D70" s="2"/>
      <c r="N70" s="42"/>
      <c r="S70" s="201"/>
    </row>
    <row r="71" spans="1:21">
      <c r="D71" s="177"/>
    </row>
    <row r="72" spans="1:21">
      <c r="D72" s="177"/>
    </row>
    <row r="73" spans="1:21">
      <c r="D73" s="177"/>
      <c r="S73" s="202"/>
    </row>
    <row r="74" spans="1:21">
      <c r="D74" s="64"/>
      <c r="R74" s="125"/>
      <c r="S74" s="125"/>
      <c r="T74" s="125"/>
    </row>
    <row r="76" spans="1:21">
      <c r="U76" s="203"/>
    </row>
    <row r="1477" spans="3:3">
      <c r="C1477" s="95">
        <v>-2130</v>
      </c>
    </row>
    <row r="1485" spans="3:3">
      <c r="C1485" s="95">
        <f>7004298-2130</f>
        <v>7002168</v>
      </c>
    </row>
  </sheetData>
  <mergeCells count="3">
    <mergeCell ref="F18:I18"/>
    <mergeCell ref="J18:M18"/>
    <mergeCell ref="K35:M35"/>
  </mergeCells>
  <conditionalFormatting sqref="C63 L56 I62">
    <cfRule type="cellIs" dxfId="82" priority="7" stopIfTrue="1" operator="equal">
      <formula>0</formula>
    </cfRule>
    <cfRule type="cellIs" dxfId="81" priority="8" stopIfTrue="1" operator="notEqual">
      <formula>0</formula>
    </cfRule>
  </conditionalFormatting>
  <conditionalFormatting sqref="G34 G47 K30 K47">
    <cfRule type="cellIs" dxfId="80" priority="6" operator="notEqual">
      <formula>0</formula>
    </cfRule>
  </conditionalFormatting>
  <conditionalFormatting sqref="C63">
    <cfRule type="cellIs" dxfId="79" priority="4" stopIfTrue="1" operator="equal">
      <formula>0</formula>
    </cfRule>
    <cfRule type="cellIs" dxfId="78" priority="5" stopIfTrue="1" operator="notEqual">
      <formula>0</formula>
    </cfRule>
  </conditionalFormatting>
  <conditionalFormatting sqref="K30">
    <cfRule type="cellIs" dxfId="77" priority="3" operator="notEqual">
      <formula>0</formula>
    </cfRule>
  </conditionalFormatting>
  <conditionalFormatting sqref="G59">
    <cfRule type="cellIs" dxfId="76" priority="2" operator="equal">
      <formula>"ERROR"</formula>
    </cfRule>
  </conditionalFormatting>
  <conditionalFormatting sqref="G59">
    <cfRule type="cellIs" dxfId="75" priority="1" operator="equal">
      <formula>"ERROR"</formula>
    </cfRule>
  </conditionalFormatting>
  <printOptions verticalCentered="1" gridLinesSet="0"/>
  <pageMargins left="0.5" right="0" top="0.25" bottom="0.5" header="0" footer="0.25"/>
  <pageSetup scale="47" orientation="landscape" cellComments="asDisplayed" r:id="rId1"/>
  <headerFooter alignWithMargins="0">
    <oddFooter>&amp;L&amp;F&amp;C&amp;A&amp;R&amp;D&amp;T</oddFooter>
  </headerFooter>
  <customProperties>
    <customPr name="xxe4aPID" r:id="rId2"/>
  </customProperties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tabColor rgb="FF00CC66"/>
    <pageSetUpPr fitToPage="1"/>
  </sheetPr>
  <dimension ref="A1:U1485"/>
  <sheetViews>
    <sheetView showGridLines="0" tabSelected="1" topLeftCell="A25" zoomScale="70" zoomScaleNormal="70" workbookViewId="0">
      <selection activeCell="X1" sqref="X1:X1048576"/>
    </sheetView>
  </sheetViews>
  <sheetFormatPr defaultColWidth="16" defaultRowHeight="15"/>
  <cols>
    <col min="1" max="1" width="44.85546875" style="95" customWidth="1"/>
    <col min="2" max="2" width="25.5703125" style="95" customWidth="1"/>
    <col min="3" max="3" width="25.28515625" style="95" customWidth="1"/>
    <col min="4" max="4" width="2.7109375" style="95" customWidth="1"/>
    <col min="5" max="5" width="4.28515625" style="95" customWidth="1"/>
    <col min="6" max="6" width="26.7109375" style="95" customWidth="1"/>
    <col min="7" max="7" width="19" style="95" customWidth="1"/>
    <col min="8" max="8" width="22" style="95" customWidth="1"/>
    <col min="9" max="9" width="18.5703125" style="95" customWidth="1"/>
    <col min="10" max="10" width="26.28515625" style="95" customWidth="1"/>
    <col min="11" max="11" width="21.85546875" style="95" bestFit="1" customWidth="1"/>
    <col min="12" max="12" width="23.85546875" style="95" customWidth="1"/>
    <col min="13" max="13" width="20.85546875" style="95" bestFit="1" customWidth="1"/>
    <col min="14" max="15" width="16" style="95"/>
    <col min="16" max="16" width="16.28515625" style="95" bestFit="1" customWidth="1"/>
    <col min="17" max="16384" width="16" style="95"/>
  </cols>
  <sheetData>
    <row r="1" spans="1:12" ht="16.5" thickBot="1">
      <c r="A1" s="172" t="s">
        <v>26</v>
      </c>
      <c r="B1" s="173"/>
      <c r="C1" s="107">
        <f>[5]Aug!C1+1</f>
        <v>201709</v>
      </c>
      <c r="F1" s="107">
        <f>C1</f>
        <v>201709</v>
      </c>
      <c r="H1" s="35" t="s">
        <v>31</v>
      </c>
      <c r="I1" s="22" t="s">
        <v>1</v>
      </c>
      <c r="J1" s="22" t="s">
        <v>1</v>
      </c>
      <c r="K1" s="22" t="s">
        <v>28</v>
      </c>
      <c r="L1" s="22" t="s">
        <v>28</v>
      </c>
    </row>
    <row r="2" spans="1:12" ht="15.75">
      <c r="C2" s="6"/>
      <c r="H2" s="36" t="s">
        <v>10</v>
      </c>
      <c r="I2" s="37" t="s">
        <v>27</v>
      </c>
      <c r="J2" s="37" t="s">
        <v>27</v>
      </c>
      <c r="K2" s="37" t="s">
        <v>29</v>
      </c>
      <c r="L2" s="37" t="s">
        <v>29</v>
      </c>
    </row>
    <row r="3" spans="1:12" ht="16.5" thickBot="1">
      <c r="A3" s="10" t="s">
        <v>52</v>
      </c>
      <c r="C3" s="7"/>
      <c r="D3" s="174"/>
      <c r="F3" s="9" t="s">
        <v>34</v>
      </c>
      <c r="H3" s="38" t="s">
        <v>30</v>
      </c>
      <c r="I3" s="38" t="s">
        <v>13</v>
      </c>
      <c r="J3" s="38" t="s">
        <v>25</v>
      </c>
      <c r="K3" s="38" t="s">
        <v>13</v>
      </c>
      <c r="L3" s="38" t="s">
        <v>25</v>
      </c>
    </row>
    <row r="4" spans="1:12" ht="15.75">
      <c r="A4" s="95" t="s">
        <v>38</v>
      </c>
      <c r="C4" s="20">
        <v>4449796.09</v>
      </c>
      <c r="D4" s="6"/>
      <c r="H4" s="3"/>
    </row>
    <row r="5" spans="1:12" ht="14.25" customHeight="1">
      <c r="A5" s="95" t="s">
        <v>9</v>
      </c>
      <c r="C5" s="20">
        <f>-158.87+52291.14-3.67</f>
        <v>52128.6</v>
      </c>
      <c r="D5" s="6"/>
      <c r="H5" s="3"/>
      <c r="I5" s="175">
        <v>0.70530000000000004</v>
      </c>
      <c r="J5" s="175">
        <v>0.29470000000000002</v>
      </c>
      <c r="K5" s="97">
        <f>ROUND(G45/(G45+K43),4)</f>
        <v>0.69520000000000004</v>
      </c>
      <c r="L5" s="97">
        <f>1-K5</f>
        <v>0.30479999999999996</v>
      </c>
    </row>
    <row r="6" spans="1:12" ht="16.5" thickBot="1">
      <c r="A6" s="8" t="s">
        <v>8</v>
      </c>
      <c r="C6" s="116">
        <f>-2267480.4-430500-123000-138375-79335-99088.8</f>
        <v>-3137779.1999999997</v>
      </c>
      <c r="D6" s="6"/>
    </row>
    <row r="7" spans="1:12" ht="16.5" thickBot="1">
      <c r="A7" s="12" t="s">
        <v>82</v>
      </c>
      <c r="C7" s="17">
        <f>SUM(C4:C6)</f>
        <v>1364145.4899999998</v>
      </c>
      <c r="D7" s="7"/>
      <c r="F7" s="39" t="s">
        <v>81</v>
      </c>
      <c r="G7" s="39"/>
      <c r="H7" s="176">
        <f>C34</f>
        <v>2206853.9699999997</v>
      </c>
      <c r="I7" s="40">
        <f>H7*I5</f>
        <v>1556494.1050409998</v>
      </c>
      <c r="J7" s="40">
        <f>H7*J5</f>
        <v>650359.86495899991</v>
      </c>
      <c r="K7" s="40"/>
      <c r="L7" s="40"/>
    </row>
    <row r="8" spans="1:12" ht="15.75">
      <c r="A8" s="95" t="s">
        <v>39</v>
      </c>
      <c r="C8" s="20">
        <v>185334.94</v>
      </c>
      <c r="D8" s="7"/>
      <c r="H8" s="41"/>
      <c r="I8" s="41"/>
      <c r="J8" s="41"/>
      <c r="K8" s="41"/>
      <c r="L8" s="41"/>
    </row>
    <row r="9" spans="1:12" ht="15.75">
      <c r="A9" s="95" t="s">
        <v>40</v>
      </c>
      <c r="C9" s="20">
        <f>6179.64</f>
        <v>6179.64</v>
      </c>
      <c r="D9" s="177"/>
      <c r="F9" s="39" t="s">
        <v>61</v>
      </c>
      <c r="H9" s="40">
        <f>C56</f>
        <v>-2101836.6999999993</v>
      </c>
      <c r="I9" s="40"/>
      <c r="J9" s="40"/>
      <c r="K9" s="40">
        <f>H9*K5</f>
        <v>-1461196.8738399995</v>
      </c>
      <c r="L9" s="40">
        <f>H9*L5</f>
        <v>-640639.82615999971</v>
      </c>
    </row>
    <row r="10" spans="1:12" ht="15.75">
      <c r="A10" s="8" t="s">
        <v>41</v>
      </c>
      <c r="C10" s="116">
        <v>-3308.2</v>
      </c>
      <c r="D10" s="177"/>
      <c r="F10" s="42" t="s">
        <v>22</v>
      </c>
      <c r="H10" s="40">
        <f>C57</f>
        <v>47628.89</v>
      </c>
      <c r="I10" s="40"/>
      <c r="J10" s="40"/>
      <c r="K10" s="40">
        <f>H10</f>
        <v>47628.89</v>
      </c>
      <c r="L10" s="40"/>
    </row>
    <row r="11" spans="1:12">
      <c r="A11" s="12" t="s">
        <v>83</v>
      </c>
      <c r="C11" s="17">
        <f>SUM(C8:C10)</f>
        <v>188206.38</v>
      </c>
      <c r="D11" s="177"/>
      <c r="F11" s="42" t="s">
        <v>23</v>
      </c>
      <c r="H11" s="43">
        <f>C58</f>
        <v>35166.93</v>
      </c>
      <c r="I11" s="40"/>
      <c r="J11" s="40"/>
      <c r="K11" s="43"/>
      <c r="L11" s="43">
        <f>H11</f>
        <v>35166.93</v>
      </c>
    </row>
    <row r="12" spans="1:12" ht="15.75">
      <c r="A12" s="95" t="s">
        <v>98</v>
      </c>
      <c r="C12" s="20">
        <f>2422.9+190529.81</f>
        <v>192952.71</v>
      </c>
      <c r="D12" s="177"/>
      <c r="F12" s="42" t="s">
        <v>80</v>
      </c>
      <c r="H12" s="40">
        <f>H9+H10+H11</f>
        <v>-2019040.8799999994</v>
      </c>
      <c r="I12" s="40"/>
      <c r="J12" s="40"/>
      <c r="K12" s="40">
        <f>SUM(K9:K11)</f>
        <v>-1413567.9838399997</v>
      </c>
      <c r="L12" s="40">
        <f>SUM(L9:L11)</f>
        <v>-605472.89615999965</v>
      </c>
    </row>
    <row r="13" spans="1:12" ht="16.5" thickBot="1">
      <c r="A13" s="8" t="s">
        <v>99</v>
      </c>
      <c r="C13" s="116">
        <v>0</v>
      </c>
      <c r="D13" s="177"/>
      <c r="F13" s="44"/>
      <c r="G13" s="45"/>
      <c r="H13" s="46"/>
      <c r="I13" s="47"/>
      <c r="J13" s="46"/>
      <c r="K13" s="41"/>
      <c r="L13" s="46"/>
    </row>
    <row r="14" spans="1:12" ht="16.5" thickBot="1">
      <c r="A14" s="12" t="s">
        <v>42</v>
      </c>
      <c r="C14" s="17">
        <f>SUM(C12:C13)</f>
        <v>192952.71</v>
      </c>
      <c r="D14" s="2"/>
      <c r="F14" s="9" t="s">
        <v>31</v>
      </c>
      <c r="G14" s="48"/>
      <c r="H14" s="176">
        <f>H12+H7</f>
        <v>187813.09000000032</v>
      </c>
      <c r="I14" s="49">
        <f>SUM(I7:I13)</f>
        <v>1556494.1050409998</v>
      </c>
      <c r="J14" s="49">
        <f>SUM(J7:J13)</f>
        <v>650359.86495899991</v>
      </c>
      <c r="K14" s="49">
        <f>K12</f>
        <v>-1413567.9838399997</v>
      </c>
      <c r="L14" s="49">
        <f>L12</f>
        <v>-605472.89615999965</v>
      </c>
    </row>
    <row r="15" spans="1:12" ht="15.75">
      <c r="A15" s="95" t="s">
        <v>113</v>
      </c>
      <c r="C15" s="20">
        <f>445205.68+5661.51</f>
        <v>450867.19</v>
      </c>
      <c r="D15" s="177"/>
      <c r="F15" s="44"/>
      <c r="G15" s="45" t="s">
        <v>48</v>
      </c>
      <c r="H15" s="46">
        <f>H14-C61</f>
        <v>0</v>
      </c>
      <c r="I15" s="50"/>
      <c r="J15" s="46">
        <f>J7+I7-H7</f>
        <v>0</v>
      </c>
      <c r="L15" s="46">
        <f>H12-K14-L14</f>
        <v>0</v>
      </c>
    </row>
    <row r="16" spans="1:12" ht="15.75">
      <c r="A16" s="8" t="s">
        <v>114</v>
      </c>
      <c r="C16" s="116">
        <v>0</v>
      </c>
      <c r="D16" s="177"/>
      <c r="F16" s="51"/>
      <c r="G16" s="45"/>
      <c r="H16" s="52"/>
      <c r="I16" s="53"/>
      <c r="J16" s="52"/>
      <c r="L16" s="52"/>
    </row>
    <row r="17" spans="1:13" ht="15.75" thickBot="1">
      <c r="A17" s="12" t="s">
        <v>115</v>
      </c>
      <c r="C17" s="17">
        <f>SUM(C15:C16)</f>
        <v>450867.19</v>
      </c>
      <c r="D17" s="2"/>
      <c r="F17" s="44"/>
      <c r="G17" s="45"/>
      <c r="H17" s="52"/>
      <c r="I17" s="53"/>
      <c r="J17" s="56"/>
      <c r="L17" s="52"/>
    </row>
    <row r="18" spans="1:13" ht="16.5" thickBot="1">
      <c r="A18" s="95" t="s">
        <v>96</v>
      </c>
      <c r="C18" s="20">
        <f>10427.3+965.36+64763.86</f>
        <v>76156.52</v>
      </c>
      <c r="D18" s="177"/>
      <c r="F18" s="204" t="s">
        <v>76</v>
      </c>
      <c r="G18" s="205"/>
      <c r="H18" s="205"/>
      <c r="I18" s="206"/>
      <c r="J18" s="204" t="s">
        <v>77</v>
      </c>
      <c r="K18" s="205"/>
      <c r="L18" s="205"/>
      <c r="M18" s="206"/>
    </row>
    <row r="19" spans="1:13" ht="15.75">
      <c r="A19" s="8" t="s">
        <v>97</v>
      </c>
      <c r="C19" s="116">
        <v>-4871.8100000000004</v>
      </c>
      <c r="D19" s="177"/>
      <c r="F19" s="74" t="s">
        <v>50</v>
      </c>
      <c r="G19" s="37" t="s">
        <v>11</v>
      </c>
      <c r="H19" s="37" t="s">
        <v>11</v>
      </c>
      <c r="I19" s="37" t="s">
        <v>11</v>
      </c>
      <c r="J19" s="74" t="s">
        <v>50</v>
      </c>
      <c r="K19" s="37" t="s">
        <v>11</v>
      </c>
      <c r="L19" s="37" t="s">
        <v>11</v>
      </c>
      <c r="M19" s="58" t="s">
        <v>11</v>
      </c>
    </row>
    <row r="20" spans="1:13" ht="16.5" thickBot="1">
      <c r="A20" s="11" t="s">
        <v>43</v>
      </c>
      <c r="C20" s="17">
        <f>SUM(C18:C19)</f>
        <v>71284.710000000006</v>
      </c>
      <c r="D20" s="177"/>
      <c r="F20" s="68" t="s">
        <v>95</v>
      </c>
      <c r="G20" s="38" t="s">
        <v>47</v>
      </c>
      <c r="H20" s="38" t="s">
        <v>14</v>
      </c>
      <c r="I20" s="38" t="s">
        <v>12</v>
      </c>
      <c r="J20" s="68" t="s">
        <v>95</v>
      </c>
      <c r="K20" s="38" t="s">
        <v>47</v>
      </c>
      <c r="L20" s="38" t="s">
        <v>14</v>
      </c>
      <c r="M20" s="38" t="s">
        <v>12</v>
      </c>
    </row>
    <row r="21" spans="1:13" ht="15.75">
      <c r="A21" s="8" t="s">
        <v>87</v>
      </c>
      <c r="C21" s="116">
        <f>-118.03+1850</f>
        <v>1731.97</v>
      </c>
      <c r="D21" s="177"/>
      <c r="F21" s="57"/>
      <c r="G21" s="4"/>
      <c r="H21" s="4"/>
      <c r="I21" s="58"/>
      <c r="J21" s="25"/>
      <c r="K21" s="5"/>
      <c r="L21" s="5"/>
      <c r="M21" s="75"/>
    </row>
    <row r="22" spans="1:13" ht="18" customHeight="1">
      <c r="A22" s="11" t="s">
        <v>87</v>
      </c>
      <c r="C22" s="17">
        <f>SUM(C21)</f>
        <v>1731.97</v>
      </c>
      <c r="D22" s="177"/>
      <c r="F22" s="72" t="s">
        <v>68</v>
      </c>
      <c r="G22" s="1"/>
      <c r="H22" s="1"/>
      <c r="I22" s="16"/>
      <c r="J22" s="72" t="s">
        <v>68</v>
      </c>
      <c r="K22" s="1"/>
      <c r="L22" s="1"/>
      <c r="M22" s="16"/>
    </row>
    <row r="23" spans="1:13" ht="15.75">
      <c r="A23" s="76" t="s">
        <v>110</v>
      </c>
      <c r="C23" s="17">
        <v>0</v>
      </c>
      <c r="D23" s="177"/>
      <c r="F23" s="73" t="s">
        <v>15</v>
      </c>
      <c r="G23" s="91">
        <v>3147236</v>
      </c>
      <c r="H23" s="96">
        <v>0.12678</v>
      </c>
      <c r="I23" s="69">
        <f t="shared" ref="I23:I31" si="0">G23*H23</f>
        <v>399006.58007999999</v>
      </c>
      <c r="J23" s="73" t="s">
        <v>15</v>
      </c>
      <c r="K23" s="91">
        <v>1445438</v>
      </c>
      <c r="L23" s="96">
        <v>0.11330999999999999</v>
      </c>
      <c r="M23" s="69">
        <f>K23*L23</f>
        <v>163782.57978</v>
      </c>
    </row>
    <row r="24" spans="1:13" ht="15.75">
      <c r="A24" s="76" t="s">
        <v>116</v>
      </c>
      <c r="C24" s="20">
        <v>0</v>
      </c>
      <c r="D24" s="177"/>
      <c r="F24" s="73" t="s">
        <v>156</v>
      </c>
      <c r="G24" s="91">
        <v>3920</v>
      </c>
      <c r="H24" s="96">
        <v>0.12678</v>
      </c>
      <c r="I24" s="69">
        <f t="shared" si="0"/>
        <v>496.9776</v>
      </c>
      <c r="J24" s="73" t="s">
        <v>16</v>
      </c>
      <c r="K24" s="91">
        <v>991953</v>
      </c>
      <c r="L24" s="96">
        <v>0.11330999999999999</v>
      </c>
      <c r="M24" s="69">
        <f t="shared" ref="M24:M27" si="1">K24*L24</f>
        <v>112398.19442999999</v>
      </c>
    </row>
    <row r="25" spans="1:13" ht="15.75">
      <c r="A25" s="76" t="s">
        <v>118</v>
      </c>
      <c r="C25" s="118">
        <v>0</v>
      </c>
      <c r="D25" s="177"/>
      <c r="F25" s="73" t="s">
        <v>16</v>
      </c>
      <c r="G25" s="91">
        <v>2165313</v>
      </c>
      <c r="H25" s="96">
        <v>0.11865000000000001</v>
      </c>
      <c r="I25" s="69">
        <f t="shared" si="0"/>
        <v>256914.38745000001</v>
      </c>
      <c r="J25" s="73" t="s">
        <v>17</v>
      </c>
      <c r="K25" s="91">
        <v>71733</v>
      </c>
      <c r="L25" s="96">
        <v>0.11330999999999999</v>
      </c>
      <c r="M25" s="69">
        <f t="shared" si="1"/>
        <v>8128.0662299999995</v>
      </c>
    </row>
    <row r="26" spans="1:13" ht="15.75">
      <c r="A26" s="77" t="s">
        <v>117</v>
      </c>
      <c r="C26" s="119">
        <v>0</v>
      </c>
      <c r="D26" s="177"/>
      <c r="F26" s="73" t="s">
        <v>17</v>
      </c>
      <c r="G26" s="91">
        <v>0</v>
      </c>
      <c r="H26" s="96">
        <v>0.11865000000000001</v>
      </c>
      <c r="I26" s="69">
        <f t="shared" si="0"/>
        <v>0</v>
      </c>
      <c r="J26" s="73" t="s">
        <v>18</v>
      </c>
      <c r="K26" s="91">
        <v>0</v>
      </c>
      <c r="L26" s="96">
        <v>0.11330999999999999</v>
      </c>
      <c r="M26" s="69">
        <f t="shared" si="1"/>
        <v>0</v>
      </c>
    </row>
    <row r="27" spans="1:13" ht="15.75">
      <c r="A27" s="11" t="s">
        <v>46</v>
      </c>
      <c r="C27" s="17">
        <f>SUM(C23:C26)</f>
        <v>0</v>
      </c>
      <c r="D27" s="177"/>
      <c r="F27" s="73" t="s">
        <v>18</v>
      </c>
      <c r="G27" s="91">
        <v>348558</v>
      </c>
      <c r="H27" s="96">
        <v>0.11541</v>
      </c>
      <c r="I27" s="69">
        <f t="shared" si="0"/>
        <v>40227.078779999996</v>
      </c>
      <c r="J27" s="73" t="s">
        <v>19</v>
      </c>
      <c r="K27" s="91">
        <v>0</v>
      </c>
      <c r="L27" s="96">
        <v>0.11330999999999999</v>
      </c>
      <c r="M27" s="69">
        <f t="shared" si="1"/>
        <v>0</v>
      </c>
    </row>
    <row r="28" spans="1:13" ht="16.5" thickBot="1">
      <c r="A28" s="78" t="s">
        <v>88</v>
      </c>
      <c r="C28" s="20">
        <v>0</v>
      </c>
      <c r="D28" s="2"/>
      <c r="F28" s="73" t="s">
        <v>19</v>
      </c>
      <c r="G28" s="91">
        <v>26763</v>
      </c>
      <c r="H28" s="96">
        <v>0.11541</v>
      </c>
      <c r="I28" s="69">
        <f t="shared" si="0"/>
        <v>3088.71783</v>
      </c>
      <c r="J28" s="72" t="s">
        <v>69</v>
      </c>
      <c r="K28" s="54">
        <f>SUM(K23:K27)</f>
        <v>2509124</v>
      </c>
      <c r="L28" s="55"/>
      <c r="M28" s="70">
        <f>SUM(M23:M27)</f>
        <v>284308.84044</v>
      </c>
    </row>
    <row r="29" spans="1:13" ht="17.25" thickTop="1" thickBot="1">
      <c r="A29" s="78" t="s">
        <v>100</v>
      </c>
      <c r="C29" s="20">
        <v>0</v>
      </c>
      <c r="D29" s="177"/>
      <c r="F29" s="73" t="s">
        <v>20</v>
      </c>
      <c r="G29" s="91">
        <v>0</v>
      </c>
      <c r="H29" s="96">
        <v>7.4310000000000001E-2</v>
      </c>
      <c r="I29" s="69">
        <f t="shared" si="0"/>
        <v>0</v>
      </c>
      <c r="J29" s="72"/>
      <c r="K29" s="85">
        <v>2509124</v>
      </c>
      <c r="L29" s="60" t="s">
        <v>48</v>
      </c>
      <c r="M29" s="101">
        <f>M28/K28</f>
        <v>0.11330999999999999</v>
      </c>
    </row>
    <row r="30" spans="1:13" ht="16.5" thickBot="1">
      <c r="A30" s="9" t="s">
        <v>53</v>
      </c>
      <c r="C30" s="176">
        <f>C7+C11+C14+C17+C20+C22+C27+C28+C29</f>
        <v>2269188.4499999997</v>
      </c>
      <c r="D30" s="2"/>
      <c r="F30" s="73" t="s">
        <v>21</v>
      </c>
      <c r="G30" s="91">
        <v>31578</v>
      </c>
      <c r="H30" s="96">
        <v>7.4310000000000001E-2</v>
      </c>
      <c r="I30" s="69">
        <f t="shared" si="0"/>
        <v>2346.5611800000001</v>
      </c>
      <c r="J30" s="73"/>
      <c r="K30" s="84">
        <f>K28-K29</f>
        <v>0</v>
      </c>
      <c r="L30" s="55"/>
      <c r="M30" s="71"/>
    </row>
    <row r="31" spans="1:13" ht="15.75">
      <c r="A31" s="95" t="s">
        <v>54</v>
      </c>
      <c r="C31" s="20">
        <v>-8898.0499999999993</v>
      </c>
      <c r="D31" s="178"/>
      <c r="F31" s="73" t="s">
        <v>36</v>
      </c>
      <c r="G31" s="91">
        <v>2209861</v>
      </c>
      <c r="H31" s="96">
        <v>5.4000000000000001E-4</v>
      </c>
      <c r="I31" s="69">
        <f t="shared" si="0"/>
        <v>1193.32494</v>
      </c>
      <c r="J31" s="32"/>
      <c r="K31" s="1"/>
      <c r="L31" s="55"/>
      <c r="M31" s="71"/>
    </row>
    <row r="32" spans="1:13" ht="16.5" thickBot="1">
      <c r="A32" s="9" t="s">
        <v>58</v>
      </c>
      <c r="B32" s="9" t="s">
        <v>59</v>
      </c>
      <c r="C32" s="120">
        <f>C30+C31</f>
        <v>2260290.4</v>
      </c>
      <c r="D32" s="179"/>
      <c r="F32" s="72" t="s">
        <v>69</v>
      </c>
      <c r="G32" s="54">
        <f>SUM(G23:G31)</f>
        <v>7933229</v>
      </c>
      <c r="H32" s="1"/>
      <c r="I32" s="70">
        <f>SUM(I23:I31)</f>
        <v>703273.62785999989</v>
      </c>
      <c r="J32" s="65"/>
      <c r="K32" s="66"/>
      <c r="L32" s="1"/>
      <c r="M32" s="63"/>
    </row>
    <row r="33" spans="1:17" ht="17.25" thickTop="1" thickBot="1">
      <c r="A33" s="95" t="s">
        <v>55</v>
      </c>
      <c r="C33" s="120">
        <f>-C5-C9-C13-C16-C19</f>
        <v>-53436.43</v>
      </c>
      <c r="D33" s="177"/>
      <c r="F33" s="59"/>
      <c r="G33" s="85">
        <v>7933229</v>
      </c>
      <c r="H33" s="60" t="s">
        <v>48</v>
      </c>
      <c r="I33" s="82">
        <f>I32/G32</f>
        <v>8.8649102132309546E-2</v>
      </c>
      <c r="J33" s="65"/>
      <c r="K33" s="66"/>
      <c r="L33" s="1"/>
      <c r="M33" s="16"/>
    </row>
    <row r="34" spans="1:17" ht="16.5" thickBot="1">
      <c r="A34" s="9" t="s">
        <v>56</v>
      </c>
      <c r="C34" s="176">
        <f>SUM(C32:C33)</f>
        <v>2206853.9699999997</v>
      </c>
      <c r="D34" s="177"/>
      <c r="F34" s="32"/>
      <c r="G34" s="84">
        <f>G32-G33</f>
        <v>0</v>
      </c>
      <c r="H34" s="1"/>
      <c r="I34" s="16"/>
      <c r="J34" s="65"/>
      <c r="K34" s="64"/>
      <c r="L34" s="1"/>
      <c r="M34" s="16"/>
    </row>
    <row r="35" spans="1:17" ht="18" customHeight="1">
      <c r="A35" s="9"/>
      <c r="C35" s="120"/>
      <c r="D35" s="177"/>
      <c r="F35" s="57"/>
      <c r="G35" s="4"/>
      <c r="H35" s="4"/>
      <c r="I35" s="58"/>
      <c r="J35" s="72" t="s">
        <v>70</v>
      </c>
      <c r="K35" s="207"/>
      <c r="L35" s="207"/>
      <c r="M35" s="208"/>
    </row>
    <row r="36" spans="1:17" ht="15.75">
      <c r="A36" s="3" t="s">
        <v>44</v>
      </c>
      <c r="B36" s="9"/>
      <c r="C36" s="17"/>
      <c r="D36" s="177"/>
      <c r="F36" s="72" t="s">
        <v>70</v>
      </c>
      <c r="G36" s="1"/>
      <c r="H36" s="1"/>
      <c r="I36" s="16"/>
      <c r="J36" s="73" t="s">
        <v>15</v>
      </c>
      <c r="K36" s="92">
        <f>K23</f>
        <v>1445438</v>
      </c>
      <c r="L36" s="96">
        <v>0.23895</v>
      </c>
      <c r="M36" s="69">
        <f t="shared" ref="M36:M42" si="2">K36*L36</f>
        <v>345387.41009999998</v>
      </c>
      <c r="P36" s="180"/>
      <c r="Q36" s="180"/>
    </row>
    <row r="37" spans="1:17" ht="15.75">
      <c r="A37" s="1" t="s">
        <v>71</v>
      </c>
      <c r="B37" s="130" t="s">
        <v>57</v>
      </c>
      <c r="C37" s="20">
        <v>6729629.6500000004</v>
      </c>
      <c r="D37" s="177"/>
      <c r="F37" s="73" t="s">
        <v>15</v>
      </c>
      <c r="G37" s="92">
        <f>G23</f>
        <v>3147236</v>
      </c>
      <c r="H37" s="96">
        <v>0.23860000000000001</v>
      </c>
      <c r="I37" s="69">
        <f t="shared" ref="I37:I44" si="3">G37*H37</f>
        <v>750930.50959999999</v>
      </c>
      <c r="J37" s="73" t="s">
        <v>16</v>
      </c>
      <c r="K37" s="92">
        <f>K24</f>
        <v>991953</v>
      </c>
      <c r="L37" s="96">
        <v>0.23895</v>
      </c>
      <c r="M37" s="69">
        <f t="shared" si="2"/>
        <v>237027.16934999998</v>
      </c>
      <c r="P37" s="180"/>
      <c r="Q37" s="180"/>
    </row>
    <row r="38" spans="1:17" ht="15.75">
      <c r="A38" s="79" t="s">
        <v>4</v>
      </c>
      <c r="B38" s="130" t="s">
        <v>57</v>
      </c>
      <c r="C38" s="20">
        <v>0</v>
      </c>
      <c r="D38" s="177"/>
      <c r="F38" s="73" t="s">
        <v>156</v>
      </c>
      <c r="G38" s="92">
        <f>G24</f>
        <v>3920</v>
      </c>
      <c r="H38" s="96">
        <v>0.23860000000000001</v>
      </c>
      <c r="I38" s="69">
        <f t="shared" si="3"/>
        <v>935.31200000000001</v>
      </c>
      <c r="J38" s="73" t="s">
        <v>17</v>
      </c>
      <c r="K38" s="92">
        <f>K25</f>
        <v>71733</v>
      </c>
      <c r="L38" s="96">
        <v>0.23895</v>
      </c>
      <c r="M38" s="69">
        <f t="shared" si="2"/>
        <v>17140.600350000001</v>
      </c>
      <c r="P38" s="180"/>
      <c r="Q38" s="180"/>
    </row>
    <row r="39" spans="1:17" ht="15.75">
      <c r="A39" s="1" t="s">
        <v>84</v>
      </c>
      <c r="B39" s="130" t="s">
        <v>85</v>
      </c>
      <c r="C39" s="20">
        <v>-66478.23</v>
      </c>
      <c r="D39" s="177"/>
      <c r="F39" s="73" t="s">
        <v>16</v>
      </c>
      <c r="G39" s="92">
        <f t="shared" ref="G39:G44" si="4">G25</f>
        <v>2165313</v>
      </c>
      <c r="H39" s="96">
        <v>0.23860000000000001</v>
      </c>
      <c r="I39" s="69">
        <f t="shared" si="3"/>
        <v>516643.68180000002</v>
      </c>
      <c r="J39" s="73" t="s">
        <v>18</v>
      </c>
      <c r="K39" s="92">
        <f>K26</f>
        <v>0</v>
      </c>
      <c r="L39" s="96">
        <v>0.23895</v>
      </c>
      <c r="M39" s="69">
        <f t="shared" si="2"/>
        <v>0</v>
      </c>
      <c r="P39" s="180"/>
      <c r="Q39" s="180"/>
    </row>
    <row r="40" spans="1:17" ht="15.75">
      <c r="A40" s="1" t="s">
        <v>73</v>
      </c>
      <c r="B40" s="130" t="s">
        <v>74</v>
      </c>
      <c r="C40" s="20">
        <v>501077.48</v>
      </c>
      <c r="D40" s="177"/>
      <c r="F40" s="73" t="s">
        <v>17</v>
      </c>
      <c r="G40" s="92">
        <f t="shared" si="4"/>
        <v>0</v>
      </c>
      <c r="H40" s="96">
        <v>0.23860000000000001</v>
      </c>
      <c r="I40" s="69">
        <f t="shared" si="3"/>
        <v>0</v>
      </c>
      <c r="J40" s="73" t="s">
        <v>19</v>
      </c>
      <c r="K40" s="92">
        <f>K27</f>
        <v>0</v>
      </c>
      <c r="L40" s="96">
        <v>0.23895</v>
      </c>
      <c r="M40" s="69">
        <f t="shared" si="2"/>
        <v>0</v>
      </c>
      <c r="P40" s="180"/>
      <c r="Q40" s="180"/>
    </row>
    <row r="41" spans="1:17" ht="15.75">
      <c r="A41" s="1" t="s">
        <v>90</v>
      </c>
      <c r="B41" s="125" t="s">
        <v>91</v>
      </c>
      <c r="C41" s="20">
        <v>70508.509999999995</v>
      </c>
      <c r="D41" s="177"/>
      <c r="F41" s="73" t="s">
        <v>18</v>
      </c>
      <c r="G41" s="92">
        <f t="shared" si="4"/>
        <v>348558</v>
      </c>
      <c r="H41" s="96">
        <v>0.23860000000000001</v>
      </c>
      <c r="I41" s="69">
        <f t="shared" si="3"/>
        <v>83165.938800000004</v>
      </c>
      <c r="J41" s="73" t="s">
        <v>20</v>
      </c>
      <c r="K41" s="92">
        <v>0</v>
      </c>
      <c r="L41" s="96">
        <v>0.23895</v>
      </c>
      <c r="M41" s="69">
        <f t="shared" si="2"/>
        <v>0</v>
      </c>
      <c r="P41" s="180"/>
      <c r="Q41" s="180"/>
    </row>
    <row r="42" spans="1:17" ht="16.5" thickBot="1">
      <c r="A42" s="1" t="s">
        <v>108</v>
      </c>
      <c r="B42" s="130" t="s">
        <v>109</v>
      </c>
      <c r="C42" s="20">
        <v>223276.34</v>
      </c>
      <c r="D42" s="2"/>
      <c r="F42" s="73" t="s">
        <v>19</v>
      </c>
      <c r="G42" s="92">
        <f t="shared" si="4"/>
        <v>26763</v>
      </c>
      <c r="H42" s="96">
        <v>0.23860000000000001</v>
      </c>
      <c r="I42" s="69">
        <f t="shared" si="3"/>
        <v>6385.6518000000005</v>
      </c>
      <c r="J42" s="73" t="s">
        <v>21</v>
      </c>
      <c r="K42" s="123">
        <v>0</v>
      </c>
      <c r="L42" s="96">
        <v>0.23895</v>
      </c>
      <c r="M42" s="69">
        <f t="shared" si="2"/>
        <v>0</v>
      </c>
      <c r="P42" s="180"/>
      <c r="Q42" s="180"/>
    </row>
    <row r="43" spans="1:17" ht="16.5" thickBot="1">
      <c r="A43" s="14" t="s">
        <v>65</v>
      </c>
      <c r="B43" s="4"/>
      <c r="C43" s="176">
        <f>SUM(C37:C42)</f>
        <v>7458013.75</v>
      </c>
      <c r="D43" s="177"/>
      <c r="F43" s="73" t="s">
        <v>20</v>
      </c>
      <c r="G43" s="92">
        <f t="shared" si="4"/>
        <v>0</v>
      </c>
      <c r="H43" s="96">
        <v>0.23860000000000001</v>
      </c>
      <c r="I43" s="69">
        <f t="shared" si="3"/>
        <v>0</v>
      </c>
      <c r="J43" s="72" t="s">
        <v>75</v>
      </c>
      <c r="K43" s="54">
        <f>SUM(K36:K42)</f>
        <v>2509124</v>
      </c>
      <c r="L43" s="55"/>
      <c r="M43" s="70">
        <f>SUM(M36:M42)</f>
        <v>599555.17979999993</v>
      </c>
    </row>
    <row r="44" spans="1:17" ht="16.5" thickBot="1">
      <c r="A44" s="181" t="s">
        <v>107</v>
      </c>
      <c r="B44" s="182" t="s">
        <v>62</v>
      </c>
      <c r="C44" s="20">
        <v>-2859927.24</v>
      </c>
      <c r="D44" s="2"/>
      <c r="F44" s="73" t="s">
        <v>21</v>
      </c>
      <c r="G44" s="92">
        <f t="shared" si="4"/>
        <v>31578</v>
      </c>
      <c r="H44" s="96">
        <v>0.23860000000000001</v>
      </c>
      <c r="I44" s="69">
        <f t="shared" si="3"/>
        <v>7534.5108</v>
      </c>
      <c r="J44" s="67"/>
      <c r="K44" s="86">
        <v>2509124</v>
      </c>
      <c r="L44" s="62" t="s">
        <v>48</v>
      </c>
      <c r="M44" s="83">
        <f>M43/K43</f>
        <v>0.23894999999999997</v>
      </c>
    </row>
    <row r="45" spans="1:17" ht="16.5" thickBot="1">
      <c r="A45" s="79" t="s">
        <v>101</v>
      </c>
      <c r="B45" s="125" t="s">
        <v>57</v>
      </c>
      <c r="C45" s="20">
        <v>0</v>
      </c>
      <c r="D45" s="178"/>
      <c r="F45" s="72" t="s">
        <v>75</v>
      </c>
      <c r="G45" s="54">
        <f>SUM(G37:G44)</f>
        <v>5723368</v>
      </c>
      <c r="H45" s="55"/>
      <c r="I45" s="70">
        <f>SUM(I37:I44)</f>
        <v>1365595.6048000001</v>
      </c>
      <c r="J45" s="14"/>
      <c r="K45" s="85"/>
      <c r="L45" s="60"/>
      <c r="M45" s="117"/>
    </row>
    <row r="46" spans="1:17" ht="19.5" customHeight="1" thickTop="1" thickBot="1">
      <c r="A46" s="79" t="s">
        <v>102</v>
      </c>
      <c r="B46" s="125" t="s">
        <v>57</v>
      </c>
      <c r="C46" s="20">
        <v>0</v>
      </c>
      <c r="D46" s="179"/>
      <c r="F46" s="61"/>
      <c r="G46" s="86">
        <v>5723368</v>
      </c>
      <c r="H46" s="62" t="s">
        <v>48</v>
      </c>
      <c r="I46" s="81">
        <f>I45/G45</f>
        <v>0.23860000000000001</v>
      </c>
      <c r="J46" s="14"/>
      <c r="K46" s="85"/>
      <c r="L46" s="60"/>
      <c r="M46" s="117"/>
    </row>
    <row r="47" spans="1:17" ht="19.5" customHeight="1">
      <c r="A47" s="95" t="s">
        <v>79</v>
      </c>
      <c r="B47" s="125" t="s">
        <v>57</v>
      </c>
      <c r="C47" s="20">
        <v>0</v>
      </c>
      <c r="D47" s="177"/>
      <c r="G47" s="84">
        <f>G45-G46</f>
        <v>0</v>
      </c>
      <c r="J47" s="21"/>
      <c r="K47" s="84">
        <f>K43-K44</f>
        <v>0</v>
      </c>
      <c r="M47" s="21"/>
    </row>
    <row r="48" spans="1:17" ht="16.5" thickBot="1">
      <c r="A48" s="79" t="s">
        <v>155</v>
      </c>
      <c r="B48" s="125" t="s">
        <v>57</v>
      </c>
      <c r="C48" s="20">
        <v>7000</v>
      </c>
      <c r="D48" s="177"/>
      <c r="J48" s="21"/>
      <c r="K48" s="18"/>
      <c r="M48" s="13"/>
    </row>
    <row r="49" spans="1:21" ht="15.75">
      <c r="A49" s="1" t="s">
        <v>72</v>
      </c>
      <c r="B49" s="130" t="s">
        <v>89</v>
      </c>
      <c r="C49" s="20">
        <v>22597.94</v>
      </c>
      <c r="D49" s="177"/>
      <c r="G49" s="18"/>
      <c r="H49" s="25" t="s">
        <v>13</v>
      </c>
      <c r="I49" s="5" t="s">
        <v>13</v>
      </c>
      <c r="J49" s="5" t="s">
        <v>25</v>
      </c>
      <c r="K49" s="23" t="s">
        <v>32</v>
      </c>
      <c r="L49" s="21"/>
    </row>
    <row r="50" spans="1:21" ht="16.5" thickBot="1">
      <c r="A50" s="1" t="s">
        <v>121</v>
      </c>
      <c r="B50" s="130" t="s">
        <v>89</v>
      </c>
      <c r="C50" s="20">
        <v>623.04</v>
      </c>
      <c r="D50" s="177"/>
      <c r="F50" s="9" t="s">
        <v>35</v>
      </c>
      <c r="H50" s="26" t="s">
        <v>0</v>
      </c>
      <c r="I50" s="27" t="s">
        <v>1</v>
      </c>
      <c r="J50" s="27" t="s">
        <v>0</v>
      </c>
      <c r="K50" s="24" t="s">
        <v>1</v>
      </c>
    </row>
    <row r="51" spans="1:21" ht="15.75">
      <c r="A51" s="1" t="s">
        <v>159</v>
      </c>
      <c r="B51" s="130" t="s">
        <v>89</v>
      </c>
      <c r="C51" s="20">
        <v>9312.73</v>
      </c>
      <c r="D51" s="177"/>
      <c r="H51" s="30"/>
      <c r="I51" s="31"/>
      <c r="J51" s="31"/>
      <c r="K51" s="31"/>
      <c r="L51" s="22" t="s">
        <v>49</v>
      </c>
    </row>
    <row r="52" spans="1:21" ht="15.75">
      <c r="A52" s="42" t="s">
        <v>60</v>
      </c>
      <c r="B52" s="125"/>
      <c r="C52" s="17">
        <f>-C33</f>
        <v>53436.43</v>
      </c>
      <c r="D52" s="174"/>
      <c r="F52" s="95" t="s">
        <v>78</v>
      </c>
      <c r="H52" s="80">
        <f>K12</f>
        <v>-1413567.9838399997</v>
      </c>
      <c r="I52" s="19">
        <f>I14</f>
        <v>1556494.1050409998</v>
      </c>
      <c r="J52" s="19">
        <f>L12</f>
        <v>-605472.89615999965</v>
      </c>
      <c r="K52" s="19">
        <f>J14</f>
        <v>650359.86495899991</v>
      </c>
      <c r="L52" s="28">
        <f>SUM(H52:K52)</f>
        <v>187813.09000000043</v>
      </c>
    </row>
    <row r="53" spans="1:21" ht="16.5" thickBot="1">
      <c r="A53" s="95" t="s">
        <v>166</v>
      </c>
      <c r="B53" s="130" t="s">
        <v>167</v>
      </c>
      <c r="C53" s="20">
        <v>34777.67</v>
      </c>
      <c r="D53" s="174"/>
      <c r="F53" s="95" t="s">
        <v>51</v>
      </c>
      <c r="H53" s="80">
        <f>-I45</f>
        <v>-1365595.6048000001</v>
      </c>
      <c r="I53" s="19">
        <f>-I32</f>
        <v>-703273.62785999989</v>
      </c>
      <c r="J53" s="19">
        <f>-M43</f>
        <v>-599555.17979999993</v>
      </c>
      <c r="K53" s="19">
        <f>-M28</f>
        <v>-284308.84044</v>
      </c>
      <c r="L53" s="90">
        <f>SUM(H53:K53)</f>
        <v>-2952733.2528999997</v>
      </c>
    </row>
    <row r="54" spans="1:21" ht="16.5" thickBot="1">
      <c r="A54" s="95" t="s">
        <v>66</v>
      </c>
      <c r="B54" s="125" t="s">
        <v>153</v>
      </c>
      <c r="C54" s="20">
        <v>-6452671.0199999996</v>
      </c>
      <c r="D54" s="177"/>
      <c r="F54" s="95" t="s">
        <v>37</v>
      </c>
      <c r="H54" s="87">
        <v>0</v>
      </c>
      <c r="I54" s="88">
        <v>0</v>
      </c>
      <c r="J54" s="88">
        <v>0</v>
      </c>
      <c r="K54" s="89">
        <v>0</v>
      </c>
      <c r="L54" s="183">
        <f>SUM(L52:L53)</f>
        <v>-2764920.1628999994</v>
      </c>
    </row>
    <row r="55" spans="1:21" ht="16.5" thickBot="1">
      <c r="A55" s="95" t="s">
        <v>163</v>
      </c>
      <c r="B55" s="125" t="s">
        <v>119</v>
      </c>
      <c r="C55" s="20">
        <v>-375000</v>
      </c>
      <c r="D55" s="177"/>
      <c r="F55" s="95" t="s">
        <v>33</v>
      </c>
      <c r="H55" s="176">
        <f>IFERROR(H52+H53+H54,0)</f>
        <v>-2779163.5886399997</v>
      </c>
      <c r="I55" s="176">
        <f>I52+I53+I54</f>
        <v>853220.47718099994</v>
      </c>
      <c r="J55" s="176">
        <f>IFERROR(J52+J53+J54,0)</f>
        <v>-1205028.0759599996</v>
      </c>
      <c r="K55" s="176">
        <f>K52+K53+K54</f>
        <v>366051.02451899991</v>
      </c>
      <c r="L55" s="184">
        <f>SUM(H55:K55)</f>
        <v>-2764920.1628999994</v>
      </c>
    </row>
    <row r="56" spans="1:21" ht="16.5" thickBot="1">
      <c r="A56" s="185" t="s">
        <v>61</v>
      </c>
      <c r="B56" s="182"/>
      <c r="C56" s="34">
        <f>SUM(C43:C55)</f>
        <v>-2101836.6999999993</v>
      </c>
      <c r="D56" s="177"/>
      <c r="F56" s="186" t="s">
        <v>111</v>
      </c>
      <c r="H56" s="95" t="s">
        <v>103</v>
      </c>
      <c r="I56" s="1">
        <f>SUM(H55:I55)</f>
        <v>-1925943.1114589998</v>
      </c>
      <c r="J56" s="12" t="s">
        <v>104</v>
      </c>
      <c r="K56" s="95">
        <f>SUM(J55:K55)</f>
        <v>-838977.05144099961</v>
      </c>
      <c r="L56" s="187">
        <f>ROUND(L54-L55,3)</f>
        <v>0</v>
      </c>
      <c r="T56" s="188"/>
    </row>
    <row r="57" spans="1:21" ht="16.5" thickTop="1">
      <c r="A57" s="95" t="s">
        <v>63</v>
      </c>
      <c r="B57" s="125" t="s">
        <v>57</v>
      </c>
      <c r="C57" s="20">
        <v>47628.89</v>
      </c>
      <c r="D57" s="177"/>
      <c r="F57" s="189" t="s">
        <v>111</v>
      </c>
      <c r="H57" s="190"/>
    </row>
    <row r="58" spans="1:21" ht="16.5" thickBot="1">
      <c r="A58" s="95" t="s">
        <v>64</v>
      </c>
      <c r="B58" s="125" t="s">
        <v>57</v>
      </c>
      <c r="C58" s="20">
        <v>35166.93</v>
      </c>
      <c r="D58" s="177"/>
      <c r="F58" s="189" t="s">
        <v>112</v>
      </c>
      <c r="H58" s="178"/>
      <c r="I58" s="191"/>
      <c r="J58" s="191"/>
      <c r="K58" s="192"/>
      <c r="L58" s="191"/>
    </row>
    <row r="59" spans="1:21" ht="16.5" thickBot="1">
      <c r="A59" s="9" t="s">
        <v>67</v>
      </c>
      <c r="B59" s="9"/>
      <c r="C59" s="34">
        <f>SUM(C56:C58)</f>
        <v>-2019040.8799999994</v>
      </c>
      <c r="D59" s="177"/>
      <c r="F59" s="193" t="s">
        <v>154</v>
      </c>
      <c r="G59" s="108" t="str">
        <f>IF(OR(AND(I56&gt;0,K56&gt;0),AND(I56&lt;0,K56&lt;0)),"OK","ERROR")</f>
        <v>OK</v>
      </c>
      <c r="H59" s="30" t="s">
        <v>151</v>
      </c>
      <c r="I59" s="75"/>
    </row>
    <row r="60" spans="1:21" ht="17.25" thickTop="1" thickBot="1">
      <c r="A60" s="9"/>
      <c r="C60" s="120"/>
      <c r="D60" s="177"/>
      <c r="H60" s="33" t="s">
        <v>105</v>
      </c>
      <c r="I60" s="194" t="s">
        <v>106</v>
      </c>
      <c r="J60" s="1"/>
    </row>
    <row r="61" spans="1:21" ht="16.5" thickBot="1">
      <c r="A61" s="29"/>
      <c r="B61" s="29" t="s">
        <v>45</v>
      </c>
      <c r="C61" s="176">
        <f>C59+C34</f>
        <v>187813.09000000032</v>
      </c>
      <c r="D61" s="177"/>
      <c r="H61" s="94"/>
      <c r="I61" s="98"/>
      <c r="J61" s="95">
        <f>H53+I53+J53+K53</f>
        <v>-2952733.2528999997</v>
      </c>
    </row>
    <row r="62" spans="1:21" ht="15.75">
      <c r="A62" s="9"/>
      <c r="B62" s="29" t="s">
        <v>94</v>
      </c>
      <c r="C62" s="126">
        <v>187813.09</v>
      </c>
      <c r="D62" s="2"/>
      <c r="G62" s="1"/>
      <c r="I62" s="17"/>
      <c r="N62" s="1"/>
      <c r="O62" s="1"/>
      <c r="P62" s="195"/>
    </row>
    <row r="63" spans="1:21" ht="15.75">
      <c r="A63" s="29"/>
      <c r="B63" s="29" t="s">
        <v>93</v>
      </c>
      <c r="C63" s="17">
        <f>ROUND(C61-C62,2)</f>
        <v>0</v>
      </c>
      <c r="S63" s="125"/>
    </row>
    <row r="64" spans="1:21" ht="15.75">
      <c r="A64" s="15"/>
      <c r="C64" s="196"/>
      <c r="D64" s="177"/>
      <c r="N64" s="42"/>
      <c r="U64" s="9"/>
    </row>
    <row r="65" spans="1:21" ht="15.75">
      <c r="A65" s="15"/>
      <c r="C65" s="2"/>
      <c r="D65" s="197"/>
      <c r="N65" s="42"/>
      <c r="S65" s="198"/>
    </row>
    <row r="66" spans="1:21" ht="15.75">
      <c r="A66" s="9"/>
      <c r="C66" s="2"/>
      <c r="D66" s="177"/>
      <c r="N66" s="42"/>
      <c r="S66" s="199"/>
    </row>
    <row r="67" spans="1:21">
      <c r="C67" s="17"/>
      <c r="D67" s="177"/>
      <c r="N67" s="42"/>
      <c r="S67" s="200"/>
    </row>
    <row r="68" spans="1:21">
      <c r="D68" s="177"/>
      <c r="N68" s="42"/>
      <c r="S68" s="199"/>
    </row>
    <row r="69" spans="1:21">
      <c r="D69" s="177"/>
      <c r="N69" s="42"/>
    </row>
    <row r="70" spans="1:21">
      <c r="D70" s="2"/>
      <c r="N70" s="42"/>
      <c r="S70" s="201"/>
    </row>
    <row r="71" spans="1:21">
      <c r="D71" s="177"/>
    </row>
    <row r="72" spans="1:21">
      <c r="D72" s="177"/>
    </row>
    <row r="73" spans="1:21">
      <c r="D73" s="177"/>
      <c r="S73" s="202"/>
    </row>
    <row r="74" spans="1:21">
      <c r="D74" s="64"/>
      <c r="R74" s="125"/>
      <c r="S74" s="125"/>
      <c r="T74" s="125"/>
    </row>
    <row r="76" spans="1:21">
      <c r="U76" s="203"/>
    </row>
    <row r="1477" spans="3:3">
      <c r="C1477" s="95">
        <v>-2130</v>
      </c>
    </row>
    <row r="1485" spans="3:3">
      <c r="C1485" s="95">
        <f>7004298-2130</f>
        <v>7002168</v>
      </c>
    </row>
  </sheetData>
  <mergeCells count="3">
    <mergeCell ref="F18:I18"/>
    <mergeCell ref="J18:M18"/>
    <mergeCell ref="K35:M35"/>
  </mergeCells>
  <conditionalFormatting sqref="C63 L56 I62">
    <cfRule type="cellIs" dxfId="74" priority="7" stopIfTrue="1" operator="equal">
      <formula>0</formula>
    </cfRule>
    <cfRule type="cellIs" dxfId="73" priority="8" stopIfTrue="1" operator="notEqual">
      <formula>0</formula>
    </cfRule>
  </conditionalFormatting>
  <conditionalFormatting sqref="G34 G47 K30 K47">
    <cfRule type="cellIs" dxfId="72" priority="6" operator="notEqual">
      <formula>0</formula>
    </cfRule>
  </conditionalFormatting>
  <conditionalFormatting sqref="C63">
    <cfRule type="cellIs" dxfId="71" priority="4" stopIfTrue="1" operator="equal">
      <formula>0</formula>
    </cfRule>
    <cfRule type="cellIs" dxfId="70" priority="5" stopIfTrue="1" operator="notEqual">
      <formula>0</formula>
    </cfRule>
  </conditionalFormatting>
  <conditionalFormatting sqref="K30">
    <cfRule type="cellIs" dxfId="69" priority="3" operator="notEqual">
      <formula>0</formula>
    </cfRule>
  </conditionalFormatting>
  <conditionalFormatting sqref="G59">
    <cfRule type="cellIs" dxfId="68" priority="2" operator="equal">
      <formula>"ERROR"</formula>
    </cfRule>
  </conditionalFormatting>
  <conditionalFormatting sqref="G59">
    <cfRule type="cellIs" dxfId="67" priority="1" operator="equal">
      <formula>"ERROR"</formula>
    </cfRule>
  </conditionalFormatting>
  <printOptions verticalCentered="1" gridLinesSet="0"/>
  <pageMargins left="0.5" right="0" top="0.25" bottom="0.5" header="0" footer="0.25"/>
  <pageSetup scale="47" orientation="landscape" cellComments="asDisplayed" r:id="rId1"/>
  <headerFooter alignWithMargins="0">
    <oddFooter>&amp;L&amp;F&amp;C&amp;A&amp;R&amp;D&amp;T</oddFooter>
  </headerFooter>
  <customProperties>
    <customPr name="xxe4aPID" r:id="rId2"/>
  </customProperties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tabColor rgb="FF00CC66"/>
    <pageSetUpPr fitToPage="1"/>
  </sheetPr>
  <dimension ref="A1:U1485"/>
  <sheetViews>
    <sheetView showGridLines="0" tabSelected="1" topLeftCell="A16" zoomScale="70" zoomScaleNormal="70" workbookViewId="0">
      <selection activeCell="X1" sqref="X1:X1048576"/>
    </sheetView>
  </sheetViews>
  <sheetFormatPr defaultColWidth="16" defaultRowHeight="15"/>
  <cols>
    <col min="1" max="1" width="44.85546875" style="95" customWidth="1"/>
    <col min="2" max="2" width="25.5703125" style="95" customWidth="1"/>
    <col min="3" max="3" width="25.28515625" style="95" customWidth="1"/>
    <col min="4" max="4" width="2.7109375" style="95" customWidth="1"/>
    <col min="5" max="5" width="4.28515625" style="95" customWidth="1"/>
    <col min="6" max="6" width="26.7109375" style="95" customWidth="1"/>
    <col min="7" max="7" width="19" style="95" customWidth="1"/>
    <col min="8" max="8" width="22" style="95" customWidth="1"/>
    <col min="9" max="9" width="20.42578125" style="95" customWidth="1"/>
    <col min="10" max="10" width="26.28515625" style="95" customWidth="1"/>
    <col min="11" max="11" width="21.85546875" style="95" bestFit="1" customWidth="1"/>
    <col min="12" max="12" width="23.85546875" style="95" customWidth="1"/>
    <col min="13" max="13" width="20.85546875" style="95" bestFit="1" customWidth="1"/>
    <col min="14" max="15" width="16" style="95"/>
    <col min="16" max="16" width="16.28515625" style="95" bestFit="1" customWidth="1"/>
    <col min="17" max="16384" width="16" style="95"/>
  </cols>
  <sheetData>
    <row r="1" spans="1:12" ht="16.5" thickBot="1">
      <c r="A1" s="172" t="s">
        <v>26</v>
      </c>
      <c r="B1" s="173"/>
      <c r="C1" s="107">
        <f>[5]Sep!C1+1</f>
        <v>201710</v>
      </c>
      <c r="F1" s="107">
        <f>C1</f>
        <v>201710</v>
      </c>
      <c r="H1" s="35" t="s">
        <v>31</v>
      </c>
      <c r="I1" s="22" t="s">
        <v>1</v>
      </c>
      <c r="J1" s="22" t="s">
        <v>1</v>
      </c>
      <c r="K1" s="22" t="s">
        <v>28</v>
      </c>
      <c r="L1" s="22" t="s">
        <v>28</v>
      </c>
    </row>
    <row r="2" spans="1:12" ht="15.75">
      <c r="C2" s="6"/>
      <c r="H2" s="36" t="s">
        <v>10</v>
      </c>
      <c r="I2" s="37" t="s">
        <v>27</v>
      </c>
      <c r="J2" s="37" t="s">
        <v>27</v>
      </c>
      <c r="K2" s="37" t="s">
        <v>29</v>
      </c>
      <c r="L2" s="37" t="s">
        <v>29</v>
      </c>
    </row>
    <row r="3" spans="1:12" ht="16.5" thickBot="1">
      <c r="A3" s="10" t="s">
        <v>52</v>
      </c>
      <c r="C3" s="7"/>
      <c r="D3" s="174"/>
      <c r="F3" s="9" t="s">
        <v>34</v>
      </c>
      <c r="H3" s="38" t="s">
        <v>30</v>
      </c>
      <c r="I3" s="38" t="s">
        <v>13</v>
      </c>
      <c r="J3" s="38" t="s">
        <v>25</v>
      </c>
      <c r="K3" s="38" t="s">
        <v>13</v>
      </c>
      <c r="L3" s="38" t="s">
        <v>25</v>
      </c>
    </row>
    <row r="4" spans="1:12" ht="15.75">
      <c r="A4" s="95" t="s">
        <v>38</v>
      </c>
      <c r="C4" s="20">
        <v>4598122.63</v>
      </c>
      <c r="D4" s="6"/>
      <c r="H4" s="3"/>
    </row>
    <row r="5" spans="1:12" ht="14.25" customHeight="1">
      <c r="A5" s="95" t="s">
        <v>9</v>
      </c>
      <c r="C5" s="20">
        <f>44271.01-335.72</f>
        <v>43935.29</v>
      </c>
      <c r="D5" s="6"/>
      <c r="H5" s="3"/>
      <c r="I5" s="175">
        <v>0.70530000000000004</v>
      </c>
      <c r="J5" s="175">
        <v>0.29470000000000002</v>
      </c>
      <c r="K5" s="97">
        <f>ROUND(G45/(G45+K43),4)</f>
        <v>0.65280000000000005</v>
      </c>
      <c r="L5" s="97">
        <f>1-K5</f>
        <v>0.34719999999999995</v>
      </c>
    </row>
    <row r="6" spans="1:12" ht="16.5" thickBot="1">
      <c r="A6" s="8" t="s">
        <v>8</v>
      </c>
      <c r="C6" s="116">
        <f>-2343063.08-444850-127100-142987.5-81979.5-102391.76</f>
        <v>-3242371.84</v>
      </c>
      <c r="D6" s="6"/>
    </row>
    <row r="7" spans="1:12" ht="16.5" thickBot="1">
      <c r="A7" s="12" t="s">
        <v>82</v>
      </c>
      <c r="C7" s="17">
        <f>SUM(C4:C6)</f>
        <v>1399686.08</v>
      </c>
      <c r="D7" s="7"/>
      <c r="F7" s="39" t="s">
        <v>81</v>
      </c>
      <c r="G7" s="39"/>
      <c r="H7" s="176">
        <f>C34</f>
        <v>2275593.7600000007</v>
      </c>
      <c r="I7" s="40">
        <f>H7*I5</f>
        <v>1604976.2789280005</v>
      </c>
      <c r="J7" s="40">
        <f>H7*J5</f>
        <v>670617.48107200023</v>
      </c>
      <c r="K7" s="40"/>
      <c r="L7" s="40"/>
    </row>
    <row r="8" spans="1:12" ht="15.75">
      <c r="A8" s="95" t="s">
        <v>39</v>
      </c>
      <c r="C8" s="20">
        <v>252729.32</v>
      </c>
      <c r="D8" s="7"/>
      <c r="H8" s="41"/>
      <c r="I8" s="41"/>
      <c r="J8" s="41"/>
      <c r="K8" s="41"/>
      <c r="L8" s="41"/>
    </row>
    <row r="9" spans="1:12" ht="15.75">
      <c r="A9" s="95" t="s">
        <v>40</v>
      </c>
      <c r="C9" s="20">
        <f>7767.77</f>
        <v>7767.77</v>
      </c>
      <c r="D9" s="177"/>
      <c r="F9" s="39" t="s">
        <v>61</v>
      </c>
      <c r="H9" s="40">
        <f>C56</f>
        <v>21894.780000001192</v>
      </c>
      <c r="I9" s="40"/>
      <c r="J9" s="40"/>
      <c r="K9" s="40">
        <f>H9*K5</f>
        <v>14292.91238400078</v>
      </c>
      <c r="L9" s="40">
        <f>H9*L5</f>
        <v>7601.8676160004125</v>
      </c>
    </row>
    <row r="10" spans="1:12" ht="15.75">
      <c r="A10" s="8" t="s">
        <v>41</v>
      </c>
      <c r="C10" s="116">
        <v>-3418.47</v>
      </c>
      <c r="D10" s="177"/>
      <c r="F10" s="42" t="s">
        <v>22</v>
      </c>
      <c r="H10" s="40">
        <f>C57</f>
        <v>104499.94</v>
      </c>
      <c r="I10" s="40"/>
      <c r="J10" s="40"/>
      <c r="K10" s="40">
        <f>H10</f>
        <v>104499.94</v>
      </c>
      <c r="L10" s="40"/>
    </row>
    <row r="11" spans="1:12">
      <c r="A11" s="12" t="s">
        <v>83</v>
      </c>
      <c r="C11" s="17">
        <f>SUM(C8:C10)</f>
        <v>257078.62</v>
      </c>
      <c r="D11" s="177"/>
      <c r="F11" s="42" t="s">
        <v>23</v>
      </c>
      <c r="H11" s="43">
        <f>C58</f>
        <v>52075.57</v>
      </c>
      <c r="I11" s="40"/>
      <c r="J11" s="40"/>
      <c r="K11" s="43"/>
      <c r="L11" s="43">
        <f>H11</f>
        <v>52075.57</v>
      </c>
    </row>
    <row r="12" spans="1:12" ht="15.75">
      <c r="A12" s="95" t="s">
        <v>98</v>
      </c>
      <c r="C12" s="20">
        <f>184258.8-2631.9</f>
        <v>181626.9</v>
      </c>
      <c r="D12" s="177"/>
      <c r="F12" s="42" t="s">
        <v>80</v>
      </c>
      <c r="H12" s="40">
        <f>H9+H10+H11</f>
        <v>178470.2900000012</v>
      </c>
      <c r="I12" s="40"/>
      <c r="J12" s="40"/>
      <c r="K12" s="40">
        <f>SUM(K9:K11)</f>
        <v>118792.85238400078</v>
      </c>
      <c r="L12" s="40">
        <f>SUM(L9:L11)</f>
        <v>59677.43761600041</v>
      </c>
    </row>
    <row r="13" spans="1:12" ht="16.5" thickBot="1">
      <c r="A13" s="8" t="s">
        <v>99</v>
      </c>
      <c r="C13" s="116">
        <v>0</v>
      </c>
      <c r="D13" s="177"/>
      <c r="F13" s="44"/>
      <c r="G13" s="45"/>
      <c r="H13" s="46"/>
      <c r="I13" s="47"/>
      <c r="J13" s="46"/>
      <c r="K13" s="41"/>
      <c r="L13" s="46"/>
    </row>
    <row r="14" spans="1:12" ht="16.5" thickBot="1">
      <c r="A14" s="12" t="s">
        <v>42</v>
      </c>
      <c r="C14" s="17">
        <f>SUM(C12:C13)</f>
        <v>181626.9</v>
      </c>
      <c r="D14" s="2"/>
      <c r="F14" s="9" t="s">
        <v>31</v>
      </c>
      <c r="G14" s="48"/>
      <c r="H14" s="176">
        <f>H12+H7</f>
        <v>2454064.0500000017</v>
      </c>
      <c r="I14" s="49">
        <f>SUM(I7:I13)</f>
        <v>1604976.2789280005</v>
      </c>
      <c r="J14" s="49">
        <f>SUM(J7:J13)</f>
        <v>670617.48107200023</v>
      </c>
      <c r="K14" s="49">
        <f>K12</f>
        <v>118792.85238400078</v>
      </c>
      <c r="L14" s="49">
        <f>L12</f>
        <v>59677.43761600041</v>
      </c>
    </row>
    <row r="15" spans="1:12" ht="15.75">
      <c r="A15" s="95" t="s">
        <v>113</v>
      </c>
      <c r="C15" s="20">
        <f>430552.37-6149.4</f>
        <v>424402.97</v>
      </c>
      <c r="D15" s="177"/>
      <c r="F15" s="44"/>
      <c r="G15" s="45" t="s">
        <v>48</v>
      </c>
      <c r="H15" s="46">
        <f>H14-C61</f>
        <v>0</v>
      </c>
      <c r="I15" s="50"/>
      <c r="J15" s="46">
        <f>J7+I7-H7</f>
        <v>0</v>
      </c>
      <c r="L15" s="46">
        <f>H12-K14-L14</f>
        <v>0</v>
      </c>
    </row>
    <row r="16" spans="1:12" ht="15.75">
      <c r="A16" s="8" t="s">
        <v>114</v>
      </c>
      <c r="C16" s="116">
        <v>0</v>
      </c>
      <c r="D16" s="177"/>
      <c r="F16" s="51"/>
      <c r="G16" s="45"/>
      <c r="H16" s="52"/>
      <c r="I16" s="53"/>
      <c r="J16" s="52"/>
      <c r="L16" s="52"/>
    </row>
    <row r="17" spans="1:13" ht="15.75" thickBot="1">
      <c r="A17" s="12" t="s">
        <v>115</v>
      </c>
      <c r="C17" s="17">
        <f>SUM(C15:C16)</f>
        <v>424402.97</v>
      </c>
      <c r="D17" s="2"/>
      <c r="F17" s="44"/>
      <c r="G17" s="45"/>
      <c r="H17" s="52"/>
      <c r="I17" s="53"/>
      <c r="J17" s="56"/>
      <c r="L17" s="52"/>
    </row>
    <row r="18" spans="1:13" ht="16.5" thickBot="1">
      <c r="A18" s="95" t="s">
        <v>96</v>
      </c>
      <c r="C18" s="20">
        <f>10084.1+62632.24-1041.77</f>
        <v>71674.569999999992</v>
      </c>
      <c r="D18" s="177"/>
      <c r="F18" s="204" t="s">
        <v>76</v>
      </c>
      <c r="G18" s="205"/>
      <c r="H18" s="205"/>
      <c r="I18" s="206"/>
      <c r="J18" s="204" t="s">
        <v>77</v>
      </c>
      <c r="K18" s="205"/>
      <c r="L18" s="205"/>
      <c r="M18" s="206"/>
    </row>
    <row r="19" spans="1:13" ht="15.75">
      <c r="A19" s="8" t="s">
        <v>97</v>
      </c>
      <c r="C19" s="116">
        <v>-7230.95</v>
      </c>
      <c r="D19" s="177"/>
      <c r="F19" s="74" t="s">
        <v>50</v>
      </c>
      <c r="G19" s="37" t="s">
        <v>11</v>
      </c>
      <c r="H19" s="37" t="s">
        <v>11</v>
      </c>
      <c r="I19" s="37" t="s">
        <v>11</v>
      </c>
      <c r="J19" s="74" t="s">
        <v>50</v>
      </c>
      <c r="K19" s="37" t="s">
        <v>11</v>
      </c>
      <c r="L19" s="37" t="s">
        <v>11</v>
      </c>
      <c r="M19" s="58" t="s">
        <v>11</v>
      </c>
    </row>
    <row r="20" spans="1:13" ht="16.5" thickBot="1">
      <c r="A20" s="11" t="s">
        <v>43</v>
      </c>
      <c r="C20" s="17">
        <f>SUM(C18:C19)</f>
        <v>64443.619999999995</v>
      </c>
      <c r="D20" s="177"/>
      <c r="F20" s="68" t="s">
        <v>95</v>
      </c>
      <c r="G20" s="38" t="s">
        <v>47</v>
      </c>
      <c r="H20" s="38" t="s">
        <v>14</v>
      </c>
      <c r="I20" s="38" t="s">
        <v>12</v>
      </c>
      <c r="J20" s="68" t="s">
        <v>95</v>
      </c>
      <c r="K20" s="38" t="s">
        <v>47</v>
      </c>
      <c r="L20" s="38" t="s">
        <v>14</v>
      </c>
      <c r="M20" s="38" t="s">
        <v>12</v>
      </c>
    </row>
    <row r="21" spans="1:13" ht="15.75">
      <c r="A21" s="8" t="s">
        <v>87</v>
      </c>
      <c r="C21" s="116">
        <f>1850-118.03</f>
        <v>1731.97</v>
      </c>
      <c r="D21" s="177"/>
      <c r="F21" s="57"/>
      <c r="G21" s="4"/>
      <c r="H21" s="4"/>
      <c r="I21" s="58"/>
      <c r="J21" s="25"/>
      <c r="K21" s="5"/>
      <c r="L21" s="5"/>
      <c r="M21" s="75"/>
    </row>
    <row r="22" spans="1:13" ht="18" customHeight="1">
      <c r="A22" s="11" t="s">
        <v>87</v>
      </c>
      <c r="C22" s="17">
        <f>SUM(C21)</f>
        <v>1731.97</v>
      </c>
      <c r="D22" s="177"/>
      <c r="F22" s="72" t="s">
        <v>68</v>
      </c>
      <c r="G22" s="1"/>
      <c r="H22" s="1"/>
      <c r="I22" s="16"/>
      <c r="J22" s="72" t="s">
        <v>68</v>
      </c>
      <c r="K22" s="1"/>
      <c r="L22" s="1"/>
      <c r="M22" s="16"/>
    </row>
    <row r="23" spans="1:13" ht="15.75">
      <c r="A23" s="76" t="s">
        <v>110</v>
      </c>
      <c r="C23" s="17">
        <v>0</v>
      </c>
      <c r="D23" s="177"/>
      <c r="F23" s="73" t="s">
        <v>15</v>
      </c>
      <c r="G23" s="91">
        <v>8835836</v>
      </c>
      <c r="H23" s="96">
        <v>0.12678</v>
      </c>
      <c r="I23" s="69">
        <f t="shared" ref="I23:I31" si="0">G23*H23</f>
        <v>1120207.2880800001</v>
      </c>
      <c r="J23" s="73" t="s">
        <v>15</v>
      </c>
      <c r="K23" s="91">
        <v>4795103</v>
      </c>
      <c r="L23" s="96">
        <v>0.11330999999999999</v>
      </c>
      <c r="M23" s="69">
        <f>K23*L23</f>
        <v>543333.12092999998</v>
      </c>
    </row>
    <row r="24" spans="1:13" ht="15.75">
      <c r="A24" s="76" t="s">
        <v>116</v>
      </c>
      <c r="C24" s="20">
        <v>0</v>
      </c>
      <c r="D24" s="177"/>
      <c r="F24" s="73" t="s">
        <v>156</v>
      </c>
      <c r="G24" s="91">
        <v>13952</v>
      </c>
      <c r="H24" s="96">
        <v>0.12678</v>
      </c>
      <c r="I24" s="69">
        <f t="shared" si="0"/>
        <v>1768.83456</v>
      </c>
      <c r="J24" s="73" t="s">
        <v>16</v>
      </c>
      <c r="K24" s="91">
        <v>1966749</v>
      </c>
      <c r="L24" s="96">
        <v>0.11330999999999999</v>
      </c>
      <c r="M24" s="69">
        <f t="shared" ref="M24:M27" si="1">K24*L24</f>
        <v>222852.32918999999</v>
      </c>
    </row>
    <row r="25" spans="1:13" ht="15.75">
      <c r="A25" s="76" t="s">
        <v>118</v>
      </c>
      <c r="C25" s="118">
        <v>0</v>
      </c>
      <c r="D25" s="177"/>
      <c r="F25" s="73" t="s">
        <v>16</v>
      </c>
      <c r="G25" s="91">
        <v>3629858</v>
      </c>
      <c r="H25" s="96">
        <v>0.11865000000000001</v>
      </c>
      <c r="I25" s="69">
        <f t="shared" si="0"/>
        <v>430682.65170000005</v>
      </c>
      <c r="J25" s="73" t="s">
        <v>17</v>
      </c>
      <c r="K25" s="91">
        <v>47715</v>
      </c>
      <c r="L25" s="96">
        <v>0.11330999999999999</v>
      </c>
      <c r="M25" s="69">
        <f t="shared" si="1"/>
        <v>5406.5866499999993</v>
      </c>
    </row>
    <row r="26" spans="1:13" ht="15.75">
      <c r="A26" s="77" t="s">
        <v>117</v>
      </c>
      <c r="C26" s="119">
        <v>0</v>
      </c>
      <c r="D26" s="177"/>
      <c r="F26" s="73" t="s">
        <v>17</v>
      </c>
      <c r="G26" s="91">
        <v>0</v>
      </c>
      <c r="H26" s="96">
        <v>0.11865000000000001</v>
      </c>
      <c r="I26" s="69">
        <f t="shared" si="0"/>
        <v>0</v>
      </c>
      <c r="J26" s="73" t="s">
        <v>18</v>
      </c>
      <c r="K26" s="91">
        <v>0</v>
      </c>
      <c r="L26" s="96">
        <v>0.11330999999999999</v>
      </c>
      <c r="M26" s="69">
        <f t="shared" si="1"/>
        <v>0</v>
      </c>
    </row>
    <row r="27" spans="1:13" ht="15.75">
      <c r="A27" s="11" t="s">
        <v>46</v>
      </c>
      <c r="C27" s="17">
        <f>SUM(C23:C26)</f>
        <v>0</v>
      </c>
      <c r="D27" s="177"/>
      <c r="F27" s="73" t="s">
        <v>18</v>
      </c>
      <c r="G27" s="91">
        <v>248414</v>
      </c>
      <c r="H27" s="96">
        <v>0.11541</v>
      </c>
      <c r="I27" s="69">
        <f t="shared" si="0"/>
        <v>28669.459739999998</v>
      </c>
      <c r="J27" s="73" t="s">
        <v>19</v>
      </c>
      <c r="K27" s="91">
        <v>0</v>
      </c>
      <c r="L27" s="96">
        <v>0.11330999999999999</v>
      </c>
      <c r="M27" s="69">
        <f t="shared" si="1"/>
        <v>0</v>
      </c>
    </row>
    <row r="28" spans="1:13" ht="16.5" thickBot="1">
      <c r="A28" s="78" t="s">
        <v>88</v>
      </c>
      <c r="C28" s="20">
        <v>0</v>
      </c>
      <c r="D28" s="2"/>
      <c r="F28" s="73" t="s">
        <v>19</v>
      </c>
      <c r="G28" s="91">
        <v>34226</v>
      </c>
      <c r="H28" s="96">
        <v>0.11541</v>
      </c>
      <c r="I28" s="69">
        <f t="shared" si="0"/>
        <v>3950.0226600000001</v>
      </c>
      <c r="J28" s="72" t="s">
        <v>69</v>
      </c>
      <c r="K28" s="54">
        <f>SUM(K23:K27)</f>
        <v>6809567</v>
      </c>
      <c r="L28" s="55"/>
      <c r="M28" s="70">
        <f>SUM(M23:M27)</f>
        <v>771592.03676999989</v>
      </c>
    </row>
    <row r="29" spans="1:13" ht="17.25" thickTop="1" thickBot="1">
      <c r="A29" s="78" t="s">
        <v>100</v>
      </c>
      <c r="C29" s="20">
        <v>0</v>
      </c>
      <c r="D29" s="177"/>
      <c r="F29" s="73" t="s">
        <v>20</v>
      </c>
      <c r="G29" s="91">
        <v>0</v>
      </c>
      <c r="H29" s="96">
        <v>7.4310000000000001E-2</v>
      </c>
      <c r="I29" s="69">
        <f t="shared" si="0"/>
        <v>0</v>
      </c>
      <c r="J29" s="72"/>
      <c r="K29" s="85">
        <v>6809567</v>
      </c>
      <c r="L29" s="60" t="s">
        <v>48</v>
      </c>
      <c r="M29" s="101">
        <f>M28/K28</f>
        <v>0.11330999999999998</v>
      </c>
    </row>
    <row r="30" spans="1:13" ht="16.5" thickBot="1">
      <c r="A30" s="9" t="s">
        <v>53</v>
      </c>
      <c r="C30" s="176">
        <f>C7+C11+C14+C17+C20+C22+C27+C28+C29</f>
        <v>2328970.1600000006</v>
      </c>
      <c r="D30" s="2"/>
      <c r="F30" s="73" t="s">
        <v>21</v>
      </c>
      <c r="G30" s="91">
        <v>40231</v>
      </c>
      <c r="H30" s="96">
        <v>7.4310000000000001E-2</v>
      </c>
      <c r="I30" s="69">
        <f t="shared" si="0"/>
        <v>2989.5656100000001</v>
      </c>
      <c r="J30" s="73"/>
      <c r="K30" s="84">
        <f>K28-K29</f>
        <v>0</v>
      </c>
      <c r="L30" s="55"/>
      <c r="M30" s="71"/>
    </row>
    <row r="31" spans="1:13" ht="15.75">
      <c r="A31" s="95" t="s">
        <v>54</v>
      </c>
      <c r="C31" s="20">
        <v>-8904.2900000000009</v>
      </c>
      <c r="D31" s="178"/>
      <c r="F31" s="73" t="s">
        <v>36</v>
      </c>
      <c r="G31" s="91">
        <v>3085921</v>
      </c>
      <c r="H31" s="96">
        <v>5.4000000000000001E-4</v>
      </c>
      <c r="I31" s="69">
        <f t="shared" si="0"/>
        <v>1666.39734</v>
      </c>
      <c r="J31" s="32"/>
      <c r="K31" s="1"/>
      <c r="L31" s="55"/>
      <c r="M31" s="71"/>
    </row>
    <row r="32" spans="1:13" ht="16.5" thickBot="1">
      <c r="A32" s="9" t="s">
        <v>58</v>
      </c>
      <c r="B32" s="9" t="s">
        <v>59</v>
      </c>
      <c r="C32" s="120">
        <f>C30+C31</f>
        <v>2320065.8700000006</v>
      </c>
      <c r="D32" s="179"/>
      <c r="F32" s="72" t="s">
        <v>69</v>
      </c>
      <c r="G32" s="54">
        <f>SUM(G23:G31)</f>
        <v>15888438</v>
      </c>
      <c r="H32" s="1"/>
      <c r="I32" s="70">
        <f>SUM(I23:I31)</f>
        <v>1589934.2196900002</v>
      </c>
      <c r="J32" s="65"/>
      <c r="K32" s="66"/>
      <c r="L32" s="1"/>
      <c r="M32" s="63"/>
    </row>
    <row r="33" spans="1:17" ht="17.25" thickTop="1" thickBot="1">
      <c r="A33" s="95" t="s">
        <v>55</v>
      </c>
      <c r="C33" s="120">
        <f>-C5-C9-C13-C16-C19</f>
        <v>-44472.11</v>
      </c>
      <c r="D33" s="177"/>
      <c r="F33" s="59"/>
      <c r="G33" s="85">
        <v>15888438</v>
      </c>
      <c r="H33" s="60" t="s">
        <v>48</v>
      </c>
      <c r="I33" s="82">
        <f>I32/G32</f>
        <v>0.10006862976020678</v>
      </c>
      <c r="J33" s="65"/>
      <c r="K33" s="66"/>
      <c r="L33" s="1"/>
      <c r="M33" s="16"/>
    </row>
    <row r="34" spans="1:17" ht="16.5" thickBot="1">
      <c r="A34" s="9" t="s">
        <v>56</v>
      </c>
      <c r="C34" s="176">
        <f>SUM(C32:C33)</f>
        <v>2275593.7600000007</v>
      </c>
      <c r="D34" s="177"/>
      <c r="F34" s="32"/>
      <c r="G34" s="84">
        <f>G32-G33</f>
        <v>0</v>
      </c>
      <c r="H34" s="1"/>
      <c r="I34" s="16"/>
      <c r="J34" s="65"/>
      <c r="K34" s="64"/>
      <c r="L34" s="1"/>
      <c r="M34" s="16"/>
    </row>
    <row r="35" spans="1:17" ht="18" customHeight="1">
      <c r="A35" s="9"/>
      <c r="C35" s="120"/>
      <c r="D35" s="177"/>
      <c r="F35" s="57"/>
      <c r="G35" s="4"/>
      <c r="H35" s="4"/>
      <c r="I35" s="58"/>
      <c r="J35" s="72" t="s">
        <v>70</v>
      </c>
      <c r="K35" s="207"/>
      <c r="L35" s="207"/>
      <c r="M35" s="208"/>
    </row>
    <row r="36" spans="1:17" ht="15.75">
      <c r="A36" s="3" t="s">
        <v>44</v>
      </c>
      <c r="B36" s="9"/>
      <c r="C36" s="17"/>
      <c r="D36" s="177"/>
      <c r="F36" s="72" t="s">
        <v>70</v>
      </c>
      <c r="G36" s="1"/>
      <c r="H36" s="1"/>
      <c r="I36" s="16"/>
      <c r="J36" s="73" t="s">
        <v>15</v>
      </c>
      <c r="K36" s="92">
        <f>K23</f>
        <v>4795103</v>
      </c>
      <c r="L36" s="96">
        <v>0.23895</v>
      </c>
      <c r="M36" s="69">
        <f t="shared" ref="M36:M42" si="2">K36*L36</f>
        <v>1145789.86185</v>
      </c>
      <c r="P36" s="180"/>
      <c r="Q36" s="180"/>
    </row>
    <row r="37" spans="1:17" ht="15.75">
      <c r="A37" s="1" t="s">
        <v>71</v>
      </c>
      <c r="B37" s="130" t="s">
        <v>57</v>
      </c>
      <c r="C37" s="20">
        <v>3301870.41</v>
      </c>
      <c r="D37" s="177"/>
      <c r="F37" s="73" t="s">
        <v>15</v>
      </c>
      <c r="G37" s="92">
        <f>G23</f>
        <v>8835836</v>
      </c>
      <c r="H37" s="96">
        <v>0.23860000000000001</v>
      </c>
      <c r="I37" s="69">
        <f>G37*H37</f>
        <v>2108230.4696</v>
      </c>
      <c r="J37" s="73" t="s">
        <v>16</v>
      </c>
      <c r="K37" s="92">
        <f>K24</f>
        <v>1966749</v>
      </c>
      <c r="L37" s="96">
        <v>0.23895</v>
      </c>
      <c r="M37" s="69">
        <f t="shared" si="2"/>
        <v>469954.67355000001</v>
      </c>
      <c r="P37" s="180"/>
      <c r="Q37" s="180"/>
    </row>
    <row r="38" spans="1:17" ht="15.75">
      <c r="A38" s="79" t="s">
        <v>4</v>
      </c>
      <c r="B38" s="130" t="s">
        <v>57</v>
      </c>
      <c r="C38" s="20">
        <v>0</v>
      </c>
      <c r="D38" s="177"/>
      <c r="F38" s="73" t="s">
        <v>156</v>
      </c>
      <c r="G38" s="92">
        <f>G24</f>
        <v>13952</v>
      </c>
      <c r="H38" s="96">
        <v>0.23860000000000001</v>
      </c>
      <c r="I38" s="69">
        <f t="shared" ref="I38:I44" si="3">G38*H38</f>
        <v>3328.9472000000001</v>
      </c>
      <c r="J38" s="73" t="s">
        <v>17</v>
      </c>
      <c r="K38" s="92">
        <f>K25</f>
        <v>47715</v>
      </c>
      <c r="L38" s="96">
        <v>0.23895</v>
      </c>
      <c r="M38" s="69">
        <f t="shared" si="2"/>
        <v>11401.499249999999</v>
      </c>
      <c r="P38" s="180"/>
      <c r="Q38" s="180"/>
    </row>
    <row r="39" spans="1:17" ht="15.75">
      <c r="A39" s="1" t="s">
        <v>84</v>
      </c>
      <c r="B39" s="130" t="s">
        <v>85</v>
      </c>
      <c r="C39" s="20">
        <v>-81142.62</v>
      </c>
      <c r="D39" s="177"/>
      <c r="F39" s="73" t="s">
        <v>16</v>
      </c>
      <c r="G39" s="92">
        <f t="shared" ref="G39:G44" si="4">G25</f>
        <v>3629858</v>
      </c>
      <c r="H39" s="96">
        <v>0.23860000000000001</v>
      </c>
      <c r="I39" s="69">
        <f t="shared" si="3"/>
        <v>866084.11880000005</v>
      </c>
      <c r="J39" s="73" t="s">
        <v>18</v>
      </c>
      <c r="K39" s="92">
        <f>K26</f>
        <v>0</v>
      </c>
      <c r="L39" s="96">
        <v>0.23895</v>
      </c>
      <c r="M39" s="69">
        <f t="shared" si="2"/>
        <v>0</v>
      </c>
      <c r="P39" s="180"/>
      <c r="Q39" s="180"/>
    </row>
    <row r="40" spans="1:17" ht="15.75">
      <c r="A40" s="1" t="s">
        <v>73</v>
      </c>
      <c r="B40" s="130" t="s">
        <v>74</v>
      </c>
      <c r="C40" s="20">
        <v>1084919.76</v>
      </c>
      <c r="D40" s="177"/>
      <c r="F40" s="73" t="s">
        <v>17</v>
      </c>
      <c r="G40" s="92">
        <f t="shared" si="4"/>
        <v>0</v>
      </c>
      <c r="H40" s="96">
        <v>0.23860000000000001</v>
      </c>
      <c r="I40" s="69">
        <f t="shared" si="3"/>
        <v>0</v>
      </c>
      <c r="J40" s="73" t="s">
        <v>19</v>
      </c>
      <c r="K40" s="92">
        <f>K27</f>
        <v>0</v>
      </c>
      <c r="L40" s="96">
        <v>0.23895</v>
      </c>
      <c r="M40" s="69">
        <f t="shared" si="2"/>
        <v>0</v>
      </c>
      <c r="P40" s="180"/>
      <c r="Q40" s="180"/>
    </row>
    <row r="41" spans="1:17" ht="15.75">
      <c r="A41" s="1" t="s">
        <v>90</v>
      </c>
      <c r="B41" s="125" t="s">
        <v>91</v>
      </c>
      <c r="C41" s="20">
        <v>-9731.43</v>
      </c>
      <c r="D41" s="177"/>
      <c r="F41" s="73" t="s">
        <v>18</v>
      </c>
      <c r="G41" s="92">
        <f t="shared" si="4"/>
        <v>248414</v>
      </c>
      <c r="H41" s="96">
        <v>0.23860000000000001</v>
      </c>
      <c r="I41" s="69">
        <f t="shared" si="3"/>
        <v>59271.580399999999</v>
      </c>
      <c r="J41" s="73" t="s">
        <v>20</v>
      </c>
      <c r="K41" s="91">
        <v>0</v>
      </c>
      <c r="L41" s="96">
        <v>0.23895</v>
      </c>
      <c r="M41" s="69">
        <f t="shared" si="2"/>
        <v>0</v>
      </c>
      <c r="P41" s="180"/>
      <c r="Q41" s="180"/>
    </row>
    <row r="42" spans="1:17" ht="16.5" thickBot="1">
      <c r="A42" s="1" t="s">
        <v>108</v>
      </c>
      <c r="B42" s="130" t="s">
        <v>109</v>
      </c>
      <c r="C42" s="20">
        <v>143152.29</v>
      </c>
      <c r="D42" s="2"/>
      <c r="F42" s="73" t="s">
        <v>19</v>
      </c>
      <c r="G42" s="92">
        <f t="shared" si="4"/>
        <v>34226</v>
      </c>
      <c r="H42" s="96">
        <v>0.23860000000000001</v>
      </c>
      <c r="I42" s="69">
        <f t="shared" si="3"/>
        <v>8166.3236000000006</v>
      </c>
      <c r="J42" s="73" t="s">
        <v>21</v>
      </c>
      <c r="K42" s="93">
        <v>0</v>
      </c>
      <c r="L42" s="96">
        <v>0.23895</v>
      </c>
      <c r="M42" s="69">
        <f t="shared" si="2"/>
        <v>0</v>
      </c>
      <c r="P42" s="180"/>
      <c r="Q42" s="180"/>
    </row>
    <row r="43" spans="1:17" ht="16.5" thickBot="1">
      <c r="A43" s="14" t="s">
        <v>65</v>
      </c>
      <c r="B43" s="4"/>
      <c r="C43" s="176">
        <f>SUM(C37:C42)</f>
        <v>4439068.41</v>
      </c>
      <c r="D43" s="177"/>
      <c r="F43" s="73" t="s">
        <v>20</v>
      </c>
      <c r="G43" s="92">
        <f t="shared" si="4"/>
        <v>0</v>
      </c>
      <c r="H43" s="96">
        <v>0.23860000000000001</v>
      </c>
      <c r="I43" s="69">
        <f t="shared" si="3"/>
        <v>0</v>
      </c>
      <c r="J43" s="72" t="s">
        <v>75</v>
      </c>
      <c r="K43" s="54">
        <f>SUM(K36:K42)</f>
        <v>6809567</v>
      </c>
      <c r="L43" s="55"/>
      <c r="M43" s="70">
        <f>SUM(M36:M42)</f>
        <v>1627146.03465</v>
      </c>
    </row>
    <row r="44" spans="1:17" ht="16.5" thickBot="1">
      <c r="A44" s="181" t="s">
        <v>107</v>
      </c>
      <c r="B44" s="182" t="s">
        <v>62</v>
      </c>
      <c r="C44" s="20">
        <f>-138770.47+1042908.8</f>
        <v>904138.33000000007</v>
      </c>
      <c r="D44" s="2"/>
      <c r="F44" s="73" t="s">
        <v>21</v>
      </c>
      <c r="G44" s="92">
        <f t="shared" si="4"/>
        <v>40231</v>
      </c>
      <c r="H44" s="96">
        <v>0.23860000000000001</v>
      </c>
      <c r="I44" s="69">
        <f t="shared" si="3"/>
        <v>9599.1165999999994</v>
      </c>
      <c r="J44" s="67"/>
      <c r="K44" s="86">
        <v>6809567</v>
      </c>
      <c r="L44" s="62" t="s">
        <v>48</v>
      </c>
      <c r="M44" s="83">
        <f>M43/K43</f>
        <v>0.23895</v>
      </c>
    </row>
    <row r="45" spans="1:17" ht="16.5" thickBot="1">
      <c r="A45" s="79" t="s">
        <v>101</v>
      </c>
      <c r="B45" s="125" t="s">
        <v>57</v>
      </c>
      <c r="C45" s="20">
        <v>0</v>
      </c>
      <c r="D45" s="178"/>
      <c r="F45" s="72" t="s">
        <v>75</v>
      </c>
      <c r="G45" s="54">
        <f>SUM(G37:G44)</f>
        <v>12802517</v>
      </c>
      <c r="H45" s="55"/>
      <c r="I45" s="70">
        <f>SUM(I37:I44)</f>
        <v>3054680.5561999995</v>
      </c>
      <c r="J45" s="21"/>
      <c r="K45" s="84">
        <f>K43-K44</f>
        <v>0</v>
      </c>
      <c r="M45" s="21"/>
    </row>
    <row r="46" spans="1:17" ht="19.5" customHeight="1" thickTop="1" thickBot="1">
      <c r="A46" s="79" t="s">
        <v>102</v>
      </c>
      <c r="B46" s="125" t="s">
        <v>57</v>
      </c>
      <c r="C46" s="20">
        <v>0</v>
      </c>
      <c r="D46" s="179"/>
      <c r="F46" s="61"/>
      <c r="G46" s="86">
        <v>12802517</v>
      </c>
      <c r="H46" s="62" t="s">
        <v>48</v>
      </c>
      <c r="I46" s="81">
        <f>I45/G45</f>
        <v>0.23859999999999995</v>
      </c>
      <c r="J46" s="21"/>
      <c r="K46" s="18"/>
      <c r="M46" s="13"/>
    </row>
    <row r="47" spans="1:17" ht="19.5" customHeight="1">
      <c r="A47" s="95" t="s">
        <v>79</v>
      </c>
      <c r="B47" s="125" t="s">
        <v>57</v>
      </c>
      <c r="C47" s="20">
        <v>0</v>
      </c>
      <c r="D47" s="177"/>
      <c r="G47" s="84">
        <f>G45-G46</f>
        <v>0</v>
      </c>
      <c r="J47" s="21"/>
      <c r="K47" s="18"/>
      <c r="M47" s="13"/>
    </row>
    <row r="48" spans="1:17" ht="16.5" thickBot="1">
      <c r="A48" s="79" t="s">
        <v>155</v>
      </c>
      <c r="B48" s="125" t="s">
        <v>57</v>
      </c>
      <c r="C48" s="20">
        <v>7000</v>
      </c>
      <c r="D48" s="177"/>
      <c r="J48" s="21"/>
      <c r="K48" s="18"/>
      <c r="M48" s="13"/>
    </row>
    <row r="49" spans="1:21" ht="15.75">
      <c r="A49" s="1" t="s">
        <v>72</v>
      </c>
      <c r="B49" s="130" t="s">
        <v>89</v>
      </c>
      <c r="C49" s="20">
        <v>18045.689999999999</v>
      </c>
      <c r="D49" s="177"/>
      <c r="G49" s="18"/>
      <c r="H49" s="25" t="s">
        <v>13</v>
      </c>
      <c r="I49" s="5" t="s">
        <v>13</v>
      </c>
      <c r="J49" s="5" t="s">
        <v>25</v>
      </c>
      <c r="K49" s="23" t="s">
        <v>32</v>
      </c>
      <c r="L49" s="21"/>
    </row>
    <row r="50" spans="1:21" ht="16.5" thickBot="1">
      <c r="A50" s="1" t="s">
        <v>121</v>
      </c>
      <c r="B50" s="130" t="s">
        <v>89</v>
      </c>
      <c r="C50" s="20">
        <v>1352.29</v>
      </c>
      <c r="D50" s="177"/>
      <c r="F50" s="9" t="s">
        <v>35</v>
      </c>
      <c r="H50" s="26" t="s">
        <v>0</v>
      </c>
      <c r="I50" s="27" t="s">
        <v>1</v>
      </c>
      <c r="J50" s="27" t="s">
        <v>0</v>
      </c>
      <c r="K50" s="24" t="s">
        <v>1</v>
      </c>
    </row>
    <row r="51" spans="1:21" ht="15.75">
      <c r="A51" s="1" t="s">
        <v>159</v>
      </c>
      <c r="B51" s="130" t="s">
        <v>89</v>
      </c>
      <c r="C51" s="20">
        <v>6694.18</v>
      </c>
      <c r="D51" s="174"/>
      <c r="H51" s="30"/>
      <c r="I51" s="31"/>
      <c r="J51" s="31"/>
      <c r="K51" s="31"/>
      <c r="L51" s="22" t="s">
        <v>49</v>
      </c>
    </row>
    <row r="52" spans="1:21" ht="15.75">
      <c r="A52" s="42" t="s">
        <v>60</v>
      </c>
      <c r="B52" s="125"/>
      <c r="C52" s="17">
        <f>-C33</f>
        <v>44472.11</v>
      </c>
      <c r="D52" s="177"/>
      <c r="F52" s="95" t="s">
        <v>78</v>
      </c>
      <c r="H52" s="80">
        <f>K12</f>
        <v>118792.85238400078</v>
      </c>
      <c r="I52" s="19">
        <f>I14</f>
        <v>1604976.2789280005</v>
      </c>
      <c r="J52" s="19">
        <f>L12</f>
        <v>59677.43761600041</v>
      </c>
      <c r="K52" s="19">
        <f>J14</f>
        <v>670617.48107200023</v>
      </c>
      <c r="L52" s="28">
        <f>SUM(H52:K52)</f>
        <v>2454064.0500000017</v>
      </c>
    </row>
    <row r="53" spans="1:21" ht="16.5" thickBot="1">
      <c r="A53" s="95" t="s">
        <v>166</v>
      </c>
      <c r="B53" s="130" t="s">
        <v>167</v>
      </c>
      <c r="C53" s="20">
        <v>7278.33</v>
      </c>
      <c r="D53" s="177"/>
      <c r="F53" s="95" t="s">
        <v>51</v>
      </c>
      <c r="H53" s="80">
        <f>-I45</f>
        <v>-3054680.5561999995</v>
      </c>
      <c r="I53" s="19">
        <f>-I32</f>
        <v>-1589934.2196900002</v>
      </c>
      <c r="J53" s="19">
        <f>-M43</f>
        <v>-1627146.03465</v>
      </c>
      <c r="K53" s="19">
        <f>-M28</f>
        <v>-771592.03676999989</v>
      </c>
      <c r="L53" s="90">
        <f>SUM(H53:K53)</f>
        <v>-7043352.8473100001</v>
      </c>
    </row>
    <row r="54" spans="1:21" ht="16.5" thickBot="1">
      <c r="A54" s="95" t="s">
        <v>66</v>
      </c>
      <c r="B54" s="125" t="s">
        <v>153</v>
      </c>
      <c r="C54" s="20">
        <v>-5031154.5599999996</v>
      </c>
      <c r="D54" s="177"/>
      <c r="F54" s="95" t="s">
        <v>37</v>
      </c>
      <c r="H54" s="87">
        <v>0</v>
      </c>
      <c r="I54" s="88">
        <v>0</v>
      </c>
      <c r="J54" s="88">
        <v>0</v>
      </c>
      <c r="K54" s="89">
        <v>0</v>
      </c>
      <c r="L54" s="183">
        <f>SUM(L52:L53)</f>
        <v>-4589288.7973099984</v>
      </c>
    </row>
    <row r="55" spans="1:21" ht="16.5" thickBot="1">
      <c r="A55" s="95" t="s">
        <v>163</v>
      </c>
      <c r="B55" s="125" t="s">
        <v>119</v>
      </c>
      <c r="C55" s="20">
        <v>-375000</v>
      </c>
      <c r="D55" s="177"/>
      <c r="F55" s="95" t="s">
        <v>33</v>
      </c>
      <c r="H55" s="176">
        <f>IFERROR(H52+H53+H54,0)</f>
        <v>-2935887.7038159985</v>
      </c>
      <c r="I55" s="176">
        <f>I52+I53+I54</f>
        <v>15042.059238000307</v>
      </c>
      <c r="J55" s="176">
        <f>IFERROR(J52+J53+J54,0)</f>
        <v>-1567468.5970339996</v>
      </c>
      <c r="K55" s="176">
        <f>K52+K53+K54</f>
        <v>-100974.55569799966</v>
      </c>
      <c r="L55" s="184">
        <f>SUM(H55:K55)</f>
        <v>-4589288.7973099975</v>
      </c>
    </row>
    <row r="56" spans="1:21" ht="16.5" thickBot="1">
      <c r="A56" s="185" t="s">
        <v>61</v>
      </c>
      <c r="B56" s="182"/>
      <c r="C56" s="34">
        <f>SUM(C43:C55)</f>
        <v>21894.780000001192</v>
      </c>
      <c r="D56" s="177"/>
      <c r="F56" s="186" t="s">
        <v>111</v>
      </c>
      <c r="H56" s="95" t="s">
        <v>103</v>
      </c>
      <c r="I56" s="1">
        <f>SUM(H55:I55)</f>
        <v>-2920845.6445779982</v>
      </c>
      <c r="J56" s="12" t="s">
        <v>104</v>
      </c>
      <c r="K56" s="95">
        <f>SUM(J55:K55)</f>
        <v>-1668443.1527319993</v>
      </c>
      <c r="L56" s="187">
        <f>ROUND(L54-L55,3)</f>
        <v>0</v>
      </c>
      <c r="T56" s="188"/>
    </row>
    <row r="57" spans="1:21" ht="16.5" thickTop="1">
      <c r="A57" s="95" t="s">
        <v>63</v>
      </c>
      <c r="B57" s="125" t="s">
        <v>57</v>
      </c>
      <c r="C57" s="20">
        <v>104499.94</v>
      </c>
      <c r="D57" s="177"/>
      <c r="F57" s="189" t="s">
        <v>111</v>
      </c>
      <c r="H57" s="190"/>
    </row>
    <row r="58" spans="1:21" ht="16.5" thickBot="1">
      <c r="A58" s="95" t="s">
        <v>64</v>
      </c>
      <c r="B58" s="125" t="s">
        <v>57</v>
      </c>
      <c r="C58" s="20">
        <v>52075.57</v>
      </c>
      <c r="D58" s="177"/>
      <c r="F58" s="189" t="s">
        <v>112</v>
      </c>
      <c r="H58" s="178"/>
      <c r="I58" s="191"/>
      <c r="J58" s="191"/>
      <c r="K58" s="192"/>
      <c r="L58" s="191"/>
    </row>
    <row r="59" spans="1:21" ht="16.5" thickBot="1">
      <c r="A59" s="9" t="s">
        <v>67</v>
      </c>
      <c r="B59" s="9"/>
      <c r="C59" s="34">
        <f>SUM(C56:C58)</f>
        <v>178470.2900000012</v>
      </c>
      <c r="D59" s="177"/>
      <c r="F59" s="193" t="s">
        <v>154</v>
      </c>
      <c r="G59" s="108"/>
      <c r="H59" s="30" t="s">
        <v>151</v>
      </c>
      <c r="I59" s="75"/>
    </row>
    <row r="60" spans="1:21" ht="17.25" thickTop="1" thickBot="1">
      <c r="A60" s="9"/>
      <c r="C60" s="120"/>
      <c r="D60" s="177"/>
      <c r="H60" s="33" t="s">
        <v>105</v>
      </c>
      <c r="I60" s="194" t="s">
        <v>106</v>
      </c>
      <c r="J60" s="1"/>
    </row>
    <row r="61" spans="1:21" ht="16.5" thickBot="1">
      <c r="A61" s="29"/>
      <c r="B61" s="29" t="s">
        <v>45</v>
      </c>
      <c r="C61" s="176">
        <f>C59+C34</f>
        <v>2454064.0500000017</v>
      </c>
      <c r="D61" s="2"/>
      <c r="H61" s="94"/>
      <c r="I61" s="98"/>
    </row>
    <row r="62" spans="1:21" ht="15.75">
      <c r="A62" s="9"/>
      <c r="B62" s="29" t="s">
        <v>94</v>
      </c>
      <c r="C62" s="126">
        <v>2454064.0499999998</v>
      </c>
      <c r="G62" s="1"/>
      <c r="I62" s="17"/>
      <c r="P62" s="195"/>
    </row>
    <row r="63" spans="1:21" ht="15.75">
      <c r="A63" s="29"/>
      <c r="B63" s="29" t="s">
        <v>93</v>
      </c>
      <c r="C63" s="17">
        <f>ROUND(C61-C62,2)</f>
        <v>0</v>
      </c>
      <c r="D63" s="177"/>
      <c r="N63" s="1"/>
      <c r="O63" s="1"/>
      <c r="S63" s="125"/>
    </row>
    <row r="64" spans="1:21" ht="15.75">
      <c r="A64" s="15"/>
      <c r="C64" s="196"/>
      <c r="D64" s="197"/>
      <c r="U64" s="9"/>
    </row>
    <row r="65" spans="1:21" ht="15.75">
      <c r="A65" s="15"/>
      <c r="C65" s="2"/>
      <c r="D65" s="177"/>
      <c r="N65" s="42"/>
      <c r="S65" s="198"/>
    </row>
    <row r="66" spans="1:21" ht="15.75">
      <c r="A66" s="9"/>
      <c r="C66" s="2"/>
      <c r="D66" s="177"/>
      <c r="I66" s="190"/>
      <c r="N66" s="42"/>
      <c r="S66" s="199"/>
    </row>
    <row r="67" spans="1:21">
      <c r="C67" s="17"/>
      <c r="D67" s="177"/>
      <c r="I67" s="190"/>
      <c r="N67" s="42"/>
      <c r="S67" s="200"/>
    </row>
    <row r="68" spans="1:21">
      <c r="D68" s="177"/>
      <c r="N68" s="42"/>
      <c r="S68" s="199"/>
    </row>
    <row r="69" spans="1:21">
      <c r="D69" s="2"/>
      <c r="N69" s="42"/>
    </row>
    <row r="70" spans="1:21">
      <c r="D70" s="177"/>
      <c r="N70" s="42"/>
      <c r="S70" s="201"/>
    </row>
    <row r="71" spans="1:21">
      <c r="D71" s="177"/>
      <c r="N71" s="42"/>
    </row>
    <row r="72" spans="1:21">
      <c r="D72" s="177"/>
    </row>
    <row r="73" spans="1:21">
      <c r="D73" s="64"/>
      <c r="S73" s="202"/>
    </row>
    <row r="74" spans="1:21">
      <c r="R74" s="125"/>
      <c r="S74" s="125"/>
      <c r="T74" s="125"/>
    </row>
    <row r="76" spans="1:21">
      <c r="U76" s="203"/>
    </row>
    <row r="1477" spans="3:3">
      <c r="C1477" s="95">
        <v>-2130</v>
      </c>
    </row>
    <row r="1485" spans="3:3">
      <c r="C1485" s="95">
        <f>7004298-2130</f>
        <v>7002168</v>
      </c>
    </row>
  </sheetData>
  <mergeCells count="3">
    <mergeCell ref="F18:I18"/>
    <mergeCell ref="J18:M18"/>
    <mergeCell ref="K35:M35"/>
  </mergeCells>
  <conditionalFormatting sqref="C63 L56 I62">
    <cfRule type="cellIs" dxfId="66" priority="5" stopIfTrue="1" operator="equal">
      <formula>0</formula>
    </cfRule>
    <cfRule type="cellIs" dxfId="65" priority="6" stopIfTrue="1" operator="notEqual">
      <formula>0</formula>
    </cfRule>
  </conditionalFormatting>
  <conditionalFormatting sqref="G34 G47 K30 K45">
    <cfRule type="cellIs" dxfId="64" priority="4" operator="notEqual">
      <formula>0</formula>
    </cfRule>
  </conditionalFormatting>
  <conditionalFormatting sqref="C63">
    <cfRule type="cellIs" dxfId="63" priority="2" stopIfTrue="1" operator="equal">
      <formula>0</formula>
    </cfRule>
    <cfRule type="cellIs" dxfId="62" priority="3" stopIfTrue="1" operator="notEqual">
      <formula>0</formula>
    </cfRule>
  </conditionalFormatting>
  <conditionalFormatting sqref="K30">
    <cfRule type="cellIs" dxfId="61" priority="1" operator="notEqual">
      <formula>0</formula>
    </cfRule>
  </conditionalFormatting>
  <printOptions verticalCentered="1" gridLinesSet="0"/>
  <pageMargins left="0.5" right="0" top="0.25" bottom="0.5" header="0" footer="0.25"/>
  <pageSetup scale="47" orientation="landscape" cellComments="asDisplayed" r:id="rId1"/>
  <headerFooter alignWithMargins="0">
    <oddFooter>&amp;L&amp;F&amp;C&amp;A&amp;R&amp;D&amp;T</oddFooter>
  </headerFooter>
  <customProperties>
    <customPr name="xxe4aPID" r:id="rId2"/>
  </customProperties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tabColor rgb="FF00CC66"/>
    <pageSetUpPr fitToPage="1"/>
  </sheetPr>
  <dimension ref="A1:U1485"/>
  <sheetViews>
    <sheetView showGridLines="0" tabSelected="1" topLeftCell="A42" zoomScale="70" zoomScaleNormal="70" workbookViewId="0">
      <selection activeCell="X1" sqref="X1:X1048576"/>
    </sheetView>
  </sheetViews>
  <sheetFormatPr defaultColWidth="16" defaultRowHeight="15"/>
  <cols>
    <col min="1" max="1" width="44.85546875" style="95" customWidth="1"/>
    <col min="2" max="2" width="25.5703125" style="95" customWidth="1"/>
    <col min="3" max="3" width="25.28515625" style="95" customWidth="1"/>
    <col min="4" max="4" width="2.7109375" style="95" customWidth="1"/>
    <col min="5" max="5" width="4.28515625" style="95" customWidth="1"/>
    <col min="6" max="6" width="26.7109375" style="95" customWidth="1"/>
    <col min="7" max="7" width="19" style="95" customWidth="1"/>
    <col min="8" max="8" width="22" style="95" customWidth="1"/>
    <col min="9" max="9" width="20.42578125" style="95" customWidth="1"/>
    <col min="10" max="10" width="26.28515625" style="95" customWidth="1"/>
    <col min="11" max="11" width="21.85546875" style="95" bestFit="1" customWidth="1"/>
    <col min="12" max="12" width="23.85546875" style="95" customWidth="1"/>
    <col min="13" max="13" width="20.85546875" style="95" bestFit="1" customWidth="1"/>
    <col min="14" max="15" width="16" style="95"/>
    <col min="16" max="16" width="16.28515625" style="95" bestFit="1" customWidth="1"/>
    <col min="17" max="16384" width="16" style="95"/>
  </cols>
  <sheetData>
    <row r="1" spans="1:12" ht="16.5" thickBot="1">
      <c r="A1" s="172" t="s">
        <v>26</v>
      </c>
      <c r="B1" s="173"/>
      <c r="C1" s="107">
        <f>[5]Oct!C1+1</f>
        <v>201711</v>
      </c>
      <c r="F1" s="107">
        <f>C1</f>
        <v>201711</v>
      </c>
      <c r="H1" s="35" t="s">
        <v>31</v>
      </c>
      <c r="I1" s="22" t="s">
        <v>1</v>
      </c>
      <c r="J1" s="22" t="s">
        <v>1</v>
      </c>
      <c r="K1" s="22" t="s">
        <v>28</v>
      </c>
      <c r="L1" s="22" t="s">
        <v>28</v>
      </c>
    </row>
    <row r="2" spans="1:12" ht="15.75">
      <c r="C2" s="6"/>
      <c r="H2" s="36" t="s">
        <v>10</v>
      </c>
      <c r="I2" s="37" t="s">
        <v>27</v>
      </c>
      <c r="J2" s="37" t="s">
        <v>27</v>
      </c>
      <c r="K2" s="37" t="s">
        <v>29</v>
      </c>
      <c r="L2" s="37" t="s">
        <v>29</v>
      </c>
    </row>
    <row r="3" spans="1:12" ht="16.5" thickBot="1">
      <c r="A3" s="10" t="s">
        <v>52</v>
      </c>
      <c r="C3" s="7"/>
      <c r="D3" s="174"/>
      <c r="F3" s="9" t="s">
        <v>34</v>
      </c>
      <c r="H3" s="38" t="s">
        <v>30</v>
      </c>
      <c r="I3" s="38" t="s">
        <v>13</v>
      </c>
      <c r="J3" s="38" t="s">
        <v>25</v>
      </c>
      <c r="K3" s="38" t="s">
        <v>13</v>
      </c>
      <c r="L3" s="38" t="s">
        <v>25</v>
      </c>
    </row>
    <row r="4" spans="1:12" ht="15.75">
      <c r="A4" s="95" t="s">
        <v>38</v>
      </c>
      <c r="C4" s="20">
        <f>3691648.69</f>
        <v>3691648.69</v>
      </c>
      <c r="D4" s="6"/>
      <c r="H4" s="3"/>
    </row>
    <row r="5" spans="1:12" ht="14.25" customHeight="1">
      <c r="A5" s="95" t="s">
        <v>9</v>
      </c>
      <c r="C5" s="20">
        <f>-189.1+68263.39</f>
        <v>68074.289999999994</v>
      </c>
      <c r="D5" s="6"/>
      <c r="H5" s="3"/>
      <c r="I5" s="175">
        <v>0.69059999999999999</v>
      </c>
      <c r="J5" s="175">
        <v>0.30940000000000001</v>
      </c>
      <c r="K5" s="97">
        <f>ROUND(G45/(G45+K43),4)</f>
        <v>0.67859999999999998</v>
      </c>
      <c r="L5" s="97">
        <f>1-K5</f>
        <v>0.32140000000000002</v>
      </c>
    </row>
    <row r="6" spans="1:12" ht="16.5" thickBot="1">
      <c r="A6" s="8" t="s">
        <v>8</v>
      </c>
      <c r="C6" s="116">
        <f>-79335-99088.8-1509333-430500-123000-138375</f>
        <v>-2379631.7999999998</v>
      </c>
      <c r="D6" s="6"/>
    </row>
    <row r="7" spans="1:12" ht="16.5" thickBot="1">
      <c r="A7" s="12" t="s">
        <v>82</v>
      </c>
      <c r="C7" s="17">
        <f>SUM(C4:C6)</f>
        <v>1380091.1800000002</v>
      </c>
      <c r="D7" s="7"/>
      <c r="F7" s="39" t="s">
        <v>81</v>
      </c>
      <c r="G7" s="39"/>
      <c r="H7" s="176">
        <f>C34</f>
        <v>2243835.91</v>
      </c>
      <c r="I7" s="40">
        <f>H7*I5</f>
        <v>1549593.079446</v>
      </c>
      <c r="J7" s="40">
        <f>H7*J5</f>
        <v>694242.8305540001</v>
      </c>
      <c r="K7" s="40"/>
      <c r="L7" s="40"/>
    </row>
    <row r="8" spans="1:12" ht="15.75">
      <c r="A8" s="95" t="s">
        <v>39</v>
      </c>
      <c r="C8" s="20">
        <v>244576.79</v>
      </c>
      <c r="D8" s="7"/>
      <c r="H8" s="41"/>
      <c r="I8" s="41"/>
      <c r="J8" s="41"/>
      <c r="K8" s="41"/>
      <c r="L8" s="41"/>
    </row>
    <row r="9" spans="1:12" ht="15.75">
      <c r="A9" s="95" t="s">
        <v>40</v>
      </c>
      <c r="C9" s="20">
        <f>8418.02</f>
        <v>8418.02</v>
      </c>
      <c r="D9" s="177"/>
      <c r="F9" s="39" t="s">
        <v>61</v>
      </c>
      <c r="H9" s="40">
        <f>C56</f>
        <v>6394422.21</v>
      </c>
      <c r="I9" s="40"/>
      <c r="J9" s="40"/>
      <c r="K9" s="40">
        <f>H9*K5</f>
        <v>4339254.9117059996</v>
      </c>
      <c r="L9" s="40">
        <f>H9*L5</f>
        <v>2055167.2982940001</v>
      </c>
    </row>
    <row r="10" spans="1:12" ht="15.75">
      <c r="A10" s="8" t="s">
        <v>41</v>
      </c>
      <c r="C10" s="116">
        <v>-3308.2</v>
      </c>
      <c r="D10" s="177"/>
      <c r="F10" s="42" t="s">
        <v>22</v>
      </c>
      <c r="H10" s="40">
        <f>C57</f>
        <v>-108566.91</v>
      </c>
      <c r="I10" s="40"/>
      <c r="J10" s="40"/>
      <c r="K10" s="40">
        <f>H10</f>
        <v>-108566.91</v>
      </c>
      <c r="L10" s="40"/>
    </row>
    <row r="11" spans="1:12">
      <c r="A11" s="12" t="s">
        <v>83</v>
      </c>
      <c r="C11" s="17">
        <f>SUM(C8:C10)</f>
        <v>249686.61</v>
      </c>
      <c r="D11" s="177"/>
      <c r="F11" s="42" t="s">
        <v>23</v>
      </c>
      <c r="H11" s="43">
        <f>C58</f>
        <v>-54352.7</v>
      </c>
      <c r="I11" s="40"/>
      <c r="J11" s="40"/>
      <c r="K11" s="43"/>
      <c r="L11" s="43">
        <f>H11</f>
        <v>-54352.7</v>
      </c>
    </row>
    <row r="12" spans="1:12" ht="15.75">
      <c r="A12" s="95" t="s">
        <v>98</v>
      </c>
      <c r="C12" s="20">
        <f>2747.14+184211.28</f>
        <v>186958.42</v>
      </c>
      <c r="D12" s="177"/>
      <c r="F12" s="42" t="s">
        <v>80</v>
      </c>
      <c r="H12" s="40">
        <f>H9+H10+H11</f>
        <v>6231502.5999999996</v>
      </c>
      <c r="I12" s="40"/>
      <c r="J12" s="40"/>
      <c r="K12" s="40">
        <f>SUM(K9:K11)</f>
        <v>4230688.0017059995</v>
      </c>
      <c r="L12" s="40">
        <f>SUM(L9:L11)</f>
        <v>2000814.5982940001</v>
      </c>
    </row>
    <row r="13" spans="1:12" ht="16.5" thickBot="1">
      <c r="A13" s="8" t="s">
        <v>99</v>
      </c>
      <c r="C13" s="116">
        <v>0</v>
      </c>
      <c r="D13" s="177"/>
      <c r="F13" s="44"/>
      <c r="G13" s="45"/>
      <c r="H13" s="46"/>
      <c r="I13" s="47"/>
      <c r="J13" s="46"/>
      <c r="K13" s="41"/>
      <c r="L13" s="46"/>
    </row>
    <row r="14" spans="1:12" ht="16.5" thickBot="1">
      <c r="A14" s="12" t="s">
        <v>42</v>
      </c>
      <c r="C14" s="17">
        <f>SUM(C12:C13)</f>
        <v>186958.42</v>
      </c>
      <c r="D14" s="2"/>
      <c r="F14" s="9" t="s">
        <v>31</v>
      </c>
      <c r="G14" s="48"/>
      <c r="H14" s="176">
        <f>H12+H7</f>
        <v>8475338.5099999998</v>
      </c>
      <c r="I14" s="49">
        <f>SUM(I7:I13)</f>
        <v>1549593.079446</v>
      </c>
      <c r="J14" s="49">
        <f>SUM(J7:J13)</f>
        <v>694242.8305540001</v>
      </c>
      <c r="K14" s="49">
        <f>K12</f>
        <v>4230688.0017059995</v>
      </c>
      <c r="L14" s="49">
        <f>L12</f>
        <v>2000814.5982940001</v>
      </c>
    </row>
    <row r="15" spans="1:12" ht="15.75">
      <c r="A15" s="95" t="s">
        <v>113</v>
      </c>
      <c r="C15" s="20">
        <f>430441.35+6419.15</f>
        <v>436860.5</v>
      </c>
      <c r="D15" s="177"/>
      <c r="F15" s="44"/>
      <c r="G15" s="45" t="s">
        <v>48</v>
      </c>
      <c r="H15" s="46">
        <f>H14-C61</f>
        <v>0</v>
      </c>
      <c r="I15" s="50"/>
      <c r="J15" s="46">
        <f>J7+I7-H7</f>
        <v>0</v>
      </c>
      <c r="L15" s="46">
        <f>H12-K14-L14</f>
        <v>0</v>
      </c>
    </row>
    <row r="16" spans="1:12" ht="15.75">
      <c r="A16" s="8" t="s">
        <v>114</v>
      </c>
      <c r="C16" s="116">
        <v>0</v>
      </c>
      <c r="D16" s="177"/>
      <c r="F16" s="51"/>
      <c r="G16" s="45"/>
      <c r="H16" s="52"/>
      <c r="I16" s="53"/>
      <c r="J16" s="52"/>
      <c r="L16" s="52"/>
    </row>
    <row r="17" spans="1:14" ht="15.75" thickBot="1">
      <c r="A17" s="12" t="s">
        <v>115</v>
      </c>
      <c r="C17" s="17">
        <f>SUM(C15:C16)</f>
        <v>436860.5</v>
      </c>
      <c r="D17" s="2"/>
      <c r="F17" s="44"/>
      <c r="G17" s="45"/>
      <c r="H17" s="52"/>
      <c r="I17" s="53"/>
      <c r="J17" s="56"/>
      <c r="L17" s="52"/>
    </row>
    <row r="18" spans="1:14" ht="16.5" thickBot="1">
      <c r="A18" s="95" t="s">
        <v>96</v>
      </c>
      <c r="C18" s="20">
        <f>62616.1+10081.5+1226.07</f>
        <v>73923.670000000013</v>
      </c>
      <c r="D18" s="177"/>
      <c r="F18" s="204" t="s">
        <v>76</v>
      </c>
      <c r="G18" s="205"/>
      <c r="H18" s="205"/>
      <c r="I18" s="206"/>
      <c r="J18" s="204" t="s">
        <v>77</v>
      </c>
      <c r="K18" s="205"/>
      <c r="L18" s="205"/>
      <c r="M18" s="206"/>
    </row>
    <row r="19" spans="1:14" ht="15.75">
      <c r="A19" s="8" t="s">
        <v>97</v>
      </c>
      <c r="C19" s="116">
        <f>-1101.09</f>
        <v>-1101.0899999999999</v>
      </c>
      <c r="D19" s="177"/>
      <c r="F19" s="74" t="s">
        <v>50</v>
      </c>
      <c r="G19" s="37" t="s">
        <v>11</v>
      </c>
      <c r="H19" s="37" t="s">
        <v>11</v>
      </c>
      <c r="I19" s="37" t="s">
        <v>11</v>
      </c>
      <c r="J19" s="74" t="s">
        <v>50</v>
      </c>
      <c r="K19" s="37" t="s">
        <v>11</v>
      </c>
      <c r="L19" s="37" t="s">
        <v>11</v>
      </c>
      <c r="M19" s="58" t="s">
        <v>11</v>
      </c>
    </row>
    <row r="20" spans="1:14" ht="16.5" thickBot="1">
      <c r="A20" s="11" t="s">
        <v>43</v>
      </c>
      <c r="C20" s="17">
        <f>SUM(C18:C19)</f>
        <v>72822.580000000016</v>
      </c>
      <c r="D20" s="177"/>
      <c r="F20" s="68" t="s">
        <v>95</v>
      </c>
      <c r="G20" s="38" t="s">
        <v>47</v>
      </c>
      <c r="H20" s="38" t="s">
        <v>14</v>
      </c>
      <c r="I20" s="38" t="s">
        <v>12</v>
      </c>
      <c r="J20" s="68" t="s">
        <v>95</v>
      </c>
      <c r="K20" s="38" t="s">
        <v>47</v>
      </c>
      <c r="L20" s="38" t="s">
        <v>14</v>
      </c>
      <c r="M20" s="38" t="s">
        <v>12</v>
      </c>
    </row>
    <row r="21" spans="1:14" ht="15.75">
      <c r="A21" s="8" t="s">
        <v>87</v>
      </c>
      <c r="C21" s="116">
        <f>-118.03+1850</f>
        <v>1731.97</v>
      </c>
      <c r="D21" s="177"/>
      <c r="F21" s="57"/>
      <c r="G21" s="4"/>
      <c r="H21" s="4"/>
      <c r="I21" s="58"/>
      <c r="J21" s="25"/>
      <c r="K21" s="5"/>
      <c r="L21" s="5"/>
      <c r="M21" s="75"/>
    </row>
    <row r="22" spans="1:14" ht="18" customHeight="1">
      <c r="A22" s="11" t="s">
        <v>87</v>
      </c>
      <c r="C22" s="17">
        <f>SUM(C21)</f>
        <v>1731.97</v>
      </c>
      <c r="D22" s="177"/>
      <c r="F22" s="72" t="s">
        <v>68</v>
      </c>
      <c r="G22" s="1"/>
      <c r="H22" s="1"/>
      <c r="I22" s="16"/>
      <c r="J22" s="72" t="s">
        <v>68</v>
      </c>
      <c r="K22" s="1"/>
      <c r="L22" s="1"/>
      <c r="M22" s="16"/>
    </row>
    <row r="23" spans="1:14" ht="15.75">
      <c r="A23" s="76" t="s">
        <v>110</v>
      </c>
      <c r="C23" s="17">
        <v>0</v>
      </c>
      <c r="D23" s="177"/>
      <c r="F23" s="73" t="s">
        <v>15</v>
      </c>
      <c r="G23" s="91">
        <v>14838696</v>
      </c>
      <c r="H23" s="96" t="s">
        <v>157</v>
      </c>
      <c r="I23" s="69">
        <v>1571425</v>
      </c>
      <c r="J23" s="73" t="s">
        <v>15</v>
      </c>
      <c r="K23" s="91">
        <v>7458719</v>
      </c>
      <c r="L23" s="96" t="s">
        <v>157</v>
      </c>
      <c r="M23" s="69">
        <v>789761</v>
      </c>
    </row>
    <row r="24" spans="1:14" ht="15.75">
      <c r="A24" s="76" t="s">
        <v>116</v>
      </c>
      <c r="C24" s="20">
        <v>0</v>
      </c>
      <c r="D24" s="177"/>
      <c r="F24" s="73" t="s">
        <v>156</v>
      </c>
      <c r="G24" s="91">
        <v>20740</v>
      </c>
      <c r="H24" s="96" t="s">
        <v>157</v>
      </c>
      <c r="I24" s="69">
        <v>2193</v>
      </c>
      <c r="J24" s="73" t="s">
        <v>16</v>
      </c>
      <c r="K24" s="91">
        <v>2362350</v>
      </c>
      <c r="L24" s="96" t="s">
        <v>157</v>
      </c>
      <c r="M24" s="69">
        <v>248894</v>
      </c>
    </row>
    <row r="25" spans="1:14" ht="15.75">
      <c r="A25" s="76" t="s">
        <v>118</v>
      </c>
      <c r="C25" s="118">
        <v>0</v>
      </c>
      <c r="D25" s="177"/>
      <c r="F25" s="73" t="s">
        <v>16</v>
      </c>
      <c r="G25" s="91">
        <v>5325716</v>
      </c>
      <c r="H25" s="96" t="s">
        <v>157</v>
      </c>
      <c r="I25" s="69">
        <v>506311</v>
      </c>
      <c r="J25" s="73" t="s">
        <v>17</v>
      </c>
      <c r="K25" s="91">
        <v>35223</v>
      </c>
      <c r="L25" s="96" t="s">
        <v>157</v>
      </c>
      <c r="M25" s="69">
        <v>3853</v>
      </c>
    </row>
    <row r="26" spans="1:14" ht="15.75">
      <c r="A26" s="77" t="s">
        <v>117</v>
      </c>
      <c r="C26" s="119">
        <v>0</v>
      </c>
      <c r="D26" s="177"/>
      <c r="F26" s="73" t="s">
        <v>17</v>
      </c>
      <c r="G26" s="91">
        <v>153941</v>
      </c>
      <c r="H26" s="96" t="s">
        <v>157</v>
      </c>
      <c r="I26" s="69">
        <v>16784</v>
      </c>
      <c r="J26" s="73" t="s">
        <v>18</v>
      </c>
      <c r="K26" s="91">
        <v>0</v>
      </c>
      <c r="L26" s="96" t="s">
        <v>157</v>
      </c>
      <c r="M26" s="69">
        <v>0</v>
      </c>
    </row>
    <row r="27" spans="1:14" ht="15.75">
      <c r="A27" s="11" t="s">
        <v>46</v>
      </c>
      <c r="C27" s="17">
        <f>SUM(C23:C26)</f>
        <v>0</v>
      </c>
      <c r="D27" s="177"/>
      <c r="F27" s="73" t="s">
        <v>18</v>
      </c>
      <c r="G27" s="91">
        <v>458380</v>
      </c>
      <c r="H27" s="96" t="s">
        <v>157</v>
      </c>
      <c r="I27" s="69">
        <v>46985</v>
      </c>
      <c r="J27" s="73" t="s">
        <v>19</v>
      </c>
      <c r="K27" s="91">
        <v>0</v>
      </c>
      <c r="L27" s="96" t="s">
        <v>157</v>
      </c>
      <c r="M27" s="69">
        <f t="shared" ref="M27" si="0">K27*L27</f>
        <v>0</v>
      </c>
    </row>
    <row r="28" spans="1:14" ht="16.5" thickBot="1">
      <c r="A28" s="78" t="s">
        <v>88</v>
      </c>
      <c r="C28" s="20">
        <v>0</v>
      </c>
      <c r="D28" s="2"/>
      <c r="F28" s="73" t="s">
        <v>19</v>
      </c>
      <c r="G28" s="91">
        <v>-87780</v>
      </c>
      <c r="H28" s="96" t="s">
        <v>157</v>
      </c>
      <c r="I28" s="69">
        <v>-9655</v>
      </c>
      <c r="J28" s="72" t="s">
        <v>69</v>
      </c>
      <c r="K28" s="54">
        <f>SUM(K23:K27)</f>
        <v>9856292</v>
      </c>
      <c r="L28" s="55"/>
      <c r="M28" s="70">
        <f>SUM(M23:M27)</f>
        <v>1042508</v>
      </c>
      <c r="N28" s="95">
        <f>M28/(M28+I32)</f>
        <v>0.32733511385522762</v>
      </c>
    </row>
    <row r="29" spans="1:14" ht="17.25" thickTop="1" thickBot="1">
      <c r="A29" s="78" t="s">
        <v>100</v>
      </c>
      <c r="C29" s="20">
        <v>0</v>
      </c>
      <c r="D29" s="177"/>
      <c r="F29" s="73" t="s">
        <v>20</v>
      </c>
      <c r="G29" s="91">
        <v>0</v>
      </c>
      <c r="H29" s="96" t="s">
        <v>157</v>
      </c>
      <c r="I29" s="69">
        <v>0</v>
      </c>
      <c r="J29" s="72"/>
      <c r="K29" s="85">
        <v>9856292</v>
      </c>
      <c r="L29" s="60" t="s">
        <v>48</v>
      </c>
      <c r="M29" s="69">
        <f>M28/K28</f>
        <v>0.10577081117320794</v>
      </c>
    </row>
    <row r="30" spans="1:14" ht="16.5" thickBot="1">
      <c r="A30" s="9" t="s">
        <v>53</v>
      </c>
      <c r="C30" s="176">
        <f>C7+C11+C14+C17+C20+C22+C27+C28+C29</f>
        <v>2328151.2600000002</v>
      </c>
      <c r="D30" s="2"/>
      <c r="F30" s="73" t="s">
        <v>21</v>
      </c>
      <c r="G30" s="91">
        <v>98095</v>
      </c>
      <c r="H30" s="96" t="s">
        <v>157</v>
      </c>
      <c r="I30" s="69">
        <v>6459</v>
      </c>
      <c r="J30" s="73"/>
      <c r="K30" s="84">
        <f>K28-K29</f>
        <v>0</v>
      </c>
      <c r="L30" s="55"/>
      <c r="M30" s="71"/>
    </row>
    <row r="31" spans="1:14" ht="15.75">
      <c r="A31" s="95" t="s">
        <v>54</v>
      </c>
      <c r="C31" s="20">
        <v>-8924.1299999999992</v>
      </c>
      <c r="D31" s="178"/>
      <c r="F31" s="73" t="s">
        <v>36</v>
      </c>
      <c r="G31" s="91">
        <v>3418526</v>
      </c>
      <c r="H31" s="96" t="s">
        <v>157</v>
      </c>
      <c r="I31" s="69">
        <v>1824</v>
      </c>
      <c r="J31" s="32"/>
      <c r="K31" s="1"/>
      <c r="L31" s="55"/>
      <c r="M31" s="71"/>
    </row>
    <row r="32" spans="1:14" ht="16.5" thickBot="1">
      <c r="A32" s="9" t="s">
        <v>58</v>
      </c>
      <c r="B32" s="9" t="s">
        <v>59</v>
      </c>
      <c r="C32" s="120">
        <f>C30+C31</f>
        <v>2319227.1300000004</v>
      </c>
      <c r="D32" s="179"/>
      <c r="F32" s="72" t="s">
        <v>69</v>
      </c>
      <c r="G32" s="54">
        <f>SUM(G23:G31)</f>
        <v>24226314</v>
      </c>
      <c r="H32" s="1"/>
      <c r="I32" s="70">
        <f>SUM(I23:I31)</f>
        <v>2142326</v>
      </c>
      <c r="J32" s="65"/>
      <c r="K32" s="66"/>
      <c r="L32" s="1"/>
      <c r="M32" s="63"/>
    </row>
    <row r="33" spans="1:17" ht="17.25" thickTop="1" thickBot="1">
      <c r="A33" s="95" t="s">
        <v>55</v>
      </c>
      <c r="C33" s="120">
        <f>-C5-C9-C13-C16-C19</f>
        <v>-75391.22</v>
      </c>
      <c r="D33" s="177"/>
      <c r="F33" s="59"/>
      <c r="G33" s="85">
        <v>24226314</v>
      </c>
      <c r="H33" s="60" t="s">
        <v>48</v>
      </c>
      <c r="I33" s="82">
        <f>I32/G32</f>
        <v>8.8429713244862596E-2</v>
      </c>
      <c r="J33" s="65"/>
      <c r="K33" s="66"/>
      <c r="L33" s="1"/>
      <c r="M33" s="16"/>
    </row>
    <row r="34" spans="1:17" ht="16.5" thickBot="1">
      <c r="A34" s="9" t="s">
        <v>56</v>
      </c>
      <c r="C34" s="176">
        <f>SUM(C32:C33)</f>
        <v>2243835.91</v>
      </c>
      <c r="D34" s="177"/>
      <c r="F34" s="32"/>
      <c r="G34" s="84">
        <f>G32-G33</f>
        <v>0</v>
      </c>
      <c r="H34" s="1"/>
      <c r="I34" s="16"/>
      <c r="J34" s="65"/>
      <c r="K34" s="64"/>
      <c r="L34" s="1"/>
      <c r="M34" s="16"/>
    </row>
    <row r="35" spans="1:17" ht="18" customHeight="1">
      <c r="A35" s="9"/>
      <c r="C35" s="120"/>
      <c r="D35" s="177"/>
      <c r="F35" s="57"/>
      <c r="G35" s="4"/>
      <c r="H35" s="4"/>
      <c r="I35" s="58"/>
      <c r="J35" s="72" t="s">
        <v>70</v>
      </c>
      <c r="K35" s="207"/>
      <c r="L35" s="207"/>
      <c r="M35" s="208"/>
    </row>
    <row r="36" spans="1:17" ht="15.75">
      <c r="A36" s="3" t="s">
        <v>44</v>
      </c>
      <c r="B36" s="9"/>
      <c r="C36" s="17"/>
      <c r="D36" s="177"/>
      <c r="F36" s="72" t="s">
        <v>70</v>
      </c>
      <c r="G36" s="1"/>
      <c r="H36" s="1"/>
      <c r="I36" s="16"/>
      <c r="J36" s="73" t="s">
        <v>15</v>
      </c>
      <c r="K36" s="92">
        <f>K23</f>
        <v>7458719</v>
      </c>
      <c r="L36" s="96" t="s">
        <v>157</v>
      </c>
      <c r="M36" s="69">
        <v>1621007</v>
      </c>
      <c r="P36" s="180"/>
      <c r="Q36" s="180"/>
    </row>
    <row r="37" spans="1:17" ht="15.75">
      <c r="A37" s="1" t="s">
        <v>71</v>
      </c>
      <c r="B37" s="130" t="s">
        <v>57</v>
      </c>
      <c r="C37" s="20">
        <v>10529095.66</v>
      </c>
      <c r="D37" s="177"/>
      <c r="F37" s="73" t="s">
        <v>15</v>
      </c>
      <c r="G37" s="92">
        <f>G23</f>
        <v>14838696</v>
      </c>
      <c r="H37" s="96" t="s">
        <v>157</v>
      </c>
      <c r="I37" s="69">
        <v>3296806</v>
      </c>
      <c r="J37" s="73" t="s">
        <v>16</v>
      </c>
      <c r="K37" s="92">
        <f>K24</f>
        <v>2362350</v>
      </c>
      <c r="L37" s="96" t="s">
        <v>157</v>
      </c>
      <c r="M37" s="69">
        <v>509054</v>
      </c>
      <c r="P37" s="180"/>
      <c r="Q37" s="180"/>
    </row>
    <row r="38" spans="1:17" ht="15.75">
      <c r="A38" s="79" t="s">
        <v>4</v>
      </c>
      <c r="B38" s="130" t="s">
        <v>57</v>
      </c>
      <c r="C38" s="20">
        <v>0</v>
      </c>
      <c r="D38" s="177"/>
      <c r="F38" s="73" t="s">
        <v>156</v>
      </c>
      <c r="G38" s="92">
        <f>G24</f>
        <v>20740</v>
      </c>
      <c r="H38" s="96" t="s">
        <v>157</v>
      </c>
      <c r="I38" s="69">
        <v>4612</v>
      </c>
      <c r="J38" s="73" t="s">
        <v>17</v>
      </c>
      <c r="K38" s="92">
        <f>K25</f>
        <v>35223</v>
      </c>
      <c r="L38" s="96" t="s">
        <v>157</v>
      </c>
      <c r="M38" s="69">
        <v>7973</v>
      </c>
      <c r="P38" s="180"/>
      <c r="Q38" s="180"/>
    </row>
    <row r="39" spans="1:17" ht="15.75">
      <c r="A39" s="1" t="s">
        <v>84</v>
      </c>
      <c r="B39" s="130" t="s">
        <v>85</v>
      </c>
      <c r="C39" s="20">
        <v>-95896.08</v>
      </c>
      <c r="D39" s="177"/>
      <c r="F39" s="73" t="s">
        <v>16</v>
      </c>
      <c r="G39" s="92">
        <f t="shared" ref="G39:G44" si="1">G25</f>
        <v>5325716</v>
      </c>
      <c r="H39" s="96" t="s">
        <v>157</v>
      </c>
      <c r="I39" s="69">
        <v>1178508</v>
      </c>
      <c r="J39" s="73" t="s">
        <v>18</v>
      </c>
      <c r="K39" s="92">
        <f>K26</f>
        <v>0</v>
      </c>
      <c r="L39" s="96" t="s">
        <v>157</v>
      </c>
      <c r="M39" s="69">
        <v>0</v>
      </c>
      <c r="P39" s="180"/>
      <c r="Q39" s="180"/>
    </row>
    <row r="40" spans="1:17" ht="15.75">
      <c r="A40" s="1" t="s">
        <v>73</v>
      </c>
      <c r="B40" s="130" t="s">
        <v>74</v>
      </c>
      <c r="C40" s="20">
        <v>1748289.38</v>
      </c>
      <c r="D40" s="177"/>
      <c r="F40" s="73" t="s">
        <v>17</v>
      </c>
      <c r="G40" s="92">
        <f t="shared" si="1"/>
        <v>153941</v>
      </c>
      <c r="H40" s="96" t="s">
        <v>157</v>
      </c>
      <c r="I40" s="69">
        <v>37115</v>
      </c>
      <c r="J40" s="73" t="s">
        <v>19</v>
      </c>
      <c r="K40" s="92">
        <f>K27</f>
        <v>0</v>
      </c>
      <c r="L40" s="96" t="s">
        <v>157</v>
      </c>
      <c r="M40" s="69">
        <v>0</v>
      </c>
      <c r="P40" s="180"/>
      <c r="Q40" s="180"/>
    </row>
    <row r="41" spans="1:17" ht="15.75">
      <c r="A41" s="1" t="s">
        <v>90</v>
      </c>
      <c r="B41" s="125" t="s">
        <v>91</v>
      </c>
      <c r="C41" s="20">
        <f>39040.01-26739.64</f>
        <v>12300.370000000003</v>
      </c>
      <c r="D41" s="177"/>
      <c r="F41" s="73" t="s">
        <v>18</v>
      </c>
      <c r="G41" s="92">
        <f t="shared" si="1"/>
        <v>458380</v>
      </c>
      <c r="H41" s="96" t="s">
        <v>157</v>
      </c>
      <c r="I41" s="69">
        <v>98901</v>
      </c>
      <c r="J41" s="73" t="s">
        <v>20</v>
      </c>
      <c r="K41" s="91">
        <v>0</v>
      </c>
      <c r="L41" s="96" t="s">
        <v>157</v>
      </c>
      <c r="M41" s="69">
        <v>0</v>
      </c>
      <c r="P41" s="180"/>
      <c r="Q41" s="180"/>
    </row>
    <row r="42" spans="1:17" ht="16.5" thickBot="1">
      <c r="A42" s="1" t="s">
        <v>108</v>
      </c>
      <c r="B42" s="130" t="s">
        <v>109</v>
      </c>
      <c r="C42" s="20">
        <v>509848.88</v>
      </c>
      <c r="D42" s="2"/>
      <c r="F42" s="73" t="s">
        <v>19</v>
      </c>
      <c r="G42" s="92">
        <f t="shared" si="1"/>
        <v>-87780</v>
      </c>
      <c r="H42" s="96" t="s">
        <v>157</v>
      </c>
      <c r="I42" s="69">
        <v>-21349</v>
      </c>
      <c r="J42" s="73" t="s">
        <v>21</v>
      </c>
      <c r="K42" s="93">
        <v>0</v>
      </c>
      <c r="L42" s="96" t="s">
        <v>157</v>
      </c>
      <c r="M42" s="69">
        <v>0</v>
      </c>
      <c r="P42" s="180"/>
      <c r="Q42" s="180"/>
    </row>
    <row r="43" spans="1:17" ht="16.5" thickBot="1">
      <c r="A43" s="14" t="s">
        <v>65</v>
      </c>
      <c r="B43" s="4"/>
      <c r="C43" s="176">
        <f>SUM(C37:C42)</f>
        <v>12703638.210000001</v>
      </c>
      <c r="D43" s="177"/>
      <c r="F43" s="73" t="s">
        <v>20</v>
      </c>
      <c r="G43" s="92">
        <f t="shared" si="1"/>
        <v>0</v>
      </c>
      <c r="H43" s="96" t="s">
        <v>157</v>
      </c>
      <c r="I43" s="69">
        <v>0</v>
      </c>
      <c r="J43" s="72" t="s">
        <v>75</v>
      </c>
      <c r="K43" s="54">
        <f>SUM(K36:K42)</f>
        <v>9856292</v>
      </c>
      <c r="L43" s="55"/>
      <c r="M43" s="70">
        <f>SUM(M36:M42)</f>
        <v>2138034</v>
      </c>
      <c r="N43" s="95">
        <f>M43/(M43+I45)</f>
        <v>0.31650260999475072</v>
      </c>
    </row>
    <row r="44" spans="1:17" ht="16.5" thickBot="1">
      <c r="A44" s="181" t="s">
        <v>107</v>
      </c>
      <c r="B44" s="182" t="s">
        <v>62</v>
      </c>
      <c r="C44" s="20">
        <f>-467703.91+428730.4</f>
        <v>-38973.509999999951</v>
      </c>
      <c r="D44" s="2"/>
      <c r="F44" s="73" t="s">
        <v>21</v>
      </c>
      <c r="G44" s="92">
        <f t="shared" si="1"/>
        <v>98095</v>
      </c>
      <c r="H44" s="96" t="s">
        <v>157</v>
      </c>
      <c r="I44" s="69">
        <v>22559</v>
      </c>
      <c r="J44" s="67"/>
      <c r="K44" s="86">
        <v>9856292</v>
      </c>
      <c r="L44" s="62" t="s">
        <v>48</v>
      </c>
      <c r="M44" s="83">
        <f>M43/K43</f>
        <v>0.2169207243454232</v>
      </c>
    </row>
    <row r="45" spans="1:17" ht="16.5" thickBot="1">
      <c r="A45" s="79" t="s">
        <v>101</v>
      </c>
      <c r="B45" s="125" t="s">
        <v>57</v>
      </c>
      <c r="C45" s="20">
        <v>0</v>
      </c>
      <c r="D45" s="178"/>
      <c r="F45" s="72" t="s">
        <v>75</v>
      </c>
      <c r="G45" s="54">
        <f>SUM(G37:G44)</f>
        <v>20807788</v>
      </c>
      <c r="H45" s="55"/>
      <c r="I45" s="70">
        <f>SUM(I37:I44)</f>
        <v>4617152</v>
      </c>
      <c r="J45" s="21"/>
      <c r="K45" s="84">
        <f>K43-K44</f>
        <v>0</v>
      </c>
      <c r="M45" s="21"/>
    </row>
    <row r="46" spans="1:17" ht="19.5" customHeight="1" thickTop="1" thickBot="1">
      <c r="A46" s="79" t="s">
        <v>102</v>
      </c>
      <c r="B46" s="125" t="s">
        <v>57</v>
      </c>
      <c r="C46" s="20">
        <v>0</v>
      </c>
      <c r="D46" s="179"/>
      <c r="F46" s="61"/>
      <c r="G46" s="86">
        <v>20807788</v>
      </c>
      <c r="H46" s="62" t="s">
        <v>48</v>
      </c>
      <c r="I46" s="81">
        <f>I45/G45</f>
        <v>0.22189537878798074</v>
      </c>
      <c r="J46" s="21"/>
      <c r="K46" s="84"/>
      <c r="M46" s="21"/>
    </row>
    <row r="47" spans="1:17" ht="19.5" customHeight="1">
      <c r="A47" s="95" t="s">
        <v>79</v>
      </c>
      <c r="B47" s="125" t="s">
        <v>57</v>
      </c>
      <c r="C47" s="20">
        <v>0</v>
      </c>
      <c r="D47" s="177"/>
      <c r="G47" s="84">
        <f>G45-G46</f>
        <v>0</v>
      </c>
      <c r="J47" s="21"/>
      <c r="K47" s="84"/>
      <c r="M47" s="21"/>
    </row>
    <row r="48" spans="1:17" ht="16.5" thickBot="1">
      <c r="A48" s="79" t="s">
        <v>155</v>
      </c>
      <c r="B48" s="125" t="s">
        <v>57</v>
      </c>
      <c r="C48" s="20">
        <v>7000</v>
      </c>
      <c r="D48" s="177"/>
      <c r="J48" s="21"/>
      <c r="K48" s="18"/>
      <c r="M48" s="13"/>
    </row>
    <row r="49" spans="1:21" ht="15.75">
      <c r="A49" s="1" t="s">
        <v>72</v>
      </c>
      <c r="B49" s="130" t="s">
        <v>89</v>
      </c>
      <c r="C49" s="20">
        <v>18885.439999999999</v>
      </c>
      <c r="D49" s="177"/>
      <c r="G49" s="18"/>
      <c r="H49" s="25" t="s">
        <v>13</v>
      </c>
      <c r="I49" s="5" t="s">
        <v>13</v>
      </c>
      <c r="J49" s="5" t="s">
        <v>25</v>
      </c>
      <c r="K49" s="23" t="s">
        <v>32</v>
      </c>
      <c r="L49" s="21"/>
    </row>
    <row r="50" spans="1:21" ht="16.5" thickBot="1">
      <c r="A50" s="1" t="s">
        <v>121</v>
      </c>
      <c r="B50" s="130" t="s">
        <v>89</v>
      </c>
      <c r="C50" s="20">
        <v>2712.28</v>
      </c>
      <c r="D50" s="177"/>
      <c r="F50" s="9" t="s">
        <v>35</v>
      </c>
      <c r="H50" s="26" t="s">
        <v>0</v>
      </c>
      <c r="I50" s="27" t="s">
        <v>1</v>
      </c>
      <c r="J50" s="27" t="s">
        <v>0</v>
      </c>
      <c r="K50" s="24" t="s">
        <v>1</v>
      </c>
    </row>
    <row r="51" spans="1:21" ht="15.75">
      <c r="A51" s="1" t="s">
        <v>159</v>
      </c>
      <c r="B51" s="130" t="s">
        <v>89</v>
      </c>
      <c r="C51" s="20">
        <v>5061.87</v>
      </c>
      <c r="D51" s="177"/>
      <c r="H51" s="30"/>
      <c r="I51" s="31"/>
      <c r="J51" s="31"/>
      <c r="K51" s="31"/>
      <c r="L51" s="22" t="s">
        <v>49</v>
      </c>
    </row>
    <row r="52" spans="1:21" ht="15.75">
      <c r="A52" s="42" t="s">
        <v>60</v>
      </c>
      <c r="B52" s="125"/>
      <c r="C52" s="17">
        <f>-C33</f>
        <v>75391.22</v>
      </c>
      <c r="D52" s="174"/>
      <c r="H52" s="80">
        <f>K12</f>
        <v>4230688.0017059995</v>
      </c>
      <c r="I52" s="19">
        <f>I14</f>
        <v>1549593.079446</v>
      </c>
      <c r="J52" s="19">
        <f>L12</f>
        <v>2000814.5982940001</v>
      </c>
      <c r="K52" s="19">
        <f>J14</f>
        <v>694242.8305540001</v>
      </c>
      <c r="L52" s="28">
        <f>SUM(H52:K52)</f>
        <v>8475338.5099999998</v>
      </c>
    </row>
    <row r="53" spans="1:21" ht="16.5" thickBot="1">
      <c r="A53" s="95" t="s">
        <v>166</v>
      </c>
      <c r="B53" s="130" t="s">
        <v>167</v>
      </c>
      <c r="C53" s="20">
        <v>10479.66</v>
      </c>
      <c r="D53" s="174"/>
      <c r="F53" s="95" t="s">
        <v>78</v>
      </c>
      <c r="H53" s="80">
        <f>-I45</f>
        <v>-4617152</v>
      </c>
      <c r="I53" s="19">
        <f>-I32</f>
        <v>-2142326</v>
      </c>
      <c r="J53" s="19">
        <f>-M43</f>
        <v>-2138034</v>
      </c>
      <c r="K53" s="19">
        <f>-M28</f>
        <v>-1042508</v>
      </c>
      <c r="L53" s="90">
        <f>SUM(H53:K53)</f>
        <v>-9940020</v>
      </c>
    </row>
    <row r="54" spans="1:21" ht="16.5" thickBot="1">
      <c r="A54" s="95" t="s">
        <v>66</v>
      </c>
      <c r="B54" s="125" t="s">
        <v>153</v>
      </c>
      <c r="C54" s="20">
        <f>-472597.5-1501696.56-4040478.9</f>
        <v>-6014772.96</v>
      </c>
      <c r="D54" s="177"/>
      <c r="F54" s="95" t="s">
        <v>51</v>
      </c>
      <c r="H54" s="87">
        <v>0</v>
      </c>
      <c r="I54" s="88">
        <v>0</v>
      </c>
      <c r="J54" s="88">
        <v>0</v>
      </c>
      <c r="K54" s="89">
        <v>0</v>
      </c>
      <c r="L54" s="183">
        <f>SUM(L52:L53)</f>
        <v>-1464681.4900000002</v>
      </c>
    </row>
    <row r="55" spans="1:21" ht="16.5" thickBot="1">
      <c r="A55" s="95" t="s">
        <v>163</v>
      </c>
      <c r="B55" s="125" t="s">
        <v>119</v>
      </c>
      <c r="C55" s="20">
        <v>-375000</v>
      </c>
      <c r="D55" s="177"/>
      <c r="F55" s="95" t="s">
        <v>37</v>
      </c>
      <c r="H55" s="176">
        <f>IFERROR(H52+H53+H54,0)</f>
        <v>-386463.99829400051</v>
      </c>
      <c r="I55" s="176">
        <f>I52+I53+I54</f>
        <v>-592732.92055399995</v>
      </c>
      <c r="J55" s="176">
        <f>IFERROR(J52+J53+J54,0)</f>
        <v>-137219.40170599986</v>
      </c>
      <c r="K55" s="176">
        <f>K52+K53+K54</f>
        <v>-348265.1694459999</v>
      </c>
      <c r="L55" s="184">
        <f>SUM(H55:K55)</f>
        <v>-1464681.4900000002</v>
      </c>
    </row>
    <row r="56" spans="1:21" ht="16.5" thickBot="1">
      <c r="A56" s="185" t="s">
        <v>61</v>
      </c>
      <c r="B56" s="182"/>
      <c r="C56" s="34">
        <f>SUM(C43:C55)</f>
        <v>6394422.21</v>
      </c>
      <c r="D56" s="177"/>
      <c r="F56" s="95" t="s">
        <v>33</v>
      </c>
      <c r="H56" s="95" t="s">
        <v>103</v>
      </c>
      <c r="I56" s="1">
        <f>SUM(H55:I55)</f>
        <v>-979196.91884800047</v>
      </c>
      <c r="J56" s="12" t="s">
        <v>104</v>
      </c>
      <c r="K56" s="95">
        <f>SUM(J55:K55)</f>
        <v>-485484.57115199976</v>
      </c>
      <c r="L56" s="187">
        <f>ROUND(L54-L55,3)</f>
        <v>0</v>
      </c>
      <c r="T56" s="188"/>
    </row>
    <row r="57" spans="1:21" ht="16.5" thickTop="1">
      <c r="A57" s="95" t="s">
        <v>63</v>
      </c>
      <c r="B57" s="125" t="s">
        <v>57</v>
      </c>
      <c r="C57" s="20">
        <v>-108566.91</v>
      </c>
      <c r="D57" s="177"/>
      <c r="F57" s="186" t="s">
        <v>111</v>
      </c>
      <c r="H57" s="190"/>
    </row>
    <row r="58" spans="1:21" ht="16.5" thickBot="1">
      <c r="A58" s="95" t="s">
        <v>64</v>
      </c>
      <c r="B58" s="125" t="s">
        <v>57</v>
      </c>
      <c r="C58" s="20">
        <v>-54352.7</v>
      </c>
      <c r="D58" s="177"/>
      <c r="F58" s="189" t="s">
        <v>111</v>
      </c>
      <c r="H58" s="178"/>
      <c r="I58" s="191"/>
      <c r="J58" s="191"/>
      <c r="K58" s="192"/>
      <c r="L58" s="191"/>
    </row>
    <row r="59" spans="1:21" ht="16.5" thickBot="1">
      <c r="A59" s="9" t="s">
        <v>67</v>
      </c>
      <c r="B59" s="9"/>
      <c r="C59" s="34">
        <f>SUM(C56:C58)</f>
        <v>6231502.5999999996</v>
      </c>
      <c r="D59" s="177"/>
      <c r="F59" s="189" t="s">
        <v>112</v>
      </c>
      <c r="H59" s="30" t="s">
        <v>151</v>
      </c>
      <c r="I59" s="75"/>
    </row>
    <row r="60" spans="1:21" ht="17.25" thickTop="1" thickBot="1">
      <c r="A60" s="9"/>
      <c r="C60" s="120"/>
      <c r="D60" s="177"/>
      <c r="F60" s="193" t="s">
        <v>154</v>
      </c>
      <c r="G60" s="108"/>
      <c r="H60" s="33"/>
      <c r="I60" s="194"/>
      <c r="J60" s="1"/>
    </row>
    <row r="61" spans="1:21" ht="16.5" thickBot="1">
      <c r="A61" s="29"/>
      <c r="B61" s="29" t="s">
        <v>45</v>
      </c>
      <c r="C61" s="176">
        <f>C59+C34</f>
        <v>8475338.5099999998</v>
      </c>
      <c r="D61" s="177"/>
      <c r="H61" s="94"/>
      <c r="I61" s="98"/>
      <c r="J61" s="95">
        <f>H53+I53+J53+K53</f>
        <v>-9940020</v>
      </c>
    </row>
    <row r="62" spans="1:21" ht="15.75">
      <c r="A62" s="9"/>
      <c r="B62" s="29" t="s">
        <v>94</v>
      </c>
      <c r="C62" s="126">
        <v>8475338.5099999998</v>
      </c>
      <c r="D62" s="2"/>
      <c r="I62" s="17"/>
      <c r="N62" s="1"/>
      <c r="O62" s="1"/>
      <c r="P62" s="195"/>
    </row>
    <row r="63" spans="1:21" ht="15.75">
      <c r="A63" s="29"/>
      <c r="B63" s="29" t="s">
        <v>93</v>
      </c>
      <c r="C63" s="17">
        <f>ROUND(C61-C62,2)</f>
        <v>0</v>
      </c>
      <c r="G63" s="1"/>
      <c r="S63" s="125"/>
    </row>
    <row r="64" spans="1:21" ht="15.75">
      <c r="A64" s="15"/>
      <c r="C64" s="196"/>
      <c r="D64" s="177"/>
      <c r="N64" s="42"/>
      <c r="U64" s="9"/>
    </row>
    <row r="65" spans="1:21" ht="15.75">
      <c r="A65" s="15"/>
      <c r="C65" s="2"/>
      <c r="D65" s="197"/>
      <c r="N65" s="42"/>
      <c r="S65" s="198"/>
    </row>
    <row r="66" spans="1:21" ht="15.75">
      <c r="A66" s="9"/>
      <c r="C66" s="2"/>
      <c r="D66" s="177"/>
      <c r="N66" s="42"/>
      <c r="S66" s="199"/>
    </row>
    <row r="67" spans="1:21">
      <c r="C67" s="2"/>
      <c r="D67" s="177"/>
      <c r="N67" s="42"/>
      <c r="S67" s="200"/>
    </row>
    <row r="68" spans="1:21">
      <c r="D68" s="177"/>
      <c r="N68" s="42"/>
      <c r="S68" s="199"/>
    </row>
    <row r="69" spans="1:21">
      <c r="D69" s="177"/>
      <c r="N69" s="42"/>
    </row>
    <row r="70" spans="1:21">
      <c r="D70" s="2"/>
      <c r="N70" s="42"/>
      <c r="S70" s="201"/>
    </row>
    <row r="71" spans="1:21">
      <c r="D71" s="177"/>
    </row>
    <row r="72" spans="1:21">
      <c r="D72" s="177"/>
    </row>
    <row r="73" spans="1:21">
      <c r="D73" s="177"/>
      <c r="S73" s="202"/>
    </row>
    <row r="74" spans="1:21">
      <c r="D74" s="64"/>
      <c r="R74" s="125"/>
      <c r="S74" s="125"/>
      <c r="T74" s="125"/>
    </row>
    <row r="76" spans="1:21">
      <c r="U76" s="203"/>
    </row>
    <row r="1477" spans="3:3">
      <c r="C1477" s="95">
        <v>-2130</v>
      </c>
    </row>
    <row r="1485" spans="3:3">
      <c r="C1485" s="95">
        <f>7004298-2130</f>
        <v>7002168</v>
      </c>
    </row>
  </sheetData>
  <mergeCells count="3">
    <mergeCell ref="F18:I18"/>
    <mergeCell ref="J18:M18"/>
    <mergeCell ref="K35:M35"/>
  </mergeCells>
  <conditionalFormatting sqref="L56 I62 C63">
    <cfRule type="cellIs" dxfId="60" priority="2" stopIfTrue="1" operator="equal">
      <formula>0</formula>
    </cfRule>
    <cfRule type="cellIs" dxfId="59" priority="3" stopIfTrue="1" operator="notEqual">
      <formula>0</formula>
    </cfRule>
  </conditionalFormatting>
  <conditionalFormatting sqref="G34 G47 K30 K45:K47">
    <cfRule type="cellIs" dxfId="58" priority="1" operator="notEqual">
      <formula>0</formula>
    </cfRule>
  </conditionalFormatting>
  <printOptions verticalCentered="1" gridLinesSet="0"/>
  <pageMargins left="0.5" right="0" top="0.25" bottom="0.5" header="0" footer="0.25"/>
  <pageSetup scale="47" orientation="landscape" cellComments="asDisplayed" r:id="rId1"/>
  <headerFooter alignWithMargins="0">
    <oddFooter>&amp;L&amp;F&amp;C&amp;A&amp;R&amp;D&amp;T</oddFooter>
  </headerFooter>
  <customProperties>
    <customPr name="xxe4aPID" r:id="rId2"/>
  </customProperties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tabColor rgb="FF00CC66"/>
    <pageSetUpPr fitToPage="1"/>
  </sheetPr>
  <dimension ref="A1:U1485"/>
  <sheetViews>
    <sheetView showGridLines="0" tabSelected="1" topLeftCell="A34" zoomScale="70" zoomScaleNormal="70" workbookViewId="0">
      <selection activeCell="X1" sqref="X1:X1048576"/>
    </sheetView>
  </sheetViews>
  <sheetFormatPr defaultColWidth="16" defaultRowHeight="15"/>
  <cols>
    <col min="1" max="1" width="44.85546875" style="95" customWidth="1"/>
    <col min="2" max="2" width="25.5703125" style="95" customWidth="1"/>
    <col min="3" max="3" width="25.28515625" style="95" customWidth="1"/>
    <col min="4" max="4" width="2.7109375" style="95" customWidth="1"/>
    <col min="5" max="5" width="4.28515625" style="95" customWidth="1"/>
    <col min="6" max="6" width="26.7109375" style="95" customWidth="1"/>
    <col min="7" max="7" width="19" style="95" customWidth="1"/>
    <col min="8" max="8" width="22" style="95" customWidth="1"/>
    <col min="9" max="9" width="20.42578125" style="95" customWidth="1"/>
    <col min="10" max="10" width="26.28515625" style="95" customWidth="1"/>
    <col min="11" max="11" width="21.85546875" style="95" bestFit="1" customWidth="1"/>
    <col min="12" max="12" width="23.85546875" style="95" customWidth="1"/>
    <col min="13" max="13" width="20.85546875" style="95" bestFit="1" customWidth="1"/>
    <col min="14" max="15" width="16" style="95"/>
    <col min="16" max="16" width="16.28515625" style="95" bestFit="1" customWidth="1"/>
    <col min="17" max="16384" width="16" style="95"/>
  </cols>
  <sheetData>
    <row r="1" spans="1:12" ht="16.5" thickBot="1">
      <c r="A1" s="172" t="s">
        <v>26</v>
      </c>
      <c r="B1" s="173"/>
      <c r="C1" s="107">
        <f>[5]Nov!C1+1</f>
        <v>201712</v>
      </c>
      <c r="F1" s="107">
        <f>C1</f>
        <v>201712</v>
      </c>
      <c r="H1" s="35" t="s">
        <v>31</v>
      </c>
      <c r="I1" s="22" t="s">
        <v>1</v>
      </c>
      <c r="J1" s="22" t="s">
        <v>1</v>
      </c>
      <c r="K1" s="22" t="s">
        <v>28</v>
      </c>
      <c r="L1" s="22" t="s">
        <v>28</v>
      </c>
    </row>
    <row r="2" spans="1:12" ht="15.75">
      <c r="C2" s="6"/>
      <c r="H2" s="36" t="s">
        <v>10</v>
      </c>
      <c r="I2" s="37" t="s">
        <v>27</v>
      </c>
      <c r="J2" s="37" t="s">
        <v>27</v>
      </c>
      <c r="K2" s="37" t="s">
        <v>29</v>
      </c>
      <c r="L2" s="37" t="s">
        <v>29</v>
      </c>
    </row>
    <row r="3" spans="1:12" ht="16.5" thickBot="1">
      <c r="A3" s="10" t="s">
        <v>52</v>
      </c>
      <c r="C3" s="7"/>
      <c r="D3" s="174"/>
      <c r="F3" s="9" t="s">
        <v>34</v>
      </c>
      <c r="H3" s="38" t="s">
        <v>30</v>
      </c>
      <c r="I3" s="38" t="s">
        <v>13</v>
      </c>
      <c r="J3" s="38" t="s">
        <v>25</v>
      </c>
      <c r="K3" s="38" t="s">
        <v>13</v>
      </c>
      <c r="L3" s="38" t="s">
        <v>25</v>
      </c>
    </row>
    <row r="4" spans="1:12" ht="15.75">
      <c r="A4" s="95" t="s">
        <v>38</v>
      </c>
      <c r="C4" s="20">
        <v>3814703.65</v>
      </c>
      <c r="D4" s="6"/>
      <c r="H4" s="3"/>
    </row>
    <row r="5" spans="1:12" ht="14.25" customHeight="1">
      <c r="A5" s="95" t="s">
        <v>9</v>
      </c>
      <c r="C5" s="20">
        <f>144686.25-264085.8</f>
        <v>-119399.54999999999</v>
      </c>
      <c r="D5" s="6"/>
      <c r="H5" s="3"/>
      <c r="I5" s="175">
        <v>0.69059999999999999</v>
      </c>
      <c r="J5" s="175">
        <v>0.30940000000000001</v>
      </c>
      <c r="K5" s="97">
        <f>ROUND(G45/(G45+K43),4)</f>
        <v>0.68379999999999996</v>
      </c>
      <c r="L5" s="97">
        <f>1-K5</f>
        <v>0.31620000000000004</v>
      </c>
    </row>
    <row r="6" spans="1:12" ht="16.5" thickBot="1">
      <c r="A6" s="8" t="s">
        <v>8</v>
      </c>
      <c r="C6" s="116">
        <f>-81979.5-102391.76-1559644.1-444850-127100-142987.5</f>
        <v>-2458952.8600000003</v>
      </c>
      <c r="D6" s="6"/>
    </row>
    <row r="7" spans="1:12" ht="16.5" thickBot="1">
      <c r="A7" s="12" t="s">
        <v>82</v>
      </c>
      <c r="C7" s="17">
        <f>SUM(C4:C6)</f>
        <v>1236351.2399999998</v>
      </c>
      <c r="D7" s="7"/>
      <c r="F7" s="39" t="s">
        <v>81</v>
      </c>
      <c r="G7" s="39"/>
      <c r="H7" s="176">
        <f>C34</f>
        <v>2311258.1400000006</v>
      </c>
      <c r="I7" s="40">
        <f>H7*I5</f>
        <v>1596154.8714840005</v>
      </c>
      <c r="J7" s="40">
        <f>H7*J5</f>
        <v>715103.26851600024</v>
      </c>
      <c r="K7" s="40"/>
      <c r="L7" s="40"/>
    </row>
    <row r="8" spans="1:12" ht="15.75">
      <c r="A8" s="95" t="s">
        <v>39</v>
      </c>
      <c r="C8" s="20">
        <f>252729.32</f>
        <v>252729.32</v>
      </c>
      <c r="D8" s="7"/>
      <c r="H8" s="41"/>
      <c r="I8" s="41"/>
      <c r="J8" s="41"/>
      <c r="K8" s="41"/>
      <c r="L8" s="41"/>
    </row>
    <row r="9" spans="1:12" ht="15.75">
      <c r="A9" s="95" t="s">
        <v>40</v>
      </c>
      <c r="C9" s="20">
        <f>8921.71</f>
        <v>8921.7099999999991</v>
      </c>
      <c r="D9" s="177"/>
      <c r="F9" s="39" t="s">
        <v>61</v>
      </c>
      <c r="H9" s="40">
        <f>C56</f>
        <v>8170179.8899999931</v>
      </c>
      <c r="I9" s="40"/>
      <c r="J9" s="40"/>
      <c r="K9" s="40">
        <f>H9*K5</f>
        <v>5586769.0087819947</v>
      </c>
      <c r="L9" s="40">
        <f>H9*L5</f>
        <v>2583410.881217998</v>
      </c>
    </row>
    <row r="10" spans="1:12" ht="15.75">
      <c r="A10" s="8" t="s">
        <v>41</v>
      </c>
      <c r="C10" s="116">
        <v>-3418.47</v>
      </c>
      <c r="D10" s="177"/>
      <c r="F10" s="42" t="s">
        <v>22</v>
      </c>
      <c r="H10" s="40">
        <f>C57</f>
        <v>5267.34</v>
      </c>
      <c r="I10" s="40"/>
      <c r="J10" s="40"/>
      <c r="K10" s="40">
        <f>H10</f>
        <v>5267.34</v>
      </c>
      <c r="L10" s="40"/>
    </row>
    <row r="11" spans="1:12">
      <c r="A11" s="12" t="s">
        <v>83</v>
      </c>
      <c r="C11" s="17">
        <f>SUM(C8:C10)</f>
        <v>258232.56</v>
      </c>
      <c r="D11" s="177"/>
      <c r="F11" s="42" t="s">
        <v>23</v>
      </c>
      <c r="H11" s="43">
        <f>C58</f>
        <v>3644.06</v>
      </c>
      <c r="I11" s="40"/>
      <c r="J11" s="40"/>
      <c r="K11" s="43"/>
      <c r="L11" s="43">
        <f>H11</f>
        <v>3644.06</v>
      </c>
    </row>
    <row r="12" spans="1:12" ht="15.75">
      <c r="A12" s="95" t="s">
        <v>98</v>
      </c>
      <c r="C12" s="20">
        <f>189318.35+1797.22</f>
        <v>191115.57</v>
      </c>
      <c r="D12" s="177"/>
      <c r="F12" s="42" t="s">
        <v>80</v>
      </c>
      <c r="H12" s="40">
        <f>H9+H10+H11</f>
        <v>8179091.2899999926</v>
      </c>
      <c r="I12" s="40"/>
      <c r="J12" s="40"/>
      <c r="K12" s="40">
        <f>SUM(K9:K11)</f>
        <v>5592036.3487819945</v>
      </c>
      <c r="L12" s="40">
        <f>SUM(L9:L11)</f>
        <v>2587054.941217998</v>
      </c>
    </row>
    <row r="13" spans="1:12" ht="16.5" thickBot="1">
      <c r="A13" s="8" t="s">
        <v>99</v>
      </c>
      <c r="C13" s="116">
        <v>0</v>
      </c>
      <c r="D13" s="177"/>
      <c r="F13" s="44"/>
      <c r="G13" s="45"/>
      <c r="H13" s="46"/>
      <c r="I13" s="47"/>
      <c r="J13" s="46"/>
      <c r="K13" s="41"/>
      <c r="L13" s="46"/>
    </row>
    <row r="14" spans="1:12" ht="16.5" thickBot="1">
      <c r="A14" s="12" t="s">
        <v>42</v>
      </c>
      <c r="C14" s="17">
        <f>SUM(C12:C13)</f>
        <v>191115.57</v>
      </c>
      <c r="D14" s="2"/>
      <c r="F14" s="9" t="s">
        <v>31</v>
      </c>
      <c r="G14" s="48"/>
      <c r="H14" s="176">
        <f>H12+H7</f>
        <v>10490349.429999992</v>
      </c>
      <c r="I14" s="49">
        <f>SUM(I7:I13)</f>
        <v>1596154.8714840005</v>
      </c>
      <c r="J14" s="49">
        <f>SUM(J7:J13)</f>
        <v>715103.26851600024</v>
      </c>
      <c r="K14" s="49">
        <f>K12</f>
        <v>5592036.3487819945</v>
      </c>
      <c r="L14" s="49">
        <f>L12</f>
        <v>2587054.941217998</v>
      </c>
    </row>
    <row r="15" spans="1:12" ht="15.75">
      <c r="A15" s="95" t="s">
        <v>113</v>
      </c>
      <c r="C15" s="20">
        <f>4199.51+442374.93</f>
        <v>446574.44</v>
      </c>
      <c r="D15" s="177"/>
      <c r="F15" s="44"/>
      <c r="G15" s="45" t="s">
        <v>48</v>
      </c>
      <c r="H15" s="46">
        <f>H14-C61</f>
        <v>0</v>
      </c>
      <c r="I15" s="50"/>
      <c r="J15" s="46">
        <f>J7+I7-H7</f>
        <v>0</v>
      </c>
      <c r="L15" s="46">
        <f>H12-K14-L14</f>
        <v>0</v>
      </c>
    </row>
    <row r="16" spans="1:12" ht="15.75">
      <c r="A16" s="8" t="s">
        <v>114</v>
      </c>
      <c r="C16" s="116">
        <v>0</v>
      </c>
      <c r="D16" s="177"/>
      <c r="F16" s="51"/>
      <c r="G16" s="45"/>
      <c r="H16" s="52"/>
      <c r="I16" s="53"/>
      <c r="J16" s="52"/>
      <c r="L16" s="52"/>
    </row>
    <row r="17" spans="1:13" ht="15.75" thickBot="1">
      <c r="A17" s="12" t="s">
        <v>115</v>
      </c>
      <c r="C17" s="17">
        <f>SUM(C15:C16)</f>
        <v>446574.44</v>
      </c>
      <c r="D17" s="2"/>
      <c r="F17" s="44"/>
      <c r="G17" s="45"/>
      <c r="H17" s="52"/>
      <c r="I17" s="53"/>
      <c r="J17" s="56"/>
      <c r="L17" s="52"/>
    </row>
    <row r="18" spans="1:13" ht="16.5" thickBot="1">
      <c r="A18" s="95" t="s">
        <v>96</v>
      </c>
      <c r="C18" s="20">
        <f>709.25+64352.07+10361</f>
        <v>75422.320000000007</v>
      </c>
      <c r="D18" s="177"/>
      <c r="F18" s="204" t="s">
        <v>76</v>
      </c>
      <c r="G18" s="205"/>
      <c r="H18" s="205"/>
      <c r="I18" s="206"/>
      <c r="J18" s="204" t="s">
        <v>77</v>
      </c>
      <c r="K18" s="205"/>
      <c r="L18" s="205"/>
      <c r="M18" s="206"/>
    </row>
    <row r="19" spans="1:13" ht="15.75">
      <c r="A19" s="8" t="s">
        <v>97</v>
      </c>
      <c r="C19" s="116">
        <v>-362.14</v>
      </c>
      <c r="D19" s="177"/>
      <c r="F19" s="74" t="s">
        <v>50</v>
      </c>
      <c r="G19" s="37" t="s">
        <v>11</v>
      </c>
      <c r="H19" s="37" t="s">
        <v>11</v>
      </c>
      <c r="I19" s="37" t="s">
        <v>11</v>
      </c>
      <c r="J19" s="74" t="s">
        <v>50</v>
      </c>
      <c r="K19" s="37" t="s">
        <v>11</v>
      </c>
      <c r="L19" s="37" t="s">
        <v>11</v>
      </c>
      <c r="M19" s="58" t="s">
        <v>11</v>
      </c>
    </row>
    <row r="20" spans="1:13" ht="16.5" thickBot="1">
      <c r="A20" s="11" t="s">
        <v>43</v>
      </c>
      <c r="C20" s="17">
        <f>SUM(C18:C19)</f>
        <v>75060.180000000008</v>
      </c>
      <c r="D20" s="177"/>
      <c r="F20" s="68" t="s">
        <v>95</v>
      </c>
      <c r="G20" s="38" t="s">
        <v>47</v>
      </c>
      <c r="H20" s="38" t="s">
        <v>14</v>
      </c>
      <c r="I20" s="38" t="s">
        <v>12</v>
      </c>
      <c r="J20" s="68" t="s">
        <v>95</v>
      </c>
      <c r="K20" s="38" t="s">
        <v>47</v>
      </c>
      <c r="L20" s="38" t="s">
        <v>14</v>
      </c>
      <c r="M20" s="38" t="s">
        <v>12</v>
      </c>
    </row>
    <row r="21" spans="1:13" ht="15.75">
      <c r="A21" s="8" t="s">
        <v>87</v>
      </c>
      <c r="C21" s="116">
        <f>1850-118.03</f>
        <v>1731.97</v>
      </c>
      <c r="D21" s="177"/>
      <c r="F21" s="57"/>
      <c r="G21" s="4"/>
      <c r="H21" s="4"/>
      <c r="I21" s="58"/>
      <c r="J21" s="25"/>
      <c r="K21" s="5"/>
      <c r="L21" s="5"/>
      <c r="M21" s="75"/>
    </row>
    <row r="22" spans="1:13" ht="18" customHeight="1">
      <c r="A22" s="11" t="s">
        <v>87</v>
      </c>
      <c r="C22" s="17">
        <f>SUM(C21)</f>
        <v>1731.97</v>
      </c>
      <c r="D22" s="177"/>
      <c r="F22" s="72" t="s">
        <v>68</v>
      </c>
      <c r="G22" s="1"/>
      <c r="H22" s="1"/>
      <c r="I22" s="16"/>
      <c r="J22" s="72" t="s">
        <v>68</v>
      </c>
      <c r="K22" s="1"/>
      <c r="L22" s="1"/>
      <c r="M22" s="16"/>
    </row>
    <row r="23" spans="1:13" ht="15.75">
      <c r="A23" s="76" t="s">
        <v>110</v>
      </c>
      <c r="C23" s="17">
        <v>0</v>
      </c>
      <c r="D23" s="177"/>
      <c r="F23" s="73" t="s">
        <v>15</v>
      </c>
      <c r="G23" s="91">
        <v>22763596</v>
      </c>
      <c r="H23" s="96" t="s">
        <v>157</v>
      </c>
      <c r="I23" s="69">
        <v>2442861</v>
      </c>
      <c r="J23" s="73" t="s">
        <v>15</v>
      </c>
      <c r="K23" s="91">
        <v>10866998</v>
      </c>
      <c r="L23" s="96" t="s">
        <v>157</v>
      </c>
      <c r="M23" s="69">
        <v>1142014</v>
      </c>
    </row>
    <row r="24" spans="1:13" ht="15.75">
      <c r="A24" s="76" t="s">
        <v>116</v>
      </c>
      <c r="C24" s="20">
        <v>0</v>
      </c>
      <c r="D24" s="177"/>
      <c r="F24" s="73" t="s">
        <v>156</v>
      </c>
      <c r="G24" s="91">
        <v>25043</v>
      </c>
      <c r="H24" s="96" t="s">
        <v>157</v>
      </c>
      <c r="I24" s="69">
        <v>2685</v>
      </c>
      <c r="J24" s="73" t="s">
        <v>16</v>
      </c>
      <c r="K24" s="91">
        <v>3547299</v>
      </c>
      <c r="L24" s="96" t="s">
        <v>157</v>
      </c>
      <c r="M24" s="69">
        <v>372958</v>
      </c>
    </row>
    <row r="25" spans="1:13" ht="15.75">
      <c r="A25" s="76" t="s">
        <v>118</v>
      </c>
      <c r="C25" s="118">
        <v>0</v>
      </c>
      <c r="D25" s="177"/>
      <c r="F25" s="73" t="s">
        <v>16</v>
      </c>
      <c r="G25" s="91">
        <v>7830439</v>
      </c>
      <c r="H25" s="96" t="s">
        <v>157</v>
      </c>
      <c r="I25" s="69">
        <v>768458</v>
      </c>
      <c r="J25" s="73" t="s">
        <v>17</v>
      </c>
      <c r="K25" s="91">
        <v>2676</v>
      </c>
      <c r="L25" s="96" t="s">
        <v>157</v>
      </c>
      <c r="M25" s="69">
        <v>281</v>
      </c>
    </row>
    <row r="26" spans="1:13" ht="15.75">
      <c r="A26" s="77" t="s">
        <v>117</v>
      </c>
      <c r="C26" s="119">
        <v>0</v>
      </c>
      <c r="D26" s="177"/>
      <c r="F26" s="73" t="s">
        <v>17</v>
      </c>
      <c r="G26" s="91">
        <v>22211</v>
      </c>
      <c r="H26" s="96" t="s">
        <v>157</v>
      </c>
      <c r="I26" s="69">
        <v>2187</v>
      </c>
      <c r="J26" s="73" t="s">
        <v>18</v>
      </c>
      <c r="K26" s="91">
        <v>0</v>
      </c>
      <c r="L26" s="96" t="s">
        <v>157</v>
      </c>
      <c r="M26" s="69">
        <v>0</v>
      </c>
    </row>
    <row r="27" spans="1:13" ht="15.75">
      <c r="A27" s="11" t="s">
        <v>46</v>
      </c>
      <c r="C27" s="17">
        <f>SUM(C23:C26)</f>
        <v>0</v>
      </c>
      <c r="D27" s="177"/>
      <c r="F27" s="73" t="s">
        <v>18</v>
      </c>
      <c r="G27" s="91">
        <v>377693</v>
      </c>
      <c r="H27" s="96" t="s">
        <v>157</v>
      </c>
      <c r="I27" s="69">
        <v>44396</v>
      </c>
      <c r="J27" s="73" t="s">
        <v>19</v>
      </c>
      <c r="K27" s="91">
        <v>0</v>
      </c>
      <c r="L27" s="96" t="s">
        <v>157</v>
      </c>
      <c r="M27" s="69">
        <f t="shared" ref="M27" si="0">K27*L27</f>
        <v>0</v>
      </c>
    </row>
    <row r="28" spans="1:13" ht="16.5" thickBot="1">
      <c r="A28" s="78" t="s">
        <v>88</v>
      </c>
      <c r="C28" s="20">
        <v>0</v>
      </c>
      <c r="D28" s="2"/>
      <c r="F28" s="73" t="s">
        <v>19</v>
      </c>
      <c r="G28" s="91">
        <v>47834</v>
      </c>
      <c r="H28" s="96" t="s">
        <v>157</v>
      </c>
      <c r="I28" s="69">
        <v>4793</v>
      </c>
      <c r="J28" s="72" t="s">
        <v>69</v>
      </c>
      <c r="K28" s="54">
        <f>SUM(K23:K27)</f>
        <v>14416973</v>
      </c>
      <c r="L28" s="55"/>
      <c r="M28" s="70">
        <f>SUM(M23:M27)</f>
        <v>1515253</v>
      </c>
    </row>
    <row r="29" spans="1:13" ht="17.25" thickTop="1" thickBot="1">
      <c r="A29" s="78" t="s">
        <v>100</v>
      </c>
      <c r="C29" s="20">
        <v>0</v>
      </c>
      <c r="D29" s="177"/>
      <c r="F29" s="73" t="s">
        <v>20</v>
      </c>
      <c r="G29" s="91">
        <v>0</v>
      </c>
      <c r="H29" s="96" t="s">
        <v>157</v>
      </c>
      <c r="I29" s="69">
        <v>0</v>
      </c>
      <c r="J29" s="72"/>
      <c r="K29" s="85">
        <v>14416973</v>
      </c>
      <c r="L29" s="60" t="s">
        <v>48</v>
      </c>
      <c r="M29" s="69">
        <f>M28/K28</f>
        <v>0.10510202106919393</v>
      </c>
    </row>
    <row r="30" spans="1:13" ht="16.5" thickBot="1">
      <c r="A30" s="9" t="s">
        <v>53</v>
      </c>
      <c r="C30" s="176">
        <f>C7+C11+C14+C17+C20+C22+C27+C28+C29</f>
        <v>2209065.9600000004</v>
      </c>
      <c r="D30" s="2"/>
      <c r="F30" s="73" t="s">
        <v>21</v>
      </c>
      <c r="G30" s="91">
        <v>113048</v>
      </c>
      <c r="H30" s="96" t="s">
        <v>157</v>
      </c>
      <c r="I30" s="69">
        <v>7046</v>
      </c>
      <c r="J30" s="73"/>
      <c r="K30" s="84">
        <f>K28-K29</f>
        <v>0</v>
      </c>
      <c r="L30" s="55"/>
      <c r="M30" s="71"/>
    </row>
    <row r="31" spans="1:13" ht="15.75">
      <c r="A31" s="95" t="s">
        <v>54</v>
      </c>
      <c r="C31" s="20">
        <v>-8647.7999999999993</v>
      </c>
      <c r="D31" s="178"/>
      <c r="F31" s="73" t="s">
        <v>36</v>
      </c>
      <c r="G31" s="91">
        <v>3967685</v>
      </c>
      <c r="H31" s="96" t="s">
        <v>157</v>
      </c>
      <c r="I31" s="69">
        <v>2120</v>
      </c>
      <c r="J31" s="32"/>
      <c r="K31" s="1"/>
      <c r="L31" s="55"/>
      <c r="M31" s="71"/>
    </row>
    <row r="32" spans="1:13" ht="16.5" thickBot="1">
      <c r="A32" s="9" t="s">
        <v>58</v>
      </c>
      <c r="B32" s="9" t="s">
        <v>59</v>
      </c>
      <c r="C32" s="120">
        <f>C30+C31</f>
        <v>2200418.1600000006</v>
      </c>
      <c r="D32" s="179"/>
      <c r="F32" s="72" t="s">
        <v>69</v>
      </c>
      <c r="G32" s="54">
        <f>SUM(G23:G31)</f>
        <v>35147549</v>
      </c>
      <c r="H32" s="1"/>
      <c r="I32" s="70">
        <f>SUM(I23:I31)</f>
        <v>3274546</v>
      </c>
      <c r="J32" s="65"/>
      <c r="K32" s="66"/>
      <c r="L32" s="1"/>
      <c r="M32" s="63"/>
    </row>
    <row r="33" spans="1:17" ht="17.25" thickTop="1" thickBot="1">
      <c r="A33" s="95" t="s">
        <v>55</v>
      </c>
      <c r="C33" s="120">
        <f>-C5-C9-C13-C16-C19</f>
        <v>110839.98</v>
      </c>
      <c r="D33" s="177"/>
      <c r="F33" s="59"/>
      <c r="G33" s="85">
        <v>35147549</v>
      </c>
      <c r="H33" s="60" t="s">
        <v>48</v>
      </c>
      <c r="I33" s="82">
        <f>I32/G32</f>
        <v>9.3165699833009694E-2</v>
      </c>
      <c r="J33" s="65"/>
      <c r="K33" s="66"/>
      <c r="L33" s="1"/>
      <c r="M33" s="16"/>
    </row>
    <row r="34" spans="1:17" ht="16.5" thickBot="1">
      <c r="A34" s="9" t="s">
        <v>56</v>
      </c>
      <c r="C34" s="176">
        <f>SUM(C32:C33)</f>
        <v>2311258.1400000006</v>
      </c>
      <c r="D34" s="177"/>
      <c r="F34" s="32"/>
      <c r="G34" s="84">
        <f>G32-G33</f>
        <v>0</v>
      </c>
      <c r="H34" s="1"/>
      <c r="I34" s="16"/>
      <c r="J34" s="65"/>
      <c r="K34" s="64"/>
      <c r="L34" s="1"/>
      <c r="M34" s="16"/>
    </row>
    <row r="35" spans="1:17" ht="18" customHeight="1">
      <c r="A35" s="9"/>
      <c r="C35" s="120"/>
      <c r="D35" s="177"/>
      <c r="F35" s="57"/>
      <c r="G35" s="4"/>
      <c r="H35" s="4"/>
      <c r="I35" s="58"/>
      <c r="J35" s="72" t="s">
        <v>70</v>
      </c>
      <c r="K35" s="207"/>
      <c r="L35" s="207"/>
      <c r="M35" s="208"/>
    </row>
    <row r="36" spans="1:17" ht="15.75">
      <c r="A36" s="3" t="s">
        <v>44</v>
      </c>
      <c r="B36" s="9"/>
      <c r="C36" s="17"/>
      <c r="D36" s="177"/>
      <c r="F36" s="72" t="s">
        <v>70</v>
      </c>
      <c r="G36" s="1"/>
      <c r="H36" s="1"/>
      <c r="I36" s="16"/>
      <c r="J36" s="73" t="s">
        <v>15</v>
      </c>
      <c r="K36" s="92">
        <f>K23</f>
        <v>10866998</v>
      </c>
      <c r="L36" s="96" t="s">
        <v>157</v>
      </c>
      <c r="M36" s="69">
        <v>2363305</v>
      </c>
      <c r="P36" s="180"/>
      <c r="Q36" s="180"/>
    </row>
    <row r="37" spans="1:17" ht="15.75">
      <c r="A37" s="1" t="s">
        <v>71</v>
      </c>
      <c r="B37" s="130" t="s">
        <v>57</v>
      </c>
      <c r="C37" s="20">
        <v>9681385.6999999993</v>
      </c>
      <c r="D37" s="177"/>
      <c r="F37" s="73" t="s">
        <v>15</v>
      </c>
      <c r="G37" s="92">
        <f>G23</f>
        <v>22763596</v>
      </c>
      <c r="H37" s="96" t="s">
        <v>157</v>
      </c>
      <c r="I37" s="69">
        <v>4959905</v>
      </c>
      <c r="J37" s="73" t="s">
        <v>16</v>
      </c>
      <c r="K37" s="92">
        <f>K24</f>
        <v>3547299</v>
      </c>
      <c r="L37" s="96" t="s">
        <v>157</v>
      </c>
      <c r="M37" s="69">
        <v>771804</v>
      </c>
      <c r="P37" s="180"/>
      <c r="Q37" s="180"/>
    </row>
    <row r="38" spans="1:17" ht="15.75">
      <c r="A38" s="79" t="s">
        <v>4</v>
      </c>
      <c r="B38" s="130" t="s">
        <v>57</v>
      </c>
      <c r="C38" s="20">
        <v>0</v>
      </c>
      <c r="D38" s="177"/>
      <c r="F38" s="73" t="s">
        <v>156</v>
      </c>
      <c r="G38" s="92">
        <f>G24</f>
        <v>25043</v>
      </c>
      <c r="H38" s="96" t="s">
        <v>157</v>
      </c>
      <c r="I38" s="69">
        <v>5452</v>
      </c>
      <c r="J38" s="73" t="s">
        <v>17</v>
      </c>
      <c r="K38" s="92">
        <f>K25</f>
        <v>2676</v>
      </c>
      <c r="L38" s="96" t="s">
        <v>157</v>
      </c>
      <c r="M38" s="69">
        <v>582</v>
      </c>
      <c r="P38" s="180"/>
      <c r="Q38" s="180"/>
    </row>
    <row r="39" spans="1:17" ht="15.75">
      <c r="A39" s="1" t="s">
        <v>84</v>
      </c>
      <c r="B39" s="130" t="s">
        <v>85</v>
      </c>
      <c r="C39" s="20">
        <v>-80988.460000000006</v>
      </c>
      <c r="D39" s="177"/>
      <c r="F39" s="73" t="s">
        <v>16</v>
      </c>
      <c r="G39" s="92">
        <f t="shared" ref="G39:G44" si="1">G25</f>
        <v>7830439</v>
      </c>
      <c r="H39" s="96" t="s">
        <v>157</v>
      </c>
      <c r="I39" s="69">
        <v>1699326</v>
      </c>
      <c r="J39" s="73" t="s">
        <v>18</v>
      </c>
      <c r="K39" s="92">
        <f>K26</f>
        <v>0</v>
      </c>
      <c r="L39" s="96" t="s">
        <v>157</v>
      </c>
      <c r="M39" s="69">
        <v>0</v>
      </c>
      <c r="P39" s="180"/>
      <c r="Q39" s="180"/>
    </row>
    <row r="40" spans="1:17" ht="15.75">
      <c r="A40" s="1" t="s">
        <v>73</v>
      </c>
      <c r="B40" s="130" t="s">
        <v>74</v>
      </c>
      <c r="C40" s="20">
        <v>1903258.61</v>
      </c>
      <c r="D40" s="177"/>
      <c r="F40" s="73" t="s">
        <v>17</v>
      </c>
      <c r="G40" s="92">
        <f t="shared" si="1"/>
        <v>22211</v>
      </c>
      <c r="H40" s="96" t="s">
        <v>157</v>
      </c>
      <c r="I40" s="69">
        <v>4835</v>
      </c>
      <c r="J40" s="73" t="s">
        <v>19</v>
      </c>
      <c r="K40" s="92">
        <f>K27</f>
        <v>0</v>
      </c>
      <c r="L40" s="96" t="s">
        <v>157</v>
      </c>
      <c r="M40" s="69">
        <v>0</v>
      </c>
      <c r="P40" s="180"/>
      <c r="Q40" s="180"/>
    </row>
    <row r="41" spans="1:17" ht="15.75">
      <c r="A41" s="1" t="s">
        <v>90</v>
      </c>
      <c r="B41" s="125" t="s">
        <v>91</v>
      </c>
      <c r="C41" s="20">
        <v>-65900.42</v>
      </c>
      <c r="D41" s="177"/>
      <c r="F41" s="73" t="s">
        <v>18</v>
      </c>
      <c r="G41" s="92">
        <f t="shared" si="1"/>
        <v>377693</v>
      </c>
      <c r="H41" s="96" t="s">
        <v>157</v>
      </c>
      <c r="I41" s="69">
        <v>92839</v>
      </c>
      <c r="J41" s="73" t="s">
        <v>20</v>
      </c>
      <c r="K41" s="91">
        <v>0</v>
      </c>
      <c r="L41" s="96" t="s">
        <v>157</v>
      </c>
      <c r="M41" s="69">
        <v>0</v>
      </c>
      <c r="P41" s="180"/>
      <c r="Q41" s="180"/>
    </row>
    <row r="42" spans="1:17" ht="16.5" thickBot="1">
      <c r="A42" s="1" t="s">
        <v>108</v>
      </c>
      <c r="B42" s="130" t="s">
        <v>109</v>
      </c>
      <c r="C42" s="20">
        <v>545907.52</v>
      </c>
      <c r="D42" s="2"/>
      <c r="F42" s="73" t="s">
        <v>19</v>
      </c>
      <c r="G42" s="92">
        <f t="shared" si="1"/>
        <v>47834</v>
      </c>
      <c r="H42" s="96" t="s">
        <v>157</v>
      </c>
      <c r="I42" s="69">
        <v>10598</v>
      </c>
      <c r="J42" s="73" t="s">
        <v>21</v>
      </c>
      <c r="K42" s="93">
        <v>0</v>
      </c>
      <c r="L42" s="96" t="s">
        <v>157</v>
      </c>
      <c r="M42" s="69">
        <v>0</v>
      </c>
      <c r="P42" s="180"/>
      <c r="Q42" s="180"/>
    </row>
    <row r="43" spans="1:17" ht="16.5" thickBot="1">
      <c r="A43" s="14" t="s">
        <v>65</v>
      </c>
      <c r="B43" s="4"/>
      <c r="C43" s="176">
        <f>SUM(C37:C42)</f>
        <v>11983662.949999997</v>
      </c>
      <c r="D43" s="177"/>
      <c r="F43" s="73" t="s">
        <v>20</v>
      </c>
      <c r="G43" s="92">
        <f t="shared" si="1"/>
        <v>0</v>
      </c>
      <c r="H43" s="96" t="s">
        <v>157</v>
      </c>
      <c r="I43" s="69">
        <v>0</v>
      </c>
      <c r="J43" s="72" t="s">
        <v>75</v>
      </c>
      <c r="K43" s="54">
        <f>SUM(K36:K42)</f>
        <v>14416973</v>
      </c>
      <c r="L43" s="55"/>
      <c r="M43" s="70">
        <f>SUM(M36:M42)</f>
        <v>3135691</v>
      </c>
    </row>
    <row r="44" spans="1:17" ht="16.5" thickBot="1">
      <c r="A44" s="181" t="s">
        <v>107</v>
      </c>
      <c r="B44" s="182" t="s">
        <v>62</v>
      </c>
      <c r="C44" s="20">
        <f>-12758.63+6121088.52-68133.37+5988.15</f>
        <v>6046184.6699999999</v>
      </c>
      <c r="D44" s="2"/>
      <c r="F44" s="73" t="s">
        <v>21</v>
      </c>
      <c r="G44" s="92">
        <f t="shared" si="1"/>
        <v>113048</v>
      </c>
      <c r="H44" s="96" t="s">
        <v>157</v>
      </c>
      <c r="I44" s="69">
        <v>24607</v>
      </c>
      <c r="J44" s="67"/>
      <c r="K44" s="86">
        <v>14416973</v>
      </c>
      <c r="L44" s="62" t="s">
        <v>48</v>
      </c>
      <c r="M44" s="83">
        <f>M43/K43</f>
        <v>0.2174999564749133</v>
      </c>
    </row>
    <row r="45" spans="1:17" ht="16.5" thickBot="1">
      <c r="A45" s="79" t="s">
        <v>101</v>
      </c>
      <c r="B45" s="125" t="s">
        <v>57</v>
      </c>
      <c r="C45" s="20">
        <v>0</v>
      </c>
      <c r="D45" s="178"/>
      <c r="F45" s="72" t="s">
        <v>75</v>
      </c>
      <c r="G45" s="54">
        <f>SUM(G37:G44)</f>
        <v>31179864</v>
      </c>
      <c r="H45" s="55"/>
      <c r="I45" s="70">
        <f>SUM(I37:I44)</f>
        <v>6797562</v>
      </c>
      <c r="J45" s="21"/>
      <c r="K45" s="84">
        <f>K43-K44</f>
        <v>0</v>
      </c>
      <c r="M45" s="21"/>
    </row>
    <row r="46" spans="1:17" ht="19.5" customHeight="1" thickTop="1" thickBot="1">
      <c r="A46" s="79" t="s">
        <v>102</v>
      </c>
      <c r="B46" s="125" t="s">
        <v>57</v>
      </c>
      <c r="C46" s="20">
        <v>0</v>
      </c>
      <c r="D46" s="179"/>
      <c r="F46" s="61"/>
      <c r="G46" s="86">
        <v>31179864</v>
      </c>
      <c r="H46" s="62" t="s">
        <v>48</v>
      </c>
      <c r="I46" s="81">
        <f>I45/G45</f>
        <v>0.21801127804790937</v>
      </c>
      <c r="J46" s="21"/>
      <c r="K46" s="18"/>
      <c r="M46" s="13"/>
    </row>
    <row r="47" spans="1:17" ht="15.75">
      <c r="A47" s="95" t="s">
        <v>79</v>
      </c>
      <c r="B47" s="125" t="s">
        <v>57</v>
      </c>
      <c r="C47" s="20">
        <v>-118762.51</v>
      </c>
      <c r="D47" s="177"/>
      <c r="G47" s="84">
        <f>G45-G46</f>
        <v>0</v>
      </c>
      <c r="J47" s="21"/>
      <c r="K47" s="18"/>
      <c r="M47" s="13"/>
    </row>
    <row r="48" spans="1:17" ht="16.5" thickBot="1">
      <c r="A48" s="79" t="s">
        <v>155</v>
      </c>
      <c r="B48" s="125" t="s">
        <v>57</v>
      </c>
      <c r="C48" s="20">
        <v>7000</v>
      </c>
      <c r="D48" s="177"/>
      <c r="J48" s="21"/>
      <c r="K48" s="18"/>
    </row>
    <row r="49" spans="1:21" ht="15.75">
      <c r="A49" s="1" t="s">
        <v>72</v>
      </c>
      <c r="B49" s="130" t="s">
        <v>89</v>
      </c>
      <c r="C49" s="20">
        <v>22876.54</v>
      </c>
      <c r="D49" s="177"/>
      <c r="G49" s="18"/>
      <c r="H49" s="25" t="s">
        <v>13</v>
      </c>
      <c r="I49" s="5" t="s">
        <v>13</v>
      </c>
      <c r="J49" s="5" t="s">
        <v>25</v>
      </c>
      <c r="K49" s="23" t="s">
        <v>32</v>
      </c>
      <c r="L49" s="21"/>
    </row>
    <row r="50" spans="1:21" ht="16.5" thickBot="1">
      <c r="A50" s="1" t="s">
        <v>121</v>
      </c>
      <c r="B50" s="130" t="s">
        <v>89</v>
      </c>
      <c r="C50" s="20">
        <v>4085.49</v>
      </c>
      <c r="D50" s="2"/>
      <c r="F50" s="9" t="s">
        <v>35</v>
      </c>
      <c r="H50" s="26" t="s">
        <v>0</v>
      </c>
      <c r="I50" s="27" t="s">
        <v>1</v>
      </c>
      <c r="J50" s="27" t="s">
        <v>0</v>
      </c>
      <c r="K50" s="24" t="s">
        <v>1</v>
      </c>
    </row>
    <row r="51" spans="1:21" ht="15.75">
      <c r="A51" s="1" t="s">
        <v>159</v>
      </c>
      <c r="B51" s="130" t="s">
        <v>89</v>
      </c>
      <c r="C51" s="20">
        <v>8192.9599999999991</v>
      </c>
      <c r="D51" s="177"/>
      <c r="H51" s="30"/>
      <c r="I51" s="31"/>
      <c r="J51" s="31"/>
      <c r="K51" s="31"/>
      <c r="L51" s="22" t="s">
        <v>49</v>
      </c>
    </row>
    <row r="52" spans="1:21" ht="15.75">
      <c r="A52" s="42" t="s">
        <v>60</v>
      </c>
      <c r="B52" s="125"/>
      <c r="C52" s="17">
        <f>-C33</f>
        <v>-110839.98</v>
      </c>
      <c r="D52" s="174"/>
      <c r="F52" s="95" t="s">
        <v>78</v>
      </c>
      <c r="H52" s="80">
        <f>K12</f>
        <v>5592036.3487819945</v>
      </c>
      <c r="I52" s="19">
        <f>I14</f>
        <v>1596154.8714840005</v>
      </c>
      <c r="J52" s="19">
        <f>L12</f>
        <v>2587054.941217998</v>
      </c>
      <c r="K52" s="19">
        <f>J14</f>
        <v>715103.26851600024</v>
      </c>
      <c r="L52" s="28">
        <f>SUM(H52:K52)</f>
        <v>10490349.429999992</v>
      </c>
    </row>
    <row r="53" spans="1:21" ht="16.5" thickBot="1">
      <c r="A53" s="95" t="s">
        <v>166</v>
      </c>
      <c r="B53" s="130" t="s">
        <v>167</v>
      </c>
      <c r="C53" s="20">
        <v>6406.34</v>
      </c>
      <c r="D53" s="177"/>
      <c r="F53" s="95" t="s">
        <v>51</v>
      </c>
      <c r="H53" s="80">
        <f>-I45</f>
        <v>-6797562</v>
      </c>
      <c r="I53" s="19">
        <f>-I32</f>
        <v>-3274546</v>
      </c>
      <c r="J53" s="19">
        <f>-M43</f>
        <v>-3135691</v>
      </c>
      <c r="K53" s="19">
        <f>-M28</f>
        <v>-1515253</v>
      </c>
      <c r="L53" s="90">
        <f>SUM(H53:K53)</f>
        <v>-14723052</v>
      </c>
    </row>
    <row r="54" spans="1:21" ht="16.5" thickBot="1">
      <c r="A54" s="95" t="s">
        <v>66</v>
      </c>
      <c r="B54" s="125" t="s">
        <v>153</v>
      </c>
      <c r="C54" s="20">
        <f>-249251.63-5848184.37-3206190.57</f>
        <v>-9303626.5700000003</v>
      </c>
      <c r="D54" s="177"/>
      <c r="F54" s="95" t="s">
        <v>37</v>
      </c>
      <c r="H54" s="87">
        <v>0</v>
      </c>
      <c r="I54" s="88">
        <v>0</v>
      </c>
      <c r="J54" s="88">
        <v>0</v>
      </c>
      <c r="K54" s="89">
        <v>0</v>
      </c>
      <c r="L54" s="183">
        <f>SUM(L52:L53)</f>
        <v>-4232702.5700000077</v>
      </c>
    </row>
    <row r="55" spans="1:21" ht="16.5" thickBot="1">
      <c r="A55" s="95" t="s">
        <v>163</v>
      </c>
      <c r="B55" s="125" t="s">
        <v>119</v>
      </c>
      <c r="C55" s="20">
        <v>-375000</v>
      </c>
      <c r="D55" s="177"/>
      <c r="F55" s="95" t="s">
        <v>33</v>
      </c>
      <c r="H55" s="176">
        <f>IFERROR(H52+H53+H54,0)</f>
        <v>-1205525.6512180055</v>
      </c>
      <c r="I55" s="176">
        <f>I52+I53+I54</f>
        <v>-1678391.1285159995</v>
      </c>
      <c r="J55" s="176">
        <f>IFERROR(J52+J53+J54,0)</f>
        <v>-548636.05878200196</v>
      </c>
      <c r="K55" s="176">
        <f>K52+K53+K54</f>
        <v>-800149.73148399976</v>
      </c>
      <c r="L55" s="184">
        <f>SUM(H55:K55)</f>
        <v>-4232702.5700000068</v>
      </c>
    </row>
    <row r="56" spans="1:21" ht="16.5" thickBot="1">
      <c r="A56" s="185" t="s">
        <v>61</v>
      </c>
      <c r="B56" s="182"/>
      <c r="C56" s="34">
        <f>SUM(C43:C55)</f>
        <v>8170179.8899999931</v>
      </c>
      <c r="D56" s="177"/>
      <c r="F56" s="186" t="s">
        <v>111</v>
      </c>
      <c r="H56" s="95" t="s">
        <v>103</v>
      </c>
      <c r="I56" s="1">
        <f>SUM(H55:I55)</f>
        <v>-2883916.7797340052</v>
      </c>
      <c r="J56" s="12" t="s">
        <v>104</v>
      </c>
      <c r="K56" s="95">
        <f>SUM(J55:K55)</f>
        <v>-1348785.7902660016</v>
      </c>
      <c r="L56" s="187">
        <f>ROUND(L54-L55,3)</f>
        <v>0</v>
      </c>
      <c r="T56" s="188"/>
    </row>
    <row r="57" spans="1:21" ht="16.5" thickTop="1">
      <c r="A57" s="95" t="s">
        <v>63</v>
      </c>
      <c r="B57" s="125" t="s">
        <v>57</v>
      </c>
      <c r="C57" s="20">
        <v>5267.34</v>
      </c>
      <c r="D57" s="177"/>
      <c r="F57" s="189" t="s">
        <v>111</v>
      </c>
      <c r="H57" s="190"/>
    </row>
    <row r="58" spans="1:21" ht="16.5" thickBot="1">
      <c r="A58" s="95" t="s">
        <v>64</v>
      </c>
      <c r="B58" s="125" t="s">
        <v>57</v>
      </c>
      <c r="C58" s="20">
        <v>3644.06</v>
      </c>
      <c r="D58" s="177"/>
      <c r="F58" s="189" t="s">
        <v>112</v>
      </c>
      <c r="H58" s="178"/>
      <c r="I58" s="191"/>
      <c r="J58" s="191"/>
      <c r="K58" s="192"/>
      <c r="L58" s="191"/>
    </row>
    <row r="59" spans="1:21" ht="16.5" thickBot="1">
      <c r="A59" s="9" t="s">
        <v>67</v>
      </c>
      <c r="B59" s="9"/>
      <c r="C59" s="34">
        <f>SUM(C56:C58)</f>
        <v>8179091.2899999926</v>
      </c>
      <c r="D59" s="177"/>
      <c r="F59" s="193" t="s">
        <v>154</v>
      </c>
      <c r="G59" s="108" t="str">
        <f>IF(OR(AND(I56&gt;0,K56&gt;0),AND(I56&lt;0,K56&lt;0)),"OK","ERROR")</f>
        <v>OK</v>
      </c>
      <c r="H59" s="30" t="s">
        <v>151</v>
      </c>
      <c r="I59" s="75"/>
    </row>
    <row r="60" spans="1:21" ht="17.25" thickTop="1" thickBot="1">
      <c r="A60" s="9"/>
      <c r="C60" s="120"/>
      <c r="D60" s="177"/>
      <c r="H60" s="33" t="s">
        <v>105</v>
      </c>
      <c r="I60" s="194" t="s">
        <v>106</v>
      </c>
      <c r="J60" s="1"/>
    </row>
    <row r="61" spans="1:21" ht="16.5" thickBot="1">
      <c r="A61" s="29"/>
      <c r="B61" s="29" t="s">
        <v>45</v>
      </c>
      <c r="C61" s="176">
        <f>C59+C34</f>
        <v>10490349.429999992</v>
      </c>
      <c r="D61" s="2"/>
      <c r="H61" s="94"/>
      <c r="I61" s="98"/>
      <c r="J61" s="95">
        <f>H53+I53+J53+K53</f>
        <v>-14723052</v>
      </c>
    </row>
    <row r="62" spans="1:21" ht="15.75">
      <c r="A62" s="9"/>
      <c r="B62" s="29" t="s">
        <v>94</v>
      </c>
      <c r="C62" s="126">
        <v>10490349.43</v>
      </c>
      <c r="G62" s="1"/>
      <c r="I62" s="17"/>
      <c r="N62" s="1"/>
      <c r="O62" s="1"/>
      <c r="P62" s="195"/>
    </row>
    <row r="63" spans="1:21" ht="15.75">
      <c r="A63" s="29"/>
      <c r="B63" s="29" t="s">
        <v>93</v>
      </c>
      <c r="C63" s="17">
        <f>ROUND(C61-C62,2)</f>
        <v>0</v>
      </c>
      <c r="D63" s="177"/>
      <c r="S63" s="125"/>
    </row>
    <row r="64" spans="1:21" ht="15.75">
      <c r="A64" s="15"/>
      <c r="C64" s="196"/>
      <c r="D64" s="197"/>
      <c r="N64" s="42"/>
      <c r="U64" s="9"/>
    </row>
    <row r="65" spans="1:21" ht="15.75">
      <c r="A65" s="15"/>
      <c r="C65" s="2"/>
      <c r="D65" s="177"/>
      <c r="N65" s="42"/>
      <c r="S65" s="198"/>
    </row>
    <row r="66" spans="1:21" ht="15.75">
      <c r="A66" s="9"/>
      <c r="C66" s="2"/>
      <c r="D66" s="177"/>
      <c r="N66" s="42"/>
      <c r="S66" s="199"/>
    </row>
    <row r="67" spans="1:21">
      <c r="C67" s="17"/>
      <c r="D67" s="177"/>
      <c r="N67" s="42"/>
      <c r="S67" s="200"/>
    </row>
    <row r="68" spans="1:21">
      <c r="D68" s="177"/>
      <c r="N68" s="42"/>
      <c r="S68" s="199"/>
    </row>
    <row r="69" spans="1:21">
      <c r="D69" s="2"/>
      <c r="N69" s="42"/>
    </row>
    <row r="70" spans="1:21">
      <c r="D70" s="177"/>
      <c r="N70" s="42"/>
      <c r="S70" s="201"/>
    </row>
    <row r="71" spans="1:21">
      <c r="D71" s="177"/>
    </row>
    <row r="72" spans="1:21">
      <c r="D72" s="177"/>
    </row>
    <row r="73" spans="1:21">
      <c r="D73" s="64"/>
      <c r="S73" s="202"/>
    </row>
    <row r="74" spans="1:21">
      <c r="R74" s="125"/>
      <c r="S74" s="125"/>
      <c r="T74" s="125"/>
    </row>
    <row r="76" spans="1:21">
      <c r="U76" s="203"/>
    </row>
    <row r="1477" spans="3:3">
      <c r="C1477" s="95">
        <v>-2130</v>
      </c>
    </row>
    <row r="1485" spans="3:3">
      <c r="C1485" s="95">
        <f>7004298-2130</f>
        <v>7002168</v>
      </c>
    </row>
  </sheetData>
  <mergeCells count="3">
    <mergeCell ref="F18:I18"/>
    <mergeCell ref="J18:M18"/>
    <mergeCell ref="K35:M35"/>
  </mergeCells>
  <conditionalFormatting sqref="C63 L56 I62">
    <cfRule type="cellIs" dxfId="57" priority="6" stopIfTrue="1" operator="equal">
      <formula>0</formula>
    </cfRule>
    <cfRule type="cellIs" dxfId="56" priority="7" stopIfTrue="1" operator="notEqual">
      <formula>0</formula>
    </cfRule>
  </conditionalFormatting>
  <conditionalFormatting sqref="G34 G47 K30 K45">
    <cfRule type="cellIs" dxfId="55" priority="5" operator="notEqual">
      <formula>0</formula>
    </cfRule>
  </conditionalFormatting>
  <conditionalFormatting sqref="C63">
    <cfRule type="cellIs" dxfId="54" priority="3" stopIfTrue="1" operator="equal">
      <formula>0</formula>
    </cfRule>
    <cfRule type="cellIs" dxfId="53" priority="4" stopIfTrue="1" operator="notEqual">
      <formula>0</formula>
    </cfRule>
  </conditionalFormatting>
  <conditionalFormatting sqref="K30">
    <cfRule type="cellIs" dxfId="52" priority="2" operator="notEqual">
      <formula>0</formula>
    </cfRule>
  </conditionalFormatting>
  <conditionalFormatting sqref="G59">
    <cfRule type="cellIs" dxfId="51" priority="1" operator="equal">
      <formula>"ERROR"</formula>
    </cfRule>
  </conditionalFormatting>
  <printOptions verticalCentered="1" gridLinesSet="0"/>
  <pageMargins left="0.5" right="0" top="0.25" bottom="0.5" header="0" footer="0.25"/>
  <pageSetup scale="47" orientation="landscape" cellComments="asDisplayed" r:id="rId1"/>
  <headerFooter alignWithMargins="0">
    <oddFooter>&amp;L&amp;F&amp;C&amp;A&amp;R&amp;D&amp;T</oddFooter>
  </headerFooter>
  <customProperties>
    <customPr name="xxe4aPID" r:id="rId2"/>
  </customProperties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">
    <tabColor rgb="FF00CC66"/>
    <pageSetUpPr fitToPage="1"/>
  </sheetPr>
  <dimension ref="A1:U1485"/>
  <sheetViews>
    <sheetView showGridLines="0" tabSelected="1" topLeftCell="A22" zoomScale="70" zoomScaleNormal="70" workbookViewId="0">
      <selection activeCell="X1" sqref="X1:X1048576"/>
    </sheetView>
  </sheetViews>
  <sheetFormatPr defaultColWidth="16" defaultRowHeight="15"/>
  <cols>
    <col min="1" max="1" width="46.28515625" style="95" customWidth="1"/>
    <col min="2" max="2" width="25.5703125" style="95" customWidth="1"/>
    <col min="3" max="3" width="25.28515625" style="95" customWidth="1"/>
    <col min="4" max="4" width="2.7109375" style="95" customWidth="1"/>
    <col min="5" max="5" width="4.28515625" style="95" customWidth="1"/>
    <col min="6" max="6" width="26.7109375" style="95" customWidth="1"/>
    <col min="7" max="7" width="19" style="95" customWidth="1"/>
    <col min="8" max="8" width="22" style="95" customWidth="1"/>
    <col min="9" max="9" width="20.42578125" style="95" customWidth="1"/>
    <col min="10" max="10" width="26.28515625" style="95" customWidth="1"/>
    <col min="11" max="11" width="21.85546875" style="95" bestFit="1" customWidth="1"/>
    <col min="12" max="12" width="23.85546875" style="95" customWidth="1"/>
    <col min="13" max="13" width="20.85546875" style="95" bestFit="1" customWidth="1"/>
    <col min="14" max="15" width="16" style="95"/>
    <col min="16" max="16" width="16.28515625" style="95" bestFit="1" customWidth="1"/>
    <col min="17" max="16384" width="16" style="95"/>
  </cols>
  <sheetData>
    <row r="1" spans="1:12" ht="16.5" thickBot="1">
      <c r="A1" s="172" t="s">
        <v>26</v>
      </c>
      <c r="B1" s="173"/>
      <c r="C1" s="106">
        <v>201801</v>
      </c>
      <c r="F1" s="107">
        <f>C1</f>
        <v>201801</v>
      </c>
      <c r="H1" s="35" t="s">
        <v>31</v>
      </c>
      <c r="I1" s="22" t="s">
        <v>1</v>
      </c>
      <c r="J1" s="22" t="s">
        <v>1</v>
      </c>
      <c r="K1" s="22" t="s">
        <v>28</v>
      </c>
      <c r="L1" s="22" t="s">
        <v>28</v>
      </c>
    </row>
    <row r="2" spans="1:12" ht="15.75">
      <c r="C2" s="6"/>
      <c r="H2" s="36" t="s">
        <v>10</v>
      </c>
      <c r="I2" s="37" t="s">
        <v>27</v>
      </c>
      <c r="J2" s="37" t="s">
        <v>27</v>
      </c>
      <c r="K2" s="37" t="s">
        <v>29</v>
      </c>
      <c r="L2" s="37" t="s">
        <v>29</v>
      </c>
    </row>
    <row r="3" spans="1:12" ht="16.5" thickBot="1">
      <c r="A3" s="10" t="s">
        <v>52</v>
      </c>
      <c r="C3" s="7"/>
      <c r="D3" s="174"/>
      <c r="F3" s="9" t="s">
        <v>34</v>
      </c>
      <c r="H3" s="38" t="s">
        <v>30</v>
      </c>
      <c r="I3" s="38" t="s">
        <v>13</v>
      </c>
      <c r="J3" s="38" t="s">
        <v>25</v>
      </c>
      <c r="K3" s="38" t="s">
        <v>13</v>
      </c>
      <c r="L3" s="38" t="s">
        <v>25</v>
      </c>
    </row>
    <row r="4" spans="1:12" ht="15.75">
      <c r="A4" s="95" t="s">
        <v>38</v>
      </c>
      <c r="C4" s="20">
        <v>3655974.78</v>
      </c>
      <c r="D4" s="6"/>
      <c r="H4" s="3"/>
    </row>
    <row r="5" spans="1:12" ht="14.25" customHeight="1">
      <c r="A5" s="95" t="s">
        <v>9</v>
      </c>
      <c r="C5" s="20">
        <f>28431.47-1275.62</f>
        <v>27155.850000000002</v>
      </c>
      <c r="D5" s="6"/>
      <c r="H5" s="3"/>
      <c r="I5" s="175">
        <v>0.69059999999999999</v>
      </c>
      <c r="J5" s="175">
        <v>0.30940000000000001</v>
      </c>
      <c r="K5" s="97">
        <f>ROUND(G45/(G45+K43),4)</f>
        <v>0.70330000000000004</v>
      </c>
      <c r="L5" s="97">
        <f>1-K5</f>
        <v>0.29669999999999996</v>
      </c>
    </row>
    <row r="6" spans="1:12" ht="16.5" thickBot="1">
      <c r="A6" s="8" t="s">
        <v>8</v>
      </c>
      <c r="C6" s="116">
        <f>-1494747.7-426339.9-121811.4-137037.83-78568.35-98131.26</f>
        <v>-2356636.44</v>
      </c>
      <c r="D6" s="6"/>
    </row>
    <row r="7" spans="1:12" ht="16.5" thickBot="1">
      <c r="A7" s="12" t="s">
        <v>82</v>
      </c>
      <c r="C7" s="17">
        <f>SUM(C4:C6)</f>
        <v>1326494.19</v>
      </c>
      <c r="D7" s="7"/>
      <c r="F7" s="39" t="s">
        <v>81</v>
      </c>
      <c r="G7" s="39"/>
      <c r="H7" s="176">
        <f>C34</f>
        <v>2253440.5299999993</v>
      </c>
      <c r="I7" s="40">
        <f>H7*I5</f>
        <v>1556226.0300179995</v>
      </c>
      <c r="J7" s="40">
        <f>H7*J5</f>
        <v>697214.49998199986</v>
      </c>
      <c r="K7" s="40"/>
      <c r="L7" s="40"/>
    </row>
    <row r="8" spans="1:12" ht="15.75">
      <c r="A8" s="95" t="s">
        <v>39</v>
      </c>
      <c r="C8" s="20">
        <v>252729.32</v>
      </c>
      <c r="D8" s="7"/>
      <c r="H8" s="41"/>
      <c r="I8" s="41"/>
      <c r="J8" s="41"/>
      <c r="K8" s="41"/>
      <c r="L8" s="41"/>
    </row>
    <row r="9" spans="1:12" ht="15.75">
      <c r="A9" s="95" t="s">
        <v>40</v>
      </c>
      <c r="C9" s="20">
        <f>8973.45+5.43</f>
        <v>8978.880000000001</v>
      </c>
      <c r="D9" s="177"/>
      <c r="F9" s="39" t="s">
        <v>61</v>
      </c>
      <c r="H9" s="40">
        <f>C56</f>
        <v>7455235.2899999982</v>
      </c>
      <c r="I9" s="40"/>
      <c r="J9" s="40"/>
      <c r="K9" s="40">
        <f>H9*K5</f>
        <v>5243266.9794569993</v>
      </c>
      <c r="L9" s="40">
        <f>H9*L5</f>
        <v>2211968.3105429993</v>
      </c>
    </row>
    <row r="10" spans="1:12" ht="15.75">
      <c r="A10" s="8" t="s">
        <v>41</v>
      </c>
      <c r="C10" s="116">
        <v>-3418.47</v>
      </c>
      <c r="D10" s="177"/>
      <c r="F10" s="42" t="s">
        <v>22</v>
      </c>
      <c r="H10" s="40">
        <f>C57</f>
        <v>5580.95</v>
      </c>
      <c r="I10" s="40"/>
      <c r="J10" s="40"/>
      <c r="K10" s="40">
        <f>H10</f>
        <v>5580.95</v>
      </c>
      <c r="L10" s="40"/>
    </row>
    <row r="11" spans="1:12">
      <c r="A11" s="12" t="s">
        <v>83</v>
      </c>
      <c r="C11" s="17">
        <f>SUM(C8:C10)</f>
        <v>258289.73</v>
      </c>
      <c r="D11" s="177"/>
      <c r="F11" s="42" t="s">
        <v>23</v>
      </c>
      <c r="H11" s="43">
        <f>C58</f>
        <v>4185.79</v>
      </c>
      <c r="I11" s="40"/>
      <c r="J11" s="40"/>
      <c r="K11" s="43"/>
      <c r="L11" s="43">
        <f>H11</f>
        <v>4185.79</v>
      </c>
    </row>
    <row r="12" spans="1:12" ht="15.75">
      <c r="A12" s="95" t="s">
        <v>98</v>
      </c>
      <c r="C12" s="20">
        <f>200789.19+1706.01</f>
        <v>202495.2</v>
      </c>
      <c r="D12" s="177"/>
      <c r="F12" s="42" t="s">
        <v>80</v>
      </c>
      <c r="H12" s="40">
        <f>H9+H10+H11</f>
        <v>7465002.0299999984</v>
      </c>
      <c r="I12" s="40"/>
      <c r="J12" s="40"/>
      <c r="K12" s="40">
        <f>SUM(K9:K11)</f>
        <v>5248847.9294569995</v>
      </c>
      <c r="L12" s="40">
        <f>SUM(L9:L11)</f>
        <v>2216154.1005429993</v>
      </c>
    </row>
    <row r="13" spans="1:12" ht="16.5" thickBot="1">
      <c r="A13" s="8" t="s">
        <v>99</v>
      </c>
      <c r="C13" s="116">
        <v>0</v>
      </c>
      <c r="D13" s="177"/>
      <c r="F13" s="44"/>
      <c r="G13" s="45"/>
      <c r="H13" s="46"/>
      <c r="I13" s="47"/>
      <c r="J13" s="46"/>
      <c r="K13" s="41"/>
      <c r="L13" s="46"/>
    </row>
    <row r="14" spans="1:12" ht="16.5" thickBot="1">
      <c r="A14" s="12" t="s">
        <v>42</v>
      </c>
      <c r="C14" s="17">
        <f>SUM(C12:C13)</f>
        <v>202495.2</v>
      </c>
      <c r="D14" s="2"/>
      <c r="F14" s="9" t="s">
        <v>31</v>
      </c>
      <c r="G14" s="48"/>
      <c r="H14" s="176">
        <f>H12+H7</f>
        <v>9718442.5599999987</v>
      </c>
      <c r="I14" s="49">
        <f>SUM(I7:I13)</f>
        <v>1556226.0300179995</v>
      </c>
      <c r="J14" s="49">
        <f>SUM(J7:J13)</f>
        <v>697214.49998199986</v>
      </c>
      <c r="K14" s="49">
        <f>K12</f>
        <v>5248847.9294569995</v>
      </c>
      <c r="L14" s="49">
        <f>L12</f>
        <v>2216154.1005429993</v>
      </c>
    </row>
    <row r="15" spans="1:12" ht="15.75">
      <c r="A15" s="95" t="s">
        <v>113</v>
      </c>
      <c r="C15" s="20">
        <f>411773.16+3986.07</f>
        <v>415759.23</v>
      </c>
      <c r="D15" s="177"/>
      <c r="F15" s="44"/>
      <c r="G15" s="45" t="s">
        <v>48</v>
      </c>
      <c r="H15" s="46">
        <f>H14-C61</f>
        <v>0</v>
      </c>
      <c r="I15" s="50"/>
      <c r="J15" s="46">
        <f>J7+I7-H7</f>
        <v>0</v>
      </c>
      <c r="L15" s="46">
        <f>H12-K14-L14</f>
        <v>0</v>
      </c>
    </row>
    <row r="16" spans="1:12" ht="15.75">
      <c r="A16" s="8" t="s">
        <v>114</v>
      </c>
      <c r="C16" s="116">
        <v>0</v>
      </c>
      <c r="D16" s="177"/>
      <c r="F16" s="51"/>
      <c r="G16" s="45"/>
      <c r="H16" s="52"/>
      <c r="I16" s="53"/>
      <c r="J16" s="52"/>
      <c r="L16" s="52"/>
    </row>
    <row r="17" spans="1:13" ht="15.75" thickBot="1">
      <c r="A17" s="12" t="s">
        <v>115</v>
      </c>
      <c r="C17" s="17">
        <f>SUM(C15:C16)</f>
        <v>415759.23</v>
      </c>
      <c r="D17" s="2"/>
      <c r="F17" s="44"/>
      <c r="G17" s="45"/>
      <c r="H17" s="52"/>
      <c r="I17" s="53"/>
      <c r="J17" s="56"/>
      <c r="L17" s="52"/>
    </row>
    <row r="18" spans="1:13" ht="16.5" thickBot="1">
      <c r="A18" s="95" t="s">
        <v>96</v>
      </c>
      <c r="C18" s="20">
        <f>83248.66+10571.6-991.71</f>
        <v>92828.55</v>
      </c>
      <c r="D18" s="177"/>
      <c r="F18" s="204" t="s">
        <v>76</v>
      </c>
      <c r="G18" s="205"/>
      <c r="H18" s="205"/>
      <c r="I18" s="206"/>
      <c r="J18" s="204" t="s">
        <v>77</v>
      </c>
      <c r="K18" s="205"/>
      <c r="L18" s="205"/>
      <c r="M18" s="206"/>
    </row>
    <row r="19" spans="1:13" ht="15.75">
      <c r="A19" s="8" t="s">
        <v>97</v>
      </c>
      <c r="C19" s="116">
        <f>908.45</f>
        <v>908.45</v>
      </c>
      <c r="D19" s="177"/>
      <c r="F19" s="74" t="s">
        <v>50</v>
      </c>
      <c r="G19" s="37" t="s">
        <v>11</v>
      </c>
      <c r="H19" s="37" t="s">
        <v>11</v>
      </c>
      <c r="I19" s="37" t="s">
        <v>11</v>
      </c>
      <c r="J19" s="74" t="s">
        <v>50</v>
      </c>
      <c r="K19" s="37" t="s">
        <v>11</v>
      </c>
      <c r="L19" s="37" t="s">
        <v>11</v>
      </c>
      <c r="M19" s="58" t="s">
        <v>11</v>
      </c>
    </row>
    <row r="20" spans="1:13" ht="16.5" thickBot="1">
      <c r="A20" s="11" t="s">
        <v>43</v>
      </c>
      <c r="C20" s="17">
        <f>SUM(C18:C19)</f>
        <v>93737</v>
      </c>
      <c r="D20" s="177"/>
      <c r="F20" s="68" t="s">
        <v>95</v>
      </c>
      <c r="G20" s="38" t="s">
        <v>47</v>
      </c>
      <c r="H20" s="38" t="s">
        <v>14</v>
      </c>
      <c r="I20" s="38" t="s">
        <v>12</v>
      </c>
      <c r="J20" s="68" t="s">
        <v>95</v>
      </c>
      <c r="K20" s="38" t="s">
        <v>47</v>
      </c>
      <c r="L20" s="38" t="s">
        <v>14</v>
      </c>
      <c r="M20" s="38" t="s">
        <v>12</v>
      </c>
    </row>
    <row r="21" spans="1:13" ht="15.75">
      <c r="A21" s="8" t="s">
        <v>87</v>
      </c>
      <c r="C21" s="116">
        <f>1850+820.3</f>
        <v>2670.3</v>
      </c>
      <c r="D21" s="177"/>
      <c r="F21" s="57"/>
      <c r="G21" s="4"/>
      <c r="H21" s="4"/>
      <c r="I21" s="58"/>
      <c r="J21" s="25"/>
      <c r="K21" s="5"/>
      <c r="L21" s="5"/>
      <c r="M21" s="75"/>
    </row>
    <row r="22" spans="1:13" ht="18" customHeight="1">
      <c r="A22" s="11" t="s">
        <v>87</v>
      </c>
      <c r="C22" s="17">
        <f>SUM(C21)</f>
        <v>2670.3</v>
      </c>
      <c r="D22" s="177"/>
      <c r="F22" s="72" t="s">
        <v>68</v>
      </c>
      <c r="G22" s="1"/>
      <c r="H22" s="1"/>
      <c r="I22" s="16"/>
      <c r="J22" s="72" t="s">
        <v>68</v>
      </c>
      <c r="K22" s="1"/>
      <c r="L22" s="1"/>
      <c r="M22" s="16"/>
    </row>
    <row r="23" spans="1:13" ht="15.75">
      <c r="A23" s="76" t="s">
        <v>110</v>
      </c>
      <c r="C23" s="17">
        <v>0</v>
      </c>
      <c r="D23" s="177"/>
      <c r="F23" s="73" t="s">
        <v>15</v>
      </c>
      <c r="G23" s="91">
        <v>20257484</v>
      </c>
      <c r="H23" s="96">
        <v>0.10743999999999999</v>
      </c>
      <c r="I23" s="69">
        <f t="shared" ref="I23:I31" si="0">G23*H23</f>
        <v>2176464.0809599999</v>
      </c>
      <c r="J23" s="73" t="s">
        <v>15</v>
      </c>
      <c r="K23" s="91">
        <v>8822773</v>
      </c>
      <c r="L23" s="96">
        <v>0.10496999999999999</v>
      </c>
      <c r="M23" s="69">
        <f>K23*L23</f>
        <v>926126.48180999991</v>
      </c>
    </row>
    <row r="24" spans="1:13" ht="15.75">
      <c r="A24" s="76" t="s">
        <v>116</v>
      </c>
      <c r="C24" s="20">
        <v>0</v>
      </c>
      <c r="D24" s="177"/>
      <c r="F24" s="73" t="s">
        <v>156</v>
      </c>
      <c r="G24" s="91">
        <v>22671</v>
      </c>
      <c r="H24" s="96">
        <v>0.10743999999999999</v>
      </c>
      <c r="I24" s="69">
        <f t="shared" si="0"/>
        <v>2435.7722399999998</v>
      </c>
      <c r="J24" s="73" t="s">
        <v>16</v>
      </c>
      <c r="K24" s="91">
        <v>2761366</v>
      </c>
      <c r="L24" s="96">
        <v>0.10496999999999999</v>
      </c>
      <c r="M24" s="69">
        <f t="shared" ref="M24:M27" si="1">K24*L24</f>
        <v>289860.58901999996</v>
      </c>
    </row>
    <row r="25" spans="1:13" ht="15.75">
      <c r="A25" s="76" t="s">
        <v>118</v>
      </c>
      <c r="C25" s="118">
        <v>0</v>
      </c>
      <c r="D25" s="177"/>
      <c r="F25" s="73" t="s">
        <v>16</v>
      </c>
      <c r="G25" s="91">
        <v>6608892</v>
      </c>
      <c r="H25" s="96">
        <v>9.8650000000000002E-2</v>
      </c>
      <c r="I25" s="69">
        <f t="shared" si="0"/>
        <v>651967.19579999999</v>
      </c>
      <c r="J25" s="73" t="s">
        <v>17</v>
      </c>
      <c r="K25" s="91">
        <v>3610</v>
      </c>
      <c r="L25" s="96">
        <v>0.10496999999999999</v>
      </c>
      <c r="M25" s="69">
        <f t="shared" si="1"/>
        <v>378.94169999999997</v>
      </c>
    </row>
    <row r="26" spans="1:13" ht="15.75">
      <c r="A26" s="77" t="s">
        <v>164</v>
      </c>
      <c r="C26" s="119">
        <v>0</v>
      </c>
      <c r="D26" s="177"/>
      <c r="F26" s="73" t="s">
        <v>17</v>
      </c>
      <c r="G26" s="91">
        <v>10558</v>
      </c>
      <c r="H26" s="96">
        <v>9.8650000000000002E-2</v>
      </c>
      <c r="I26" s="69">
        <f t="shared" si="0"/>
        <v>1041.5467000000001</v>
      </c>
      <c r="J26" s="73" t="s">
        <v>18</v>
      </c>
      <c r="K26" s="91"/>
      <c r="L26" s="96">
        <v>0.10496999999999999</v>
      </c>
      <c r="M26" s="69">
        <f t="shared" si="1"/>
        <v>0</v>
      </c>
    </row>
    <row r="27" spans="1:13" ht="15.75">
      <c r="A27" s="11" t="s">
        <v>46</v>
      </c>
      <c r="C27" s="17">
        <f>SUM(C23:C26)</f>
        <v>0</v>
      </c>
      <c r="D27" s="177"/>
      <c r="F27" s="73" t="s">
        <v>18</v>
      </c>
      <c r="G27" s="91">
        <v>362835</v>
      </c>
      <c r="H27" s="96">
        <v>0.10433000000000001</v>
      </c>
      <c r="I27" s="69">
        <f t="shared" si="0"/>
        <v>37854.575550000001</v>
      </c>
      <c r="J27" s="73" t="s">
        <v>19</v>
      </c>
      <c r="K27" s="91"/>
      <c r="L27" s="96">
        <v>0.10496999999999999</v>
      </c>
      <c r="M27" s="69">
        <f t="shared" si="1"/>
        <v>0</v>
      </c>
    </row>
    <row r="28" spans="1:13" ht="16.5" thickBot="1">
      <c r="A28" s="78" t="s">
        <v>88</v>
      </c>
      <c r="C28" s="20">
        <v>0</v>
      </c>
      <c r="D28" s="2"/>
      <c r="F28" s="73" t="s">
        <v>19</v>
      </c>
      <c r="G28" s="91">
        <v>65295</v>
      </c>
      <c r="H28" s="96">
        <v>0.10433000000000001</v>
      </c>
      <c r="I28" s="69">
        <f t="shared" si="0"/>
        <v>6812.2273500000001</v>
      </c>
      <c r="J28" s="72" t="s">
        <v>69</v>
      </c>
      <c r="K28" s="54">
        <f>SUM(K23:K27)</f>
        <v>11587749</v>
      </c>
      <c r="L28" s="55"/>
      <c r="M28" s="70">
        <f>SUM(M23:M27)</f>
        <v>1216366.0125299999</v>
      </c>
    </row>
    <row r="29" spans="1:13" ht="17.25" thickTop="1" thickBot="1">
      <c r="A29" s="78" t="s">
        <v>100</v>
      </c>
      <c r="C29" s="20">
        <v>0</v>
      </c>
      <c r="D29" s="177"/>
      <c r="F29" s="73" t="s">
        <v>20</v>
      </c>
      <c r="G29" s="91">
        <v>0</v>
      </c>
      <c r="H29" s="96">
        <v>6.2480000000000001E-2</v>
      </c>
      <c r="I29" s="69">
        <f t="shared" si="0"/>
        <v>0</v>
      </c>
      <c r="J29" s="72"/>
      <c r="K29" s="85">
        <v>11587749</v>
      </c>
      <c r="L29" s="60" t="s">
        <v>48</v>
      </c>
      <c r="M29" s="101">
        <f>M28/K28</f>
        <v>0.10496999999999999</v>
      </c>
    </row>
    <row r="30" spans="1:13" ht="16.5" thickBot="1">
      <c r="A30" s="9" t="s">
        <v>53</v>
      </c>
      <c r="C30" s="176">
        <f>C7+C11+C14+C17+C20+C22+C27+C28+C29</f>
        <v>2299445.6499999994</v>
      </c>
      <c r="D30" s="2"/>
      <c r="F30" s="73" t="s">
        <v>21</v>
      </c>
      <c r="G30" s="91">
        <v>139102</v>
      </c>
      <c r="H30" s="96">
        <v>6.2480000000000001E-2</v>
      </c>
      <c r="I30" s="69">
        <f t="shared" si="0"/>
        <v>8691.0929599999999</v>
      </c>
      <c r="J30" s="73"/>
      <c r="K30" s="84">
        <f>K28-K29</f>
        <v>0</v>
      </c>
      <c r="L30" s="55"/>
      <c r="M30" s="71"/>
    </row>
    <row r="31" spans="1:13" ht="15.75">
      <c r="A31" s="95" t="s">
        <v>54</v>
      </c>
      <c r="C31" s="20">
        <v>-8961.94</v>
      </c>
      <c r="D31" s="178"/>
      <c r="F31" s="73" t="s">
        <v>36</v>
      </c>
      <c r="G31" s="91">
        <v>3629622</v>
      </c>
      <c r="H31" s="96">
        <v>5.4000000000000001E-4</v>
      </c>
      <c r="I31" s="69">
        <f t="shared" si="0"/>
        <v>1959.9958799999999</v>
      </c>
      <c r="J31" s="32"/>
      <c r="K31" s="1"/>
      <c r="L31" s="55"/>
      <c r="M31" s="71"/>
    </row>
    <row r="32" spans="1:13" ht="16.5" thickBot="1">
      <c r="A32" s="9" t="s">
        <v>58</v>
      </c>
      <c r="B32" s="9" t="s">
        <v>59</v>
      </c>
      <c r="C32" s="120">
        <f>C30+C31</f>
        <v>2290483.7099999995</v>
      </c>
      <c r="D32" s="179"/>
      <c r="F32" s="72" t="s">
        <v>69</v>
      </c>
      <c r="G32" s="54">
        <f>SUM(G23:G31)</f>
        <v>31096459</v>
      </c>
      <c r="H32" s="1"/>
      <c r="I32" s="70">
        <f>SUM(I23:I31)</f>
        <v>2887226.4874399994</v>
      </c>
      <c r="J32" s="65"/>
      <c r="K32" s="66"/>
      <c r="L32" s="1"/>
      <c r="M32" s="63"/>
    </row>
    <row r="33" spans="1:17" ht="17.25" thickTop="1" thickBot="1">
      <c r="A33" s="95" t="s">
        <v>55</v>
      </c>
      <c r="C33" s="120">
        <f>-C5-C9-C13-C16-C19</f>
        <v>-37043.18</v>
      </c>
      <c r="D33" s="177"/>
      <c r="F33" s="59"/>
      <c r="G33" s="85">
        <v>31096459</v>
      </c>
      <c r="H33" s="60" t="s">
        <v>48</v>
      </c>
      <c r="I33" s="82">
        <f>I32/G32</f>
        <v>9.2847436019644528E-2</v>
      </c>
      <c r="J33" s="65"/>
      <c r="K33" s="66"/>
      <c r="L33" s="1"/>
      <c r="M33" s="16"/>
    </row>
    <row r="34" spans="1:17" ht="16.5" thickBot="1">
      <c r="A34" s="9" t="s">
        <v>56</v>
      </c>
      <c r="C34" s="176">
        <f>SUM(C32:C33)</f>
        <v>2253440.5299999993</v>
      </c>
      <c r="D34" s="177"/>
      <c r="F34" s="32"/>
      <c r="G34" s="84">
        <f>G32-G33</f>
        <v>0</v>
      </c>
      <c r="H34" s="1"/>
      <c r="I34" s="16"/>
      <c r="J34" s="65"/>
      <c r="K34" s="64"/>
      <c r="L34" s="1"/>
      <c r="M34" s="16"/>
    </row>
    <row r="35" spans="1:17" ht="18" customHeight="1">
      <c r="A35" s="9"/>
      <c r="C35" s="120"/>
      <c r="D35" s="177"/>
      <c r="F35" s="57"/>
      <c r="G35" s="4"/>
      <c r="H35" s="4"/>
      <c r="I35" s="58"/>
      <c r="J35" s="72" t="s">
        <v>70</v>
      </c>
      <c r="K35" s="207"/>
      <c r="L35" s="207"/>
      <c r="M35" s="208"/>
    </row>
    <row r="36" spans="1:17" ht="15.75">
      <c r="A36" s="3" t="s">
        <v>44</v>
      </c>
      <c r="B36" s="9"/>
      <c r="C36" s="17"/>
      <c r="D36" s="177"/>
      <c r="F36" s="72" t="s">
        <v>70</v>
      </c>
      <c r="G36" s="1"/>
      <c r="H36" s="1"/>
      <c r="I36" s="16"/>
      <c r="J36" s="73" t="s">
        <v>15</v>
      </c>
      <c r="K36" s="92">
        <v>8822773</v>
      </c>
      <c r="L36" s="96">
        <v>0.21725</v>
      </c>
      <c r="M36" s="69">
        <f t="shared" ref="M36:M42" si="2">K36*L36</f>
        <v>1916747.4342499999</v>
      </c>
      <c r="P36" s="180"/>
      <c r="Q36" s="180"/>
    </row>
    <row r="37" spans="1:17" ht="15.75">
      <c r="A37" s="1" t="s">
        <v>71</v>
      </c>
      <c r="B37" s="130" t="s">
        <v>57</v>
      </c>
      <c r="C37" s="20">
        <v>9310111.5999999996</v>
      </c>
      <c r="D37" s="177"/>
      <c r="F37" s="73" t="s">
        <v>15</v>
      </c>
      <c r="G37" s="92">
        <v>20257484</v>
      </c>
      <c r="H37" s="96">
        <v>0.21817</v>
      </c>
      <c r="I37" s="69">
        <f t="shared" ref="I37:I44" si="3">G37*H37</f>
        <v>4419575.2842800003</v>
      </c>
      <c r="J37" s="73" t="s">
        <v>16</v>
      </c>
      <c r="K37" s="92">
        <v>2761366</v>
      </c>
      <c r="L37" s="96">
        <v>0.21725</v>
      </c>
      <c r="M37" s="69">
        <f t="shared" si="2"/>
        <v>599906.7635</v>
      </c>
      <c r="P37" s="180"/>
      <c r="Q37" s="180"/>
    </row>
    <row r="38" spans="1:17" ht="15.75">
      <c r="A38" s="79" t="s">
        <v>4</v>
      </c>
      <c r="B38" s="130" t="s">
        <v>57</v>
      </c>
      <c r="C38" s="20">
        <v>0</v>
      </c>
      <c r="D38" s="177"/>
      <c r="F38" s="73" t="s">
        <v>156</v>
      </c>
      <c r="G38" s="92">
        <v>22671</v>
      </c>
      <c r="H38" s="96">
        <v>0.21817</v>
      </c>
      <c r="I38" s="69">
        <f t="shared" si="3"/>
        <v>4946.1320699999997</v>
      </c>
      <c r="J38" s="73" t="s">
        <v>17</v>
      </c>
      <c r="K38" s="92">
        <v>3610</v>
      </c>
      <c r="L38" s="96">
        <v>0.21725</v>
      </c>
      <c r="M38" s="69">
        <f t="shared" si="2"/>
        <v>784.27250000000004</v>
      </c>
      <c r="P38" s="180"/>
      <c r="Q38" s="180"/>
    </row>
    <row r="39" spans="1:17" ht="15.75">
      <c r="A39" s="1" t="s">
        <v>84</v>
      </c>
      <c r="B39" s="130" t="s">
        <v>85</v>
      </c>
      <c r="C39" s="20">
        <v>-92480.2</v>
      </c>
      <c r="D39" s="177"/>
      <c r="F39" s="73" t="s">
        <v>16</v>
      </c>
      <c r="G39" s="92">
        <v>6608892</v>
      </c>
      <c r="H39" s="96">
        <v>0.21817</v>
      </c>
      <c r="I39" s="69">
        <f t="shared" si="3"/>
        <v>1441861.9676399999</v>
      </c>
      <c r="J39" s="73" t="s">
        <v>18</v>
      </c>
      <c r="K39" s="92">
        <f>K26</f>
        <v>0</v>
      </c>
      <c r="L39" s="96">
        <v>0.21725</v>
      </c>
      <c r="M39" s="69">
        <f t="shared" si="2"/>
        <v>0</v>
      </c>
      <c r="P39" s="180"/>
      <c r="Q39" s="180"/>
    </row>
    <row r="40" spans="1:17" ht="15.75">
      <c r="A40" s="1" t="s">
        <v>73</v>
      </c>
      <c r="B40" s="130" t="s">
        <v>74</v>
      </c>
      <c r="C40" s="20">
        <v>2270713.2799999998</v>
      </c>
      <c r="D40" s="177"/>
      <c r="F40" s="73" t="s">
        <v>17</v>
      </c>
      <c r="G40" s="92">
        <v>10558</v>
      </c>
      <c r="H40" s="96">
        <v>0.21817</v>
      </c>
      <c r="I40" s="69">
        <f t="shared" si="3"/>
        <v>2303.4388600000002</v>
      </c>
      <c r="J40" s="73" t="s">
        <v>19</v>
      </c>
      <c r="K40" s="92">
        <f>K27</f>
        <v>0</v>
      </c>
      <c r="L40" s="96">
        <v>0.21725</v>
      </c>
      <c r="M40" s="69">
        <f t="shared" si="2"/>
        <v>0</v>
      </c>
      <c r="P40" s="180"/>
      <c r="Q40" s="180"/>
    </row>
    <row r="41" spans="1:17" ht="15.75">
      <c r="A41" s="1" t="s">
        <v>90</v>
      </c>
      <c r="B41" s="125" t="s">
        <v>91</v>
      </c>
      <c r="C41" s="20">
        <v>1919.57</v>
      </c>
      <c r="D41" s="177"/>
      <c r="F41" s="73" t="s">
        <v>18</v>
      </c>
      <c r="G41" s="92">
        <v>362835</v>
      </c>
      <c r="H41" s="96">
        <v>0.21817</v>
      </c>
      <c r="I41" s="69">
        <f t="shared" si="3"/>
        <v>79159.711949999997</v>
      </c>
      <c r="J41" s="73" t="s">
        <v>20</v>
      </c>
      <c r="K41" s="91">
        <v>0</v>
      </c>
      <c r="L41" s="96">
        <v>0.21725</v>
      </c>
      <c r="M41" s="69">
        <f t="shared" si="2"/>
        <v>0</v>
      </c>
      <c r="P41" s="180"/>
      <c r="Q41" s="180"/>
    </row>
    <row r="42" spans="1:17" ht="16.5" thickBot="1">
      <c r="A42" s="1" t="s">
        <v>108</v>
      </c>
      <c r="B42" s="130" t="s">
        <v>109</v>
      </c>
      <c r="C42" s="20">
        <v>895916.94</v>
      </c>
      <c r="D42" s="2"/>
      <c r="F42" s="73" t="s">
        <v>19</v>
      </c>
      <c r="G42" s="92">
        <v>65295</v>
      </c>
      <c r="H42" s="96">
        <v>0.21817</v>
      </c>
      <c r="I42" s="69">
        <f t="shared" si="3"/>
        <v>14245.41015</v>
      </c>
      <c r="J42" s="73" t="s">
        <v>21</v>
      </c>
      <c r="K42" s="93">
        <v>0</v>
      </c>
      <c r="L42" s="96">
        <v>0.21725</v>
      </c>
      <c r="M42" s="69">
        <f t="shared" si="2"/>
        <v>0</v>
      </c>
      <c r="P42" s="180"/>
      <c r="Q42" s="180"/>
    </row>
    <row r="43" spans="1:17" ht="16.5" thickBot="1">
      <c r="A43" s="14" t="s">
        <v>65</v>
      </c>
      <c r="B43" s="4"/>
      <c r="C43" s="176">
        <f>SUM(C37:C42)</f>
        <v>12386181.189999999</v>
      </c>
      <c r="D43" s="177"/>
      <c r="F43" s="73" t="s">
        <v>20</v>
      </c>
      <c r="G43" s="92">
        <v>0</v>
      </c>
      <c r="H43" s="96">
        <v>0.21817</v>
      </c>
      <c r="I43" s="69">
        <f t="shared" si="3"/>
        <v>0</v>
      </c>
      <c r="J43" s="72" t="s">
        <v>75</v>
      </c>
      <c r="K43" s="54">
        <f>SUM(K36:K42)</f>
        <v>11587749</v>
      </c>
      <c r="L43" s="55"/>
      <c r="M43" s="70">
        <f>SUM(M36:M42)</f>
        <v>2517438.4702499998</v>
      </c>
    </row>
    <row r="44" spans="1:17" ht="16.5" thickBot="1">
      <c r="A44" s="181" t="s">
        <v>107</v>
      </c>
      <c r="B44" s="182" t="s">
        <v>62</v>
      </c>
      <c r="C44" s="20">
        <f>-447647.7+3873607.53-24735.54+1377.31</f>
        <v>3402601.5999999996</v>
      </c>
      <c r="D44" s="2"/>
      <c r="F44" s="73" t="s">
        <v>21</v>
      </c>
      <c r="G44" s="92">
        <v>139102</v>
      </c>
      <c r="H44" s="96">
        <v>0.21817</v>
      </c>
      <c r="I44" s="69">
        <f t="shared" si="3"/>
        <v>30347.88334</v>
      </c>
      <c r="J44" s="67"/>
      <c r="K44" s="86">
        <v>11587749</v>
      </c>
      <c r="L44" s="62" t="s">
        <v>48</v>
      </c>
      <c r="M44" s="83">
        <f>M43/K43</f>
        <v>0.21724999999999997</v>
      </c>
    </row>
    <row r="45" spans="1:17" ht="16.5" thickBot="1">
      <c r="A45" s="79" t="s">
        <v>101</v>
      </c>
      <c r="B45" s="125" t="s">
        <v>57</v>
      </c>
      <c r="C45" s="20">
        <v>0</v>
      </c>
      <c r="D45" s="178"/>
      <c r="F45" s="72" t="s">
        <v>75</v>
      </c>
      <c r="G45" s="54">
        <f>SUM(G37:G44)</f>
        <v>27466837</v>
      </c>
      <c r="H45" s="55"/>
      <c r="I45" s="70">
        <f>SUM(I37:I44)</f>
        <v>5992439.8282900015</v>
      </c>
      <c r="J45" s="21"/>
      <c r="K45" s="84">
        <f>K43-K44</f>
        <v>0</v>
      </c>
      <c r="M45" s="21"/>
    </row>
    <row r="46" spans="1:17" ht="19.5" customHeight="1" thickTop="1" thickBot="1">
      <c r="A46" s="79" t="s">
        <v>102</v>
      </c>
      <c r="B46" s="125" t="s">
        <v>57</v>
      </c>
      <c r="C46" s="20">
        <v>0</v>
      </c>
      <c r="D46" s="179"/>
      <c r="F46" s="61"/>
      <c r="G46" s="86">
        <v>27466837</v>
      </c>
      <c r="H46" s="62" t="s">
        <v>48</v>
      </c>
      <c r="I46" s="81">
        <f>I45/G45</f>
        <v>0.21817000000000006</v>
      </c>
      <c r="J46" s="21"/>
      <c r="K46" s="84"/>
      <c r="M46" s="21"/>
    </row>
    <row r="47" spans="1:17" ht="19.5" customHeight="1">
      <c r="A47" s="95" t="s">
        <v>79</v>
      </c>
      <c r="B47" s="125" t="s">
        <v>57</v>
      </c>
      <c r="C47" s="20">
        <v>0</v>
      </c>
      <c r="D47" s="177"/>
      <c r="G47" s="84">
        <f>G45-G46</f>
        <v>0</v>
      </c>
      <c r="J47" s="21"/>
      <c r="K47" s="84"/>
      <c r="M47" s="21"/>
    </row>
    <row r="48" spans="1:17" ht="16.5" thickBot="1">
      <c r="A48" s="79" t="s">
        <v>155</v>
      </c>
      <c r="B48" s="125" t="s">
        <v>57</v>
      </c>
      <c r="C48" s="20">
        <v>7000</v>
      </c>
      <c r="D48" s="177"/>
      <c r="J48" s="21"/>
      <c r="K48" s="18"/>
      <c r="M48" s="13"/>
    </row>
    <row r="49" spans="1:21" ht="15.75">
      <c r="A49" s="1" t="s">
        <v>72</v>
      </c>
      <c r="B49" s="130" t="s">
        <v>89</v>
      </c>
      <c r="C49" s="20">
        <v>19453.97</v>
      </c>
      <c r="D49" s="177"/>
      <c r="G49" s="18"/>
      <c r="H49" s="25" t="s">
        <v>13</v>
      </c>
      <c r="I49" s="5" t="s">
        <v>13</v>
      </c>
      <c r="J49" s="5" t="s">
        <v>25</v>
      </c>
      <c r="K49" s="23" t="s">
        <v>32</v>
      </c>
      <c r="L49" s="21"/>
    </row>
    <row r="50" spans="1:21" ht="16.5" thickBot="1">
      <c r="A50" s="1" t="s">
        <v>121</v>
      </c>
      <c r="B50" s="130" t="s">
        <v>89</v>
      </c>
      <c r="C50" s="20">
        <v>3069.37</v>
      </c>
      <c r="D50" s="2"/>
      <c r="F50" s="9" t="s">
        <v>35</v>
      </c>
      <c r="H50" s="26" t="s">
        <v>0</v>
      </c>
      <c r="I50" s="27" t="s">
        <v>1</v>
      </c>
      <c r="J50" s="27" t="s">
        <v>0</v>
      </c>
      <c r="K50" s="24" t="s">
        <v>1</v>
      </c>
    </row>
    <row r="51" spans="1:21" ht="15.75">
      <c r="A51" s="1" t="s">
        <v>159</v>
      </c>
      <c r="B51" s="130" t="s">
        <v>89</v>
      </c>
      <c r="C51" s="20">
        <v>5858.93</v>
      </c>
      <c r="D51" s="177"/>
      <c r="H51" s="30"/>
      <c r="I51" s="31"/>
      <c r="J51" s="31"/>
      <c r="K51" s="31"/>
      <c r="L51" s="22" t="s">
        <v>49</v>
      </c>
    </row>
    <row r="52" spans="1:21" ht="15.75">
      <c r="A52" s="42" t="s">
        <v>60</v>
      </c>
      <c r="B52" s="125"/>
      <c r="C52" s="17">
        <f>-C33</f>
        <v>37043.18</v>
      </c>
      <c r="D52" s="174"/>
      <c r="F52" s="95" t="s">
        <v>78</v>
      </c>
      <c r="H52" s="80">
        <f>K12</f>
        <v>5248847.9294569995</v>
      </c>
      <c r="I52" s="19">
        <f>I14</f>
        <v>1556226.0300179995</v>
      </c>
      <c r="J52" s="19">
        <f>L12</f>
        <v>2216154.1005429993</v>
      </c>
      <c r="K52" s="19">
        <f>J14</f>
        <v>697214.49998199986</v>
      </c>
      <c r="L52" s="28">
        <f>SUM(H52:K52)</f>
        <v>9718442.5599999987</v>
      </c>
    </row>
    <row r="53" spans="1:21" ht="16.5" thickBot="1">
      <c r="A53" s="95" t="s">
        <v>166</v>
      </c>
      <c r="B53" s="130" t="s">
        <v>167</v>
      </c>
      <c r="C53" s="20">
        <f>7821.52+0.01</f>
        <v>7821.5300000000007</v>
      </c>
      <c r="D53" s="177"/>
      <c r="F53" s="95" t="s">
        <v>51</v>
      </c>
      <c r="H53" s="80">
        <f>-I45</f>
        <v>-5992439.8282900015</v>
      </c>
      <c r="I53" s="19">
        <f>-I32</f>
        <v>-2887226.4874399994</v>
      </c>
      <c r="J53" s="19">
        <f>-M43</f>
        <v>-2517438.4702499998</v>
      </c>
      <c r="K53" s="19">
        <f>-M28</f>
        <v>-1216366.0125299999</v>
      </c>
      <c r="L53" s="90">
        <f>SUM(H53:K53)</f>
        <v>-12613470.79851</v>
      </c>
    </row>
    <row r="54" spans="1:21" ht="16.5" thickBot="1">
      <c r="A54" s="95" t="s">
        <v>66</v>
      </c>
      <c r="B54" s="125" t="s">
        <v>153</v>
      </c>
      <c r="C54" s="20">
        <f>-538419.62-4072845.36-3427529.5</f>
        <v>-8038794.4799999995</v>
      </c>
      <c r="D54" s="177"/>
      <c r="F54" s="95" t="s">
        <v>37</v>
      </c>
      <c r="H54" s="87">
        <v>0</v>
      </c>
      <c r="I54" s="88">
        <v>0</v>
      </c>
      <c r="J54" s="88">
        <v>0</v>
      </c>
      <c r="K54" s="89">
        <v>0</v>
      </c>
      <c r="L54" s="183">
        <f>SUM(L52:L53)</f>
        <v>-2895028.2385100015</v>
      </c>
    </row>
    <row r="55" spans="1:21" ht="16.5" thickBot="1">
      <c r="A55" s="95" t="s">
        <v>163</v>
      </c>
      <c r="B55" s="125" t="s">
        <v>119</v>
      </c>
      <c r="C55" s="20">
        <v>-375000</v>
      </c>
      <c r="D55" s="177"/>
      <c r="F55" s="95" t="s">
        <v>33</v>
      </c>
      <c r="H55" s="176">
        <f>H52+H53+H54</f>
        <v>-743591.89883300196</v>
      </c>
      <c r="I55" s="176">
        <f>I52+I53+I54</f>
        <v>-1331000.4574219999</v>
      </c>
      <c r="J55" s="176">
        <f>J52+J53+J54</f>
        <v>-301284.36970700044</v>
      </c>
      <c r="K55" s="176">
        <f>K52+K53+K54</f>
        <v>-519151.51254800009</v>
      </c>
      <c r="L55" s="184">
        <f>SUM(H55:K55)</f>
        <v>-2895028.2385100024</v>
      </c>
    </row>
    <row r="56" spans="1:21" ht="16.5" thickBot="1">
      <c r="A56" s="185" t="s">
        <v>61</v>
      </c>
      <c r="B56" s="182"/>
      <c r="C56" s="34">
        <f>SUM(C43:C55)</f>
        <v>7455235.2899999982</v>
      </c>
      <c r="D56" s="177"/>
      <c r="F56" s="186" t="s">
        <v>111</v>
      </c>
      <c r="H56" s="95" t="s">
        <v>103</v>
      </c>
      <c r="I56" s="1">
        <f>SUM(H55:I55)</f>
        <v>-2074592.3562550019</v>
      </c>
      <c r="J56" s="12" t="s">
        <v>104</v>
      </c>
      <c r="K56" s="95">
        <f>SUM(J55:K55)</f>
        <v>-820435.88225500053</v>
      </c>
      <c r="L56" s="187">
        <f>ROUND(L54-L55,3)</f>
        <v>0</v>
      </c>
      <c r="T56" s="188"/>
    </row>
    <row r="57" spans="1:21" ht="16.5" thickTop="1">
      <c r="A57" s="95" t="s">
        <v>63</v>
      </c>
      <c r="B57" s="125" t="s">
        <v>57</v>
      </c>
      <c r="C57" s="20">
        <v>5580.95</v>
      </c>
      <c r="D57" s="177"/>
      <c r="F57" s="189" t="s">
        <v>111</v>
      </c>
      <c r="H57" s="190"/>
    </row>
    <row r="58" spans="1:21" ht="16.5" thickBot="1">
      <c r="A58" s="95" t="s">
        <v>64</v>
      </c>
      <c r="B58" s="125" t="s">
        <v>57</v>
      </c>
      <c r="C58" s="20">
        <v>4185.79</v>
      </c>
      <c r="D58" s="177"/>
      <c r="F58" s="189" t="s">
        <v>112</v>
      </c>
      <c r="H58" s="178"/>
      <c r="I58" s="191"/>
      <c r="J58" s="191"/>
      <c r="K58" s="192"/>
      <c r="L58" s="191"/>
    </row>
    <row r="59" spans="1:21" ht="16.5" thickBot="1">
      <c r="A59" s="9" t="s">
        <v>67</v>
      </c>
      <c r="B59" s="9"/>
      <c r="C59" s="34">
        <f>SUM(C56:C58)</f>
        <v>7465002.0299999984</v>
      </c>
      <c r="D59" s="177"/>
      <c r="F59" s="193" t="s">
        <v>154</v>
      </c>
      <c r="G59" s="108" t="str">
        <f>IF(OR(AND(I56&gt;0,K56&gt;0),AND(I56&lt;0,K56&lt;0)),"OK","ERROR")</f>
        <v>OK</v>
      </c>
      <c r="H59" s="30" t="s">
        <v>151</v>
      </c>
      <c r="I59" s="75"/>
    </row>
    <row r="60" spans="1:21" ht="17.25" thickTop="1" thickBot="1">
      <c r="A60" s="9"/>
      <c r="C60" s="120"/>
      <c r="D60" s="177"/>
      <c r="H60" s="33" t="s">
        <v>105</v>
      </c>
      <c r="I60" s="194" t="s">
        <v>106</v>
      </c>
      <c r="J60" s="1"/>
    </row>
    <row r="61" spans="1:21" ht="16.5" thickBot="1">
      <c r="A61" s="29"/>
      <c r="B61" s="29" t="s">
        <v>45</v>
      </c>
      <c r="C61" s="176">
        <f>C59+C34</f>
        <v>9718442.5599999987</v>
      </c>
      <c r="D61" s="2"/>
      <c r="H61" s="94"/>
      <c r="I61" s="98"/>
      <c r="J61" s="95">
        <f>H53+I53+J53+K53</f>
        <v>-12613470.79851</v>
      </c>
    </row>
    <row r="62" spans="1:21" ht="15.75">
      <c r="A62" s="9"/>
      <c r="B62" s="29" t="s">
        <v>94</v>
      </c>
      <c r="C62" s="126">
        <v>9718442.5600000005</v>
      </c>
      <c r="G62" s="1"/>
      <c r="I62" s="17"/>
      <c r="N62" s="1"/>
      <c r="O62" s="1"/>
      <c r="P62" s="195"/>
    </row>
    <row r="63" spans="1:21" ht="15.75">
      <c r="A63" s="29"/>
      <c r="B63" s="29" t="s">
        <v>93</v>
      </c>
      <c r="C63" s="17">
        <f>ROUND(C61-C62,2)</f>
        <v>0</v>
      </c>
      <c r="D63" s="177"/>
      <c r="S63" s="125"/>
    </row>
    <row r="64" spans="1:21" ht="15.75">
      <c r="A64" s="15"/>
      <c r="C64" s="196"/>
      <c r="D64" s="197"/>
      <c r="N64" s="42"/>
      <c r="U64" s="9"/>
    </row>
    <row r="65" spans="1:21" ht="15.75">
      <c r="A65" s="15"/>
      <c r="C65" s="2"/>
      <c r="D65" s="177"/>
      <c r="N65" s="42"/>
      <c r="S65" s="198"/>
    </row>
    <row r="66" spans="1:21" ht="15.75">
      <c r="A66" s="9"/>
      <c r="C66" s="2"/>
      <c r="D66" s="177"/>
      <c r="H66" s="190"/>
      <c r="N66" s="42"/>
      <c r="S66" s="199"/>
    </row>
    <row r="67" spans="1:21">
      <c r="C67" s="17"/>
      <c r="D67" s="177"/>
      <c r="N67" s="42"/>
      <c r="S67" s="200"/>
    </row>
    <row r="68" spans="1:21">
      <c r="D68" s="177"/>
      <c r="N68" s="42"/>
      <c r="S68" s="199"/>
    </row>
    <row r="69" spans="1:21">
      <c r="D69" s="2"/>
      <c r="N69" s="42"/>
    </row>
    <row r="70" spans="1:21">
      <c r="D70" s="177"/>
      <c r="N70" s="42"/>
      <c r="S70" s="201"/>
    </row>
    <row r="71" spans="1:21">
      <c r="D71" s="177"/>
    </row>
    <row r="72" spans="1:21">
      <c r="D72" s="177"/>
    </row>
    <row r="73" spans="1:21">
      <c r="D73" s="64"/>
      <c r="S73" s="202"/>
    </row>
    <row r="74" spans="1:21">
      <c r="R74" s="125"/>
      <c r="S74" s="125"/>
      <c r="T74" s="125"/>
    </row>
    <row r="76" spans="1:21">
      <c r="U76" s="203"/>
    </row>
    <row r="1477" spans="3:3">
      <c r="C1477" s="95">
        <v>-2130</v>
      </c>
    </row>
    <row r="1485" spans="3:3">
      <c r="C1485" s="95">
        <f>7004298-2130</f>
        <v>7002168</v>
      </c>
    </row>
  </sheetData>
  <mergeCells count="3">
    <mergeCell ref="K35:M35"/>
    <mergeCell ref="J18:M18"/>
    <mergeCell ref="F18:I18"/>
  </mergeCells>
  <phoneticPr fontId="0" type="noConversion"/>
  <conditionalFormatting sqref="C63 L56 I62">
    <cfRule type="cellIs" dxfId="50" priority="27" stopIfTrue="1" operator="equal">
      <formula>0</formula>
    </cfRule>
    <cfRule type="cellIs" dxfId="49" priority="28" stopIfTrue="1" operator="notEqual">
      <formula>0</formula>
    </cfRule>
  </conditionalFormatting>
  <conditionalFormatting sqref="G34 G47 K30 K45:K47">
    <cfRule type="cellIs" dxfId="48" priority="20" operator="notEqual">
      <formula>0</formula>
    </cfRule>
  </conditionalFormatting>
  <conditionalFormatting sqref="C63">
    <cfRule type="cellIs" dxfId="47" priority="14" stopIfTrue="1" operator="equal">
      <formula>0</formula>
    </cfRule>
    <cfRule type="cellIs" dxfId="46" priority="15" stopIfTrue="1" operator="notEqual">
      <formula>0</formula>
    </cfRule>
  </conditionalFormatting>
  <conditionalFormatting sqref="K30">
    <cfRule type="cellIs" dxfId="45" priority="13" operator="notEqual">
      <formula>0</formula>
    </cfRule>
  </conditionalFormatting>
  <conditionalFormatting sqref="G59">
    <cfRule type="cellIs" dxfId="44" priority="2" operator="equal">
      <formula>"ERROR"</formula>
    </cfRule>
  </conditionalFormatting>
  <conditionalFormatting sqref="G59">
    <cfRule type="cellIs" dxfId="43" priority="1" operator="equal">
      <formula>"ERROR"</formula>
    </cfRule>
  </conditionalFormatting>
  <printOptions verticalCentered="1" gridLinesSet="0"/>
  <pageMargins left="0.5" right="0" top="0.25" bottom="0.5" header="0" footer="0.25"/>
  <pageSetup scale="47" orientation="landscape" cellComments="asDisplayed" r:id="rId1"/>
  <headerFooter alignWithMargins="0">
    <oddFooter>&amp;L&amp;F&amp;C&amp;A&amp;R&amp;D&amp;T</oddFooter>
  </headerFooter>
  <customProperties>
    <customPr name="xxe4aPID" r:id="rId2"/>
  </customProperties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7">
    <tabColor rgb="FF00CC66"/>
    <pageSetUpPr fitToPage="1"/>
  </sheetPr>
  <dimension ref="A1:U1485"/>
  <sheetViews>
    <sheetView showGridLines="0" tabSelected="1" topLeftCell="A22" zoomScale="70" zoomScaleNormal="70" workbookViewId="0">
      <selection activeCell="X1" sqref="X1:X1048576"/>
    </sheetView>
  </sheetViews>
  <sheetFormatPr defaultColWidth="16" defaultRowHeight="15"/>
  <cols>
    <col min="1" max="1" width="44.85546875" style="95" customWidth="1"/>
    <col min="2" max="2" width="25.5703125" style="95" customWidth="1"/>
    <col min="3" max="3" width="25.28515625" style="95" customWidth="1"/>
    <col min="4" max="4" width="2.7109375" style="95" customWidth="1"/>
    <col min="5" max="5" width="4.28515625" style="95" customWidth="1"/>
    <col min="6" max="6" width="26.7109375" style="95" customWidth="1"/>
    <col min="7" max="7" width="19" style="95" customWidth="1"/>
    <col min="8" max="8" width="22" style="95" customWidth="1"/>
    <col min="9" max="9" width="20.42578125" style="95" customWidth="1"/>
    <col min="10" max="10" width="26.28515625" style="95" customWidth="1"/>
    <col min="11" max="11" width="21.85546875" style="95" bestFit="1" customWidth="1"/>
    <col min="12" max="12" width="23.85546875" style="95" customWidth="1"/>
    <col min="13" max="13" width="20.85546875" style="95" bestFit="1" customWidth="1"/>
    <col min="14" max="14" width="16" style="95"/>
    <col min="15" max="16" width="16.28515625" style="95" bestFit="1" customWidth="1"/>
    <col min="17" max="16384" width="16" style="95"/>
  </cols>
  <sheetData>
    <row r="1" spans="1:12" ht="16.5" thickBot="1">
      <c r="A1" s="172" t="s">
        <v>26</v>
      </c>
      <c r="B1" s="173"/>
      <c r="C1" s="107">
        <f>Jan!C1+1</f>
        <v>201802</v>
      </c>
      <c r="F1" s="107">
        <f>C1</f>
        <v>201802</v>
      </c>
      <c r="H1" s="35" t="s">
        <v>31</v>
      </c>
      <c r="I1" s="22" t="s">
        <v>1</v>
      </c>
      <c r="J1" s="22" t="s">
        <v>1</v>
      </c>
      <c r="K1" s="22" t="s">
        <v>28</v>
      </c>
      <c r="L1" s="22" t="s">
        <v>28</v>
      </c>
    </row>
    <row r="2" spans="1:12" ht="15.75">
      <c r="C2" s="6"/>
      <c r="H2" s="36" t="s">
        <v>10</v>
      </c>
      <c r="I2" s="37" t="s">
        <v>27</v>
      </c>
      <c r="J2" s="37" t="s">
        <v>27</v>
      </c>
      <c r="K2" s="37" t="s">
        <v>29</v>
      </c>
      <c r="L2" s="37" t="s">
        <v>29</v>
      </c>
    </row>
    <row r="3" spans="1:12" ht="16.5" thickBot="1">
      <c r="A3" s="10" t="s">
        <v>52</v>
      </c>
      <c r="C3" s="7"/>
      <c r="D3" s="174"/>
      <c r="F3" s="9" t="s">
        <v>34</v>
      </c>
      <c r="H3" s="38" t="s">
        <v>30</v>
      </c>
      <c r="I3" s="38" t="s">
        <v>13</v>
      </c>
      <c r="J3" s="38" t="s">
        <v>25</v>
      </c>
      <c r="K3" s="38" t="s">
        <v>13</v>
      </c>
      <c r="L3" s="38" t="s">
        <v>25</v>
      </c>
    </row>
    <row r="4" spans="1:12" ht="15.75">
      <c r="A4" s="95" t="s">
        <v>38</v>
      </c>
      <c r="C4" s="20">
        <v>3302170.75</v>
      </c>
      <c r="D4" s="6"/>
      <c r="H4" s="3"/>
    </row>
    <row r="5" spans="1:12" ht="14.25" customHeight="1">
      <c r="A5" s="95" t="s">
        <v>9</v>
      </c>
      <c r="C5" s="20">
        <f>31936.15-1356.32</f>
        <v>30579.83</v>
      </c>
      <c r="D5" s="6"/>
      <c r="H5" s="3"/>
      <c r="I5" s="175">
        <v>0.69059999999999999</v>
      </c>
      <c r="J5" s="175">
        <v>0.30940000000000001</v>
      </c>
      <c r="K5" s="97">
        <f>ROUND(G45/(G45+K43),4)</f>
        <v>0.67810000000000004</v>
      </c>
      <c r="L5" s="97">
        <f>1-K5</f>
        <v>0.32189999999999996</v>
      </c>
    </row>
    <row r="6" spans="1:12" ht="16.5" thickBot="1">
      <c r="A6" s="8" t="s">
        <v>8</v>
      </c>
      <c r="C6" s="116">
        <f>-1350094.69-385081.19-110023.2-123776.1-70964.96-88634.69</f>
        <v>-2128574.83</v>
      </c>
      <c r="D6" s="6"/>
    </row>
    <row r="7" spans="1:12" ht="16.5" thickBot="1">
      <c r="A7" s="12" t="s">
        <v>82</v>
      </c>
      <c r="C7" s="17">
        <f>SUM(C4:C6)</f>
        <v>1204175.75</v>
      </c>
      <c r="D7" s="7"/>
      <c r="F7" s="39" t="s">
        <v>81</v>
      </c>
      <c r="G7" s="39"/>
      <c r="H7" s="176">
        <f>C34</f>
        <v>2050580.85</v>
      </c>
      <c r="I7" s="40">
        <f>H7*I5</f>
        <v>1416131.1350100001</v>
      </c>
      <c r="J7" s="40">
        <f>H7*J5</f>
        <v>634449.71499000001</v>
      </c>
      <c r="K7" s="40"/>
      <c r="L7" s="40"/>
    </row>
    <row r="8" spans="1:12" ht="15.75">
      <c r="A8" s="95" t="s">
        <v>39</v>
      </c>
      <c r="C8" s="20">
        <v>228271.63</v>
      </c>
      <c r="D8" s="7"/>
      <c r="H8" s="41"/>
      <c r="I8" s="41"/>
      <c r="J8" s="41"/>
      <c r="K8" s="41"/>
      <c r="L8" s="41"/>
    </row>
    <row r="9" spans="1:12" ht="15.75">
      <c r="A9" s="95" t="s">
        <v>40</v>
      </c>
      <c r="C9" s="20">
        <f>8020.76+20438.86+25218.45</f>
        <v>53678.070000000007</v>
      </c>
      <c r="D9" s="177"/>
      <c r="F9" s="39" t="s">
        <v>61</v>
      </c>
      <c r="H9" s="40">
        <f>C56</f>
        <v>7856148.2400000002</v>
      </c>
      <c r="I9" s="40"/>
      <c r="J9" s="40"/>
      <c r="K9" s="40">
        <f>H9*K5</f>
        <v>5327254.1215440007</v>
      </c>
      <c r="L9" s="40">
        <f>H9*L5</f>
        <v>2528894.118456</v>
      </c>
    </row>
    <row r="10" spans="1:12" ht="15.75">
      <c r="A10" s="8" t="s">
        <v>41</v>
      </c>
      <c r="C10" s="116">
        <f>-3087.64</f>
        <v>-3087.64</v>
      </c>
      <c r="D10" s="177"/>
      <c r="F10" s="42" t="s">
        <v>22</v>
      </c>
      <c r="H10" s="40">
        <f>C57</f>
        <v>39031.120000000003</v>
      </c>
      <c r="I10" s="40"/>
      <c r="J10" s="40"/>
      <c r="K10" s="40">
        <f>H10</f>
        <v>39031.120000000003</v>
      </c>
      <c r="L10" s="40"/>
    </row>
    <row r="11" spans="1:12">
      <c r="A11" s="12" t="s">
        <v>83</v>
      </c>
      <c r="C11" s="17">
        <f>SUM(C8:C10)</f>
        <v>278862.06</v>
      </c>
      <c r="D11" s="177"/>
      <c r="F11" s="42" t="s">
        <v>23</v>
      </c>
      <c r="H11" s="43">
        <f>C58</f>
        <v>16847.12</v>
      </c>
      <c r="I11" s="40"/>
      <c r="J11" s="40"/>
      <c r="K11" s="43"/>
      <c r="L11" s="43">
        <f>H11</f>
        <v>16847.12</v>
      </c>
    </row>
    <row r="12" spans="1:12" ht="15.75">
      <c r="A12" s="95" t="s">
        <v>98</v>
      </c>
      <c r="C12" s="20">
        <f>192542.32-5898</f>
        <v>186644.32</v>
      </c>
      <c r="D12" s="177"/>
      <c r="F12" s="42" t="s">
        <v>80</v>
      </c>
      <c r="H12" s="40">
        <f>H9+H10+H11</f>
        <v>7912026.4800000004</v>
      </c>
      <c r="I12" s="40"/>
      <c r="J12" s="40"/>
      <c r="K12" s="40">
        <f>SUM(K9:K11)</f>
        <v>5366285.2415440008</v>
      </c>
      <c r="L12" s="40">
        <f>SUM(L9:L11)</f>
        <v>2545741.2384560001</v>
      </c>
    </row>
    <row r="13" spans="1:12" ht="16.5" thickBot="1">
      <c r="A13" s="8" t="s">
        <v>99</v>
      </c>
      <c r="C13" s="116">
        <v>0</v>
      </c>
      <c r="D13" s="177"/>
      <c r="F13" s="44"/>
      <c r="G13" s="45"/>
      <c r="H13" s="46"/>
      <c r="I13" s="47"/>
      <c r="J13" s="46"/>
      <c r="K13" s="41"/>
      <c r="L13" s="46"/>
    </row>
    <row r="14" spans="1:12" ht="16.5" thickBot="1">
      <c r="A14" s="12" t="s">
        <v>42</v>
      </c>
      <c r="C14" s="17">
        <f>SUM(C12:C13)</f>
        <v>186644.32</v>
      </c>
      <c r="D14" s="2"/>
      <c r="F14" s="9" t="s">
        <v>31</v>
      </c>
      <c r="G14" s="48"/>
      <c r="H14" s="176">
        <f>H12+H7</f>
        <v>9962607.3300000001</v>
      </c>
      <c r="I14" s="49">
        <f>SUM(I7:I13)</f>
        <v>1416131.1350100001</v>
      </c>
      <c r="J14" s="49">
        <f>SUM(J7:J13)</f>
        <v>634449.71499000001</v>
      </c>
      <c r="K14" s="49">
        <f>K12</f>
        <v>5366285.2415440008</v>
      </c>
      <c r="L14" s="49">
        <f>L12</f>
        <v>2545741.2384560001</v>
      </c>
    </row>
    <row r="15" spans="1:12" ht="15.75">
      <c r="A15" s="95" t="s">
        <v>113</v>
      </c>
      <c r="C15" s="20">
        <f>394860.7-12095.45</f>
        <v>382765.25</v>
      </c>
      <c r="D15" s="177"/>
      <c r="F15" s="44"/>
      <c r="G15" s="45" t="s">
        <v>48</v>
      </c>
      <c r="H15" s="46">
        <f>H14-C61</f>
        <v>0</v>
      </c>
      <c r="I15" s="50"/>
      <c r="J15" s="46">
        <f>J7+I7-H7</f>
        <v>0</v>
      </c>
      <c r="L15" s="46">
        <f>H12-K14-L14</f>
        <v>0</v>
      </c>
    </row>
    <row r="16" spans="1:12" ht="15.75">
      <c r="A16" s="8" t="s">
        <v>114</v>
      </c>
      <c r="C16" s="116">
        <v>0</v>
      </c>
      <c r="D16" s="177"/>
      <c r="F16" s="51"/>
      <c r="G16" s="45"/>
      <c r="H16" s="52"/>
      <c r="I16" s="53"/>
      <c r="J16" s="52"/>
      <c r="L16" s="52"/>
    </row>
    <row r="17" spans="1:13" ht="15.75" thickBot="1">
      <c r="A17" s="12" t="s">
        <v>115</v>
      </c>
      <c r="C17" s="17">
        <f>SUM(C15:C16)</f>
        <v>382765.25</v>
      </c>
      <c r="D17" s="2"/>
      <c r="F17" s="44"/>
      <c r="G17" s="45"/>
      <c r="H17" s="52"/>
      <c r="I17" s="53"/>
      <c r="J17" s="56"/>
      <c r="L17" s="52"/>
    </row>
    <row r="18" spans="1:13" ht="16.5" thickBot="1">
      <c r="A18" s="95" t="s">
        <v>96</v>
      </c>
      <c r="C18" s="20">
        <f>79829.44+10137.4-2766.73</f>
        <v>87200.11</v>
      </c>
      <c r="D18" s="177"/>
      <c r="F18" s="204" t="s">
        <v>76</v>
      </c>
      <c r="G18" s="205"/>
      <c r="H18" s="205"/>
      <c r="I18" s="206"/>
      <c r="J18" s="204" t="s">
        <v>77</v>
      </c>
      <c r="K18" s="205"/>
      <c r="L18" s="205"/>
      <c r="M18" s="206"/>
    </row>
    <row r="19" spans="1:13" ht="15.75">
      <c r="A19" s="8" t="s">
        <v>97</v>
      </c>
      <c r="C19" s="116">
        <f>2240.22</f>
        <v>2240.2199999999998</v>
      </c>
      <c r="D19" s="177"/>
      <c r="F19" s="74" t="s">
        <v>50</v>
      </c>
      <c r="G19" s="37" t="s">
        <v>11</v>
      </c>
      <c r="H19" s="37" t="s">
        <v>11</v>
      </c>
      <c r="I19" s="37" t="s">
        <v>11</v>
      </c>
      <c r="J19" s="74" t="s">
        <v>50</v>
      </c>
      <c r="K19" s="37" t="s">
        <v>11</v>
      </c>
      <c r="L19" s="37" t="s">
        <v>11</v>
      </c>
      <c r="M19" s="58" t="s">
        <v>11</v>
      </c>
    </row>
    <row r="20" spans="1:13" ht="16.5" thickBot="1">
      <c r="A20" s="11" t="s">
        <v>43</v>
      </c>
      <c r="C20" s="17">
        <f>SUM(C18:C19)</f>
        <v>89440.33</v>
      </c>
      <c r="D20" s="177"/>
      <c r="F20" s="68" t="s">
        <v>95</v>
      </c>
      <c r="G20" s="38" t="s">
        <v>47</v>
      </c>
      <c r="H20" s="38" t="s">
        <v>14</v>
      </c>
      <c r="I20" s="38" t="s">
        <v>12</v>
      </c>
      <c r="J20" s="68" t="s">
        <v>95</v>
      </c>
      <c r="K20" s="38" t="s">
        <v>47</v>
      </c>
      <c r="L20" s="38" t="s">
        <v>14</v>
      </c>
      <c r="M20" s="38" t="s">
        <v>12</v>
      </c>
    </row>
    <row r="21" spans="1:13" ht="15.75">
      <c r="A21" s="8" t="s">
        <v>87</v>
      </c>
      <c r="C21" s="116">
        <f>1884.24+1850</f>
        <v>3734.24</v>
      </c>
      <c r="D21" s="177"/>
      <c r="F21" s="57"/>
      <c r="G21" s="4"/>
      <c r="H21" s="4"/>
      <c r="I21" s="58"/>
      <c r="J21" s="25"/>
      <c r="K21" s="5"/>
      <c r="L21" s="5"/>
      <c r="M21" s="75"/>
    </row>
    <row r="22" spans="1:13" ht="18" customHeight="1">
      <c r="A22" s="11" t="s">
        <v>87</v>
      </c>
      <c r="C22" s="17">
        <f>SUM(C21)</f>
        <v>3734.24</v>
      </c>
      <c r="D22" s="177"/>
      <c r="F22" s="72" t="s">
        <v>68</v>
      </c>
      <c r="G22" s="1"/>
      <c r="H22" s="1"/>
      <c r="I22" s="16"/>
      <c r="J22" s="72" t="s">
        <v>68</v>
      </c>
      <c r="K22" s="1"/>
      <c r="L22" s="1"/>
      <c r="M22" s="16"/>
    </row>
    <row r="23" spans="1:13" ht="15.75">
      <c r="A23" s="76" t="s">
        <v>110</v>
      </c>
      <c r="C23" s="17">
        <v>0</v>
      </c>
      <c r="D23" s="177"/>
      <c r="F23" s="73" t="s">
        <v>15</v>
      </c>
      <c r="G23" s="91">
        <v>18179866</v>
      </c>
      <c r="H23" s="96" t="s">
        <v>157</v>
      </c>
      <c r="I23" s="69">
        <v>2081351</v>
      </c>
      <c r="J23" s="73" t="s">
        <v>15</v>
      </c>
      <c r="K23" s="91">
        <v>9222783</v>
      </c>
      <c r="L23" s="96" t="s">
        <v>157</v>
      </c>
      <c r="M23" s="69">
        <v>1027603</v>
      </c>
    </row>
    <row r="24" spans="1:13" ht="15.75">
      <c r="A24" s="76" t="s">
        <v>116</v>
      </c>
      <c r="C24" s="20">
        <v>0</v>
      </c>
      <c r="D24" s="177"/>
      <c r="F24" s="73" t="s">
        <v>156</v>
      </c>
      <c r="G24" s="91">
        <v>21014</v>
      </c>
      <c r="H24" s="96" t="s">
        <v>157</v>
      </c>
      <c r="I24" s="69">
        <v>2402</v>
      </c>
      <c r="J24" s="73" t="s">
        <v>16</v>
      </c>
      <c r="K24" s="91">
        <v>3135975</v>
      </c>
      <c r="L24" s="96" t="s">
        <v>157</v>
      </c>
      <c r="M24" s="69">
        <v>351342</v>
      </c>
    </row>
    <row r="25" spans="1:13" ht="15.75">
      <c r="A25" s="76" t="s">
        <v>118</v>
      </c>
      <c r="C25" s="118">
        <v>0</v>
      </c>
      <c r="D25" s="177"/>
      <c r="F25" s="73" t="s">
        <v>16</v>
      </c>
      <c r="G25" s="91">
        <v>7202971</v>
      </c>
      <c r="H25" s="96" t="s">
        <v>157</v>
      </c>
      <c r="I25" s="69">
        <v>759003</v>
      </c>
      <c r="J25" s="73" t="s">
        <v>17</v>
      </c>
      <c r="K25" s="91">
        <v>3435</v>
      </c>
      <c r="L25" s="96" t="s">
        <v>157</v>
      </c>
      <c r="M25" s="69">
        <v>384</v>
      </c>
    </row>
    <row r="26" spans="1:13" ht="15.75">
      <c r="A26" s="77" t="s">
        <v>117</v>
      </c>
      <c r="C26" s="119">
        <v>0</v>
      </c>
      <c r="D26" s="177"/>
      <c r="F26" s="73" t="s">
        <v>17</v>
      </c>
      <c r="G26" s="91">
        <v>21563</v>
      </c>
      <c r="H26" s="96" t="s">
        <v>157</v>
      </c>
      <c r="I26" s="69">
        <v>2123</v>
      </c>
      <c r="J26" s="73" t="s">
        <v>18</v>
      </c>
      <c r="K26" s="91">
        <v>0</v>
      </c>
      <c r="L26" s="96" t="s">
        <v>157</v>
      </c>
      <c r="M26" s="69">
        <f t="shared" ref="M26:M27" si="0">K26*L26</f>
        <v>0</v>
      </c>
    </row>
    <row r="27" spans="1:13" ht="15.75">
      <c r="A27" s="11" t="s">
        <v>46</v>
      </c>
      <c r="C27" s="17">
        <f>SUM(C23:C26)</f>
        <v>0</v>
      </c>
      <c r="D27" s="177"/>
      <c r="F27" s="73" t="s">
        <v>18</v>
      </c>
      <c r="G27" s="91">
        <v>448875</v>
      </c>
      <c r="H27" s="96" t="s">
        <v>157</v>
      </c>
      <c r="I27" s="69">
        <v>48583</v>
      </c>
      <c r="J27" s="73" t="s">
        <v>19</v>
      </c>
      <c r="K27" s="91">
        <v>0</v>
      </c>
      <c r="L27" s="96" t="s">
        <v>157</v>
      </c>
      <c r="M27" s="69">
        <f t="shared" si="0"/>
        <v>0</v>
      </c>
    </row>
    <row r="28" spans="1:13" ht="16.5" thickBot="1">
      <c r="A28" s="78" t="s">
        <v>88</v>
      </c>
      <c r="C28" s="20">
        <v>0</v>
      </c>
      <c r="D28" s="2"/>
      <c r="F28" s="73" t="s">
        <v>19</v>
      </c>
      <c r="G28" s="91">
        <v>48826</v>
      </c>
      <c r="H28" s="96" t="s">
        <v>157</v>
      </c>
      <c r="I28" s="69">
        <v>5622</v>
      </c>
      <c r="J28" s="72" t="s">
        <v>69</v>
      </c>
      <c r="K28" s="54">
        <f>SUM(K23:K27)</f>
        <v>12362193</v>
      </c>
      <c r="L28" s="55"/>
      <c r="M28" s="70">
        <f>SUM(M23:M27)</f>
        <v>1379329</v>
      </c>
    </row>
    <row r="29" spans="1:13" ht="17.25" thickTop="1" thickBot="1">
      <c r="A29" s="78" t="s">
        <v>100</v>
      </c>
      <c r="C29" s="20">
        <v>0</v>
      </c>
      <c r="D29" s="177"/>
      <c r="F29" s="73" t="s">
        <v>20</v>
      </c>
      <c r="G29" s="91">
        <v>0</v>
      </c>
      <c r="H29" s="96" t="s">
        <v>157</v>
      </c>
      <c r="I29" s="69">
        <v>0</v>
      </c>
      <c r="J29" s="72"/>
      <c r="K29" s="85">
        <v>12362193</v>
      </c>
      <c r="L29" s="60" t="s">
        <v>48</v>
      </c>
      <c r="M29" s="101">
        <f>M28/K28</f>
        <v>0.11157640072436986</v>
      </c>
    </row>
    <row r="30" spans="1:13" ht="16.5" thickBot="1">
      <c r="A30" s="9" t="s">
        <v>53</v>
      </c>
      <c r="C30" s="176">
        <f>C7+C11+C14+C17+C20+C22+C27+C28+C29</f>
        <v>2145621.9500000002</v>
      </c>
      <c r="D30" s="2"/>
      <c r="F30" s="73" t="s">
        <v>21</v>
      </c>
      <c r="G30" s="91">
        <v>117328</v>
      </c>
      <c r="H30" s="96" t="s">
        <v>157</v>
      </c>
      <c r="I30" s="69">
        <v>7875</v>
      </c>
      <c r="J30" s="73"/>
      <c r="K30" s="84">
        <f>K28-K29</f>
        <v>0</v>
      </c>
      <c r="L30" s="55"/>
      <c r="M30" s="71"/>
    </row>
    <row r="31" spans="1:13" ht="15.75">
      <c r="A31" s="95" t="s">
        <v>54</v>
      </c>
      <c r="C31" s="20">
        <v>-8542.98</v>
      </c>
      <c r="D31" s="178"/>
      <c r="F31" s="73" t="s">
        <v>36</v>
      </c>
      <c r="G31" s="91">
        <v>3567188</v>
      </c>
      <c r="H31" s="96" t="s">
        <v>157</v>
      </c>
      <c r="I31" s="69">
        <v>1901</v>
      </c>
      <c r="J31" s="32"/>
      <c r="K31" s="1"/>
      <c r="L31" s="55"/>
      <c r="M31" s="71"/>
    </row>
    <row r="32" spans="1:13" ht="16.5" thickBot="1">
      <c r="A32" s="9" t="s">
        <v>58</v>
      </c>
      <c r="B32" s="9" t="s">
        <v>59</v>
      </c>
      <c r="C32" s="120">
        <f>C30+C31</f>
        <v>2137078.9700000002</v>
      </c>
      <c r="D32" s="179"/>
      <c r="F32" s="72" t="s">
        <v>69</v>
      </c>
      <c r="G32" s="54">
        <f>SUM(G23:G31)</f>
        <v>29607631</v>
      </c>
      <c r="H32" s="1"/>
      <c r="I32" s="70">
        <f>SUM(I23:I31)</f>
        <v>2908860</v>
      </c>
      <c r="J32" s="65"/>
      <c r="K32" s="66"/>
      <c r="L32" s="1"/>
      <c r="M32" s="63"/>
    </row>
    <row r="33" spans="1:17" ht="17.25" thickTop="1" thickBot="1">
      <c r="A33" s="95" t="s">
        <v>55</v>
      </c>
      <c r="C33" s="120">
        <f>-C5-C9-C13-C16-C19</f>
        <v>-86498.12000000001</v>
      </c>
      <c r="D33" s="177"/>
      <c r="F33" s="59"/>
      <c r="G33" s="85">
        <v>29607631</v>
      </c>
      <c r="H33" s="60" t="s">
        <v>48</v>
      </c>
      <c r="I33" s="82">
        <f>I32/G32</f>
        <v>9.8246968830434295E-2</v>
      </c>
      <c r="J33" s="65"/>
      <c r="K33" s="66"/>
      <c r="L33" s="1"/>
      <c r="M33" s="16"/>
    </row>
    <row r="34" spans="1:17" ht="16.5" thickBot="1">
      <c r="A34" s="9" t="s">
        <v>56</v>
      </c>
      <c r="C34" s="176">
        <f>SUM(C32:C33)</f>
        <v>2050580.85</v>
      </c>
      <c r="D34" s="177"/>
      <c r="F34" s="32"/>
      <c r="G34" s="84">
        <f>G32-G33</f>
        <v>0</v>
      </c>
      <c r="H34" s="1"/>
      <c r="I34" s="16"/>
      <c r="J34" s="65"/>
      <c r="K34" s="64"/>
      <c r="L34" s="1"/>
      <c r="M34" s="16"/>
    </row>
    <row r="35" spans="1:17" ht="18" customHeight="1">
      <c r="A35" s="9"/>
      <c r="C35" s="120"/>
      <c r="D35" s="177"/>
      <c r="F35" s="57"/>
      <c r="G35" s="4"/>
      <c r="H35" s="4"/>
      <c r="I35" s="58"/>
      <c r="J35" s="72" t="s">
        <v>70</v>
      </c>
      <c r="K35" s="207"/>
      <c r="L35" s="207"/>
      <c r="M35" s="208"/>
    </row>
    <row r="36" spans="1:17" ht="15.75">
      <c r="A36" s="3" t="s">
        <v>44</v>
      </c>
      <c r="B36" s="9"/>
      <c r="C36" s="17"/>
      <c r="D36" s="177"/>
      <c r="F36" s="72" t="s">
        <v>70</v>
      </c>
      <c r="G36" s="1"/>
      <c r="H36" s="1"/>
      <c r="I36" s="16"/>
      <c r="J36" s="73" t="s">
        <v>15</v>
      </c>
      <c r="K36" s="92">
        <f>K23</f>
        <v>9222783</v>
      </c>
      <c r="L36" s="96" t="s">
        <v>157</v>
      </c>
      <c r="M36" s="69">
        <v>1347216</v>
      </c>
      <c r="P36" s="180"/>
      <c r="Q36" s="180"/>
    </row>
    <row r="37" spans="1:17" ht="15.75">
      <c r="A37" s="1" t="s">
        <v>71</v>
      </c>
      <c r="B37" s="130" t="s">
        <v>57</v>
      </c>
      <c r="C37" s="20">
        <v>9543034.9000000004</v>
      </c>
      <c r="D37" s="177"/>
      <c r="F37" s="73" t="s">
        <v>15</v>
      </c>
      <c r="G37" s="92">
        <v>18179866</v>
      </c>
      <c r="H37" s="96" t="s">
        <v>157</v>
      </c>
      <c r="I37" s="69">
        <v>2666323</v>
      </c>
      <c r="J37" s="73" t="s">
        <v>16</v>
      </c>
      <c r="K37" s="92">
        <f>K24</f>
        <v>3135975</v>
      </c>
      <c r="L37" s="96" t="s">
        <v>157</v>
      </c>
      <c r="M37" s="69">
        <v>472170</v>
      </c>
      <c r="P37" s="180"/>
      <c r="Q37" s="180"/>
    </row>
    <row r="38" spans="1:17" ht="15.75">
      <c r="A38" s="79" t="s">
        <v>4</v>
      </c>
      <c r="B38" s="130" t="s">
        <v>57</v>
      </c>
      <c r="C38" s="20">
        <v>0</v>
      </c>
      <c r="D38" s="177"/>
      <c r="F38" s="73" t="s">
        <v>156</v>
      </c>
      <c r="G38" s="92">
        <v>21014</v>
      </c>
      <c r="H38" s="96" t="s">
        <v>157</v>
      </c>
      <c r="I38" s="69">
        <v>3079</v>
      </c>
      <c r="J38" s="73" t="s">
        <v>17</v>
      </c>
      <c r="K38" s="92">
        <f>K25</f>
        <v>3435</v>
      </c>
      <c r="L38" s="96" t="s">
        <v>157</v>
      </c>
      <c r="M38" s="69">
        <v>594</v>
      </c>
      <c r="P38" s="180"/>
      <c r="Q38" s="180"/>
    </row>
    <row r="39" spans="1:17" ht="15.75">
      <c r="A39" s="1" t="s">
        <v>84</v>
      </c>
      <c r="B39" s="130" t="s">
        <v>85</v>
      </c>
      <c r="C39" s="20">
        <v>-78881.08</v>
      </c>
      <c r="D39" s="177"/>
      <c r="F39" s="73" t="s">
        <v>16</v>
      </c>
      <c r="G39" s="92">
        <v>7202971</v>
      </c>
      <c r="H39" s="96" t="s">
        <v>157</v>
      </c>
      <c r="I39" s="69">
        <v>1097244</v>
      </c>
      <c r="J39" s="73" t="s">
        <v>18</v>
      </c>
      <c r="K39" s="92">
        <f>K26</f>
        <v>0</v>
      </c>
      <c r="L39" s="96" t="s">
        <v>157</v>
      </c>
      <c r="M39" s="69">
        <f t="shared" ref="M39:M42" si="1">K39*L39</f>
        <v>0</v>
      </c>
      <c r="P39" s="180"/>
      <c r="Q39" s="180"/>
    </row>
    <row r="40" spans="1:17" ht="15.75">
      <c r="A40" s="1" t="s">
        <v>73</v>
      </c>
      <c r="B40" s="130" t="s">
        <v>74</v>
      </c>
      <c r="C40" s="20">
        <v>1620475.5</v>
      </c>
      <c r="D40" s="177"/>
      <c r="F40" s="73" t="s">
        <v>17</v>
      </c>
      <c r="G40" s="92">
        <v>21563</v>
      </c>
      <c r="H40" s="96" t="s">
        <v>157</v>
      </c>
      <c r="I40" s="69">
        <v>3152</v>
      </c>
      <c r="J40" s="73" t="s">
        <v>19</v>
      </c>
      <c r="K40" s="92">
        <f>K27</f>
        <v>0</v>
      </c>
      <c r="L40" s="96" t="s">
        <v>157</v>
      </c>
      <c r="M40" s="69">
        <f t="shared" si="1"/>
        <v>0</v>
      </c>
      <c r="P40" s="180"/>
      <c r="Q40" s="180"/>
    </row>
    <row r="41" spans="1:17" ht="15.75">
      <c r="A41" s="1" t="s">
        <v>90</v>
      </c>
      <c r="B41" s="125" t="s">
        <v>91</v>
      </c>
      <c r="C41" s="20">
        <v>87624.95</v>
      </c>
      <c r="D41" s="177"/>
      <c r="F41" s="73" t="s">
        <v>18</v>
      </c>
      <c r="G41" s="92">
        <v>448875</v>
      </c>
      <c r="H41" s="96" t="s">
        <v>157</v>
      </c>
      <c r="I41" s="69">
        <v>65803</v>
      </c>
      <c r="J41" s="73" t="s">
        <v>20</v>
      </c>
      <c r="K41" s="92">
        <v>0</v>
      </c>
      <c r="L41" s="96" t="s">
        <v>157</v>
      </c>
      <c r="M41" s="69">
        <f t="shared" si="1"/>
        <v>0</v>
      </c>
      <c r="P41" s="180"/>
      <c r="Q41" s="180"/>
    </row>
    <row r="42" spans="1:17" ht="16.5" thickBot="1">
      <c r="A42" s="1" t="s">
        <v>108</v>
      </c>
      <c r="B42" s="130" t="s">
        <v>109</v>
      </c>
      <c r="C42" s="20">
        <v>827715.23</v>
      </c>
      <c r="D42" s="2"/>
      <c r="F42" s="73" t="s">
        <v>19</v>
      </c>
      <c r="G42" s="92">
        <v>48826</v>
      </c>
      <c r="H42" s="96" t="s">
        <v>157</v>
      </c>
      <c r="I42" s="69">
        <v>9365</v>
      </c>
      <c r="J42" s="73" t="s">
        <v>21</v>
      </c>
      <c r="K42" s="92">
        <v>0</v>
      </c>
      <c r="L42" s="96" t="s">
        <v>157</v>
      </c>
      <c r="M42" s="69">
        <f t="shared" si="1"/>
        <v>0</v>
      </c>
      <c r="P42" s="180"/>
      <c r="Q42" s="180"/>
    </row>
    <row r="43" spans="1:17" ht="16.5" thickBot="1">
      <c r="A43" s="14" t="s">
        <v>65</v>
      </c>
      <c r="B43" s="4"/>
      <c r="C43" s="176">
        <f>SUM(C37:C42)</f>
        <v>11999969.5</v>
      </c>
      <c r="D43" s="177"/>
      <c r="F43" s="73" t="s">
        <v>20</v>
      </c>
      <c r="G43" s="92">
        <v>0</v>
      </c>
      <c r="H43" s="96" t="s">
        <v>157</v>
      </c>
      <c r="I43" s="69">
        <v>0</v>
      </c>
      <c r="J43" s="72" t="s">
        <v>75</v>
      </c>
      <c r="K43" s="54">
        <f>SUM(K36:K42)</f>
        <v>12362193</v>
      </c>
      <c r="L43" s="55"/>
      <c r="M43" s="70">
        <f>SUM(M36:M42)</f>
        <v>1819980</v>
      </c>
    </row>
    <row r="44" spans="1:17" ht="16.5" thickBot="1">
      <c r="A44" s="181" t="s">
        <v>107</v>
      </c>
      <c r="B44" s="182" t="s">
        <v>62</v>
      </c>
      <c r="C44" s="20">
        <f>-466167.08+4763434.38-34955.1+6300.92</f>
        <v>4268613.12</v>
      </c>
      <c r="D44" s="2"/>
      <c r="F44" s="73" t="s">
        <v>21</v>
      </c>
      <c r="G44" s="92">
        <v>117328</v>
      </c>
      <c r="H44" s="96" t="s">
        <v>157</v>
      </c>
      <c r="I44" s="69">
        <v>20720</v>
      </c>
      <c r="J44" s="67"/>
      <c r="K44" s="86">
        <v>12362193</v>
      </c>
      <c r="L44" s="62" t="s">
        <v>48</v>
      </c>
      <c r="M44" s="83">
        <f>M43/K43</f>
        <v>0.14722145172786091</v>
      </c>
    </row>
    <row r="45" spans="1:17" ht="16.5" thickBot="1">
      <c r="A45" s="79" t="s">
        <v>101</v>
      </c>
      <c r="B45" s="125" t="s">
        <v>57</v>
      </c>
      <c r="C45" s="20">
        <v>0</v>
      </c>
      <c r="D45" s="178"/>
      <c r="F45" s="72" t="s">
        <v>75</v>
      </c>
      <c r="G45" s="54">
        <f>SUM(G37:G44)</f>
        <v>26040443</v>
      </c>
      <c r="H45" s="55"/>
      <c r="I45" s="70">
        <f>SUM(I37:I44)</f>
        <v>3865686</v>
      </c>
      <c r="J45" s="14"/>
      <c r="K45" s="84">
        <f>K43-K44</f>
        <v>0</v>
      </c>
      <c r="L45" s="60"/>
      <c r="M45" s="117"/>
    </row>
    <row r="46" spans="1:17" ht="19.5" customHeight="1" thickTop="1" thickBot="1">
      <c r="A46" s="79" t="s">
        <v>102</v>
      </c>
      <c r="B46" s="125" t="s">
        <v>57</v>
      </c>
      <c r="C46" s="20">
        <v>0</v>
      </c>
      <c r="D46" s="179"/>
      <c r="F46" s="61"/>
      <c r="G46" s="86">
        <v>26040443</v>
      </c>
      <c r="H46" s="62" t="s">
        <v>48</v>
      </c>
      <c r="I46" s="81">
        <f>I45/G45</f>
        <v>0.14844931785530685</v>
      </c>
      <c r="J46" s="14"/>
      <c r="K46" s="85"/>
      <c r="L46" s="60"/>
      <c r="M46" s="117"/>
    </row>
    <row r="47" spans="1:17" ht="15.75">
      <c r="A47" s="95" t="s">
        <v>79</v>
      </c>
      <c r="B47" s="125" t="s">
        <v>57</v>
      </c>
      <c r="C47" s="20">
        <v>0</v>
      </c>
      <c r="D47" s="177"/>
      <c r="G47" s="84">
        <f>G45-G46</f>
        <v>0</v>
      </c>
      <c r="J47" s="21"/>
      <c r="K47" s="84"/>
      <c r="M47" s="21"/>
    </row>
    <row r="48" spans="1:17" ht="16.5" thickBot="1">
      <c r="A48" s="79" t="s">
        <v>155</v>
      </c>
      <c r="B48" s="125" t="s">
        <v>57</v>
      </c>
      <c r="C48" s="20">
        <v>7000</v>
      </c>
      <c r="D48" s="177"/>
      <c r="J48" s="21"/>
      <c r="K48" s="18"/>
      <c r="M48" s="13"/>
    </row>
    <row r="49" spans="1:21" ht="15.75">
      <c r="A49" s="1" t="s">
        <v>72</v>
      </c>
      <c r="B49" s="130" t="s">
        <v>89</v>
      </c>
      <c r="C49" s="20">
        <v>15979.98</v>
      </c>
      <c r="D49" s="177"/>
      <c r="G49" s="18"/>
      <c r="H49" s="25" t="s">
        <v>13</v>
      </c>
      <c r="I49" s="5" t="s">
        <v>13</v>
      </c>
      <c r="J49" s="5" t="s">
        <v>25</v>
      </c>
      <c r="K49" s="23" t="s">
        <v>32</v>
      </c>
      <c r="L49" s="21"/>
    </row>
    <row r="50" spans="1:21" ht="16.5" thickBot="1">
      <c r="A50" s="1" t="s">
        <v>121</v>
      </c>
      <c r="B50" s="130" t="s">
        <v>89</v>
      </c>
      <c r="C50" s="20">
        <v>2533.2199999999998</v>
      </c>
      <c r="D50" s="2"/>
      <c r="F50" s="9" t="s">
        <v>35</v>
      </c>
      <c r="H50" s="26" t="s">
        <v>0</v>
      </c>
      <c r="I50" s="27" t="s">
        <v>1</v>
      </c>
      <c r="J50" s="27" t="s">
        <v>0</v>
      </c>
      <c r="K50" s="24" t="s">
        <v>1</v>
      </c>
    </row>
    <row r="51" spans="1:21" ht="15.75">
      <c r="A51" s="1" t="s">
        <v>159</v>
      </c>
      <c r="B51" s="130" t="s">
        <v>89</v>
      </c>
      <c r="C51" s="20">
        <v>2513.29</v>
      </c>
      <c r="D51" s="177"/>
      <c r="H51" s="30"/>
      <c r="I51" s="31"/>
      <c r="J51" s="31"/>
      <c r="K51" s="31"/>
      <c r="L51" s="22" t="s">
        <v>49</v>
      </c>
    </row>
    <row r="52" spans="1:21" ht="15.75">
      <c r="A52" s="42" t="s">
        <v>60</v>
      </c>
      <c r="B52" s="125"/>
      <c r="C52" s="17">
        <f>-C33</f>
        <v>86498.12000000001</v>
      </c>
      <c r="D52" s="174"/>
      <c r="F52" s="95" t="s">
        <v>78</v>
      </c>
      <c r="H52" s="80">
        <f>K12</f>
        <v>5366285.2415440008</v>
      </c>
      <c r="I52" s="19">
        <f>I14</f>
        <v>1416131.1350100001</v>
      </c>
      <c r="J52" s="19">
        <f>L12</f>
        <v>2545741.2384560001</v>
      </c>
      <c r="K52" s="19">
        <f>J14</f>
        <v>634449.71499000001</v>
      </c>
      <c r="L52" s="28">
        <f>SUM(H52:K52)</f>
        <v>9962607.3300000001</v>
      </c>
    </row>
    <row r="53" spans="1:21" ht="16.5" thickBot="1">
      <c r="A53" s="95" t="s">
        <v>166</v>
      </c>
      <c r="B53" s="130" t="s">
        <v>167</v>
      </c>
      <c r="C53" s="20">
        <v>6015.52</v>
      </c>
      <c r="D53" s="177"/>
      <c r="F53" s="95" t="s">
        <v>51</v>
      </c>
      <c r="H53" s="80">
        <f>-I45</f>
        <v>-3865686</v>
      </c>
      <c r="I53" s="19">
        <f>-I32</f>
        <v>-2908860</v>
      </c>
      <c r="J53" s="19">
        <f>-M43</f>
        <v>-1819980</v>
      </c>
      <c r="K53" s="19">
        <f>-M28</f>
        <v>-1379329</v>
      </c>
      <c r="L53" s="90">
        <f>SUM(H53:K53)</f>
        <v>-9973855</v>
      </c>
    </row>
    <row r="54" spans="1:21" ht="16.5" thickBot="1">
      <c r="A54" s="95" t="s">
        <v>66</v>
      </c>
      <c r="B54" s="125" t="s">
        <v>153</v>
      </c>
      <c r="C54" s="20">
        <f>-565084.1-5558647.79-2034242.62</f>
        <v>-8157974.5099999998</v>
      </c>
      <c r="D54" s="177"/>
      <c r="F54" s="95" t="s">
        <v>37</v>
      </c>
      <c r="H54" s="87">
        <v>0</v>
      </c>
      <c r="I54" s="88">
        <v>0</v>
      </c>
      <c r="J54" s="88">
        <v>0</v>
      </c>
      <c r="K54" s="89">
        <v>0</v>
      </c>
      <c r="L54" s="183">
        <f>SUM(L52:L53)</f>
        <v>-11247.669999999925</v>
      </c>
    </row>
    <row r="55" spans="1:21" ht="16.5" thickBot="1">
      <c r="A55" s="95" t="s">
        <v>163</v>
      </c>
      <c r="B55" s="125" t="s">
        <v>119</v>
      </c>
      <c r="C55" s="20">
        <v>-375000</v>
      </c>
      <c r="D55" s="177"/>
      <c r="F55" s="95" t="s">
        <v>33</v>
      </c>
      <c r="H55" s="176">
        <f>IFERROR(H52+H53+H54,0)</f>
        <v>1500599.2415440008</v>
      </c>
      <c r="I55" s="176">
        <f>I52+I53+I54</f>
        <v>-1492728.8649899999</v>
      </c>
      <c r="J55" s="176">
        <f>IFERROR(J52+J53+J54,0)</f>
        <v>725761.23845600011</v>
      </c>
      <c r="K55" s="176">
        <f>K52+K53+K54</f>
        <v>-744879.28500999999</v>
      </c>
      <c r="L55" s="184">
        <f>SUM(H55:K55)</f>
        <v>-11247.669999998994</v>
      </c>
    </row>
    <row r="56" spans="1:21" ht="16.5" thickBot="1">
      <c r="A56" s="185" t="s">
        <v>61</v>
      </c>
      <c r="B56" s="182"/>
      <c r="C56" s="34">
        <f>SUM(C43:C55)</f>
        <v>7856148.2400000002</v>
      </c>
      <c r="D56" s="177"/>
      <c r="F56" s="186" t="s">
        <v>111</v>
      </c>
      <c r="H56" s="95" t="s">
        <v>103</v>
      </c>
      <c r="I56" s="1">
        <f>SUM(H55:I55)</f>
        <v>7870.3765540008899</v>
      </c>
      <c r="J56" s="12" t="s">
        <v>104</v>
      </c>
      <c r="K56" s="95">
        <f>SUM(J55:K55)</f>
        <v>-19118.046553999884</v>
      </c>
      <c r="L56" s="187">
        <f>ROUND(L54-L55,3)</f>
        <v>0</v>
      </c>
      <c r="T56" s="188"/>
    </row>
    <row r="57" spans="1:21" ht="16.5" thickTop="1">
      <c r="A57" s="95" t="s">
        <v>63</v>
      </c>
      <c r="B57" s="125" t="s">
        <v>57</v>
      </c>
      <c r="C57" s="20">
        <v>39031.120000000003</v>
      </c>
      <c r="D57" s="177"/>
      <c r="F57" s="189"/>
      <c r="H57" s="190"/>
    </row>
    <row r="58" spans="1:21" ht="16.5" thickBot="1">
      <c r="A58" s="95" t="s">
        <v>64</v>
      </c>
      <c r="B58" s="125" t="s">
        <v>57</v>
      </c>
      <c r="C58" s="20">
        <v>16847.12</v>
      </c>
      <c r="D58" s="177"/>
      <c r="F58" s="189"/>
      <c r="H58" s="178"/>
      <c r="I58" s="191"/>
      <c r="J58" s="191"/>
      <c r="K58" s="192"/>
      <c r="L58" s="191"/>
    </row>
    <row r="59" spans="1:21" ht="16.5" thickBot="1">
      <c r="A59" s="9" t="s">
        <v>67</v>
      </c>
      <c r="B59" s="9"/>
      <c r="C59" s="34">
        <f>SUM(C56:C58)</f>
        <v>7912026.4800000004</v>
      </c>
      <c r="D59" s="177"/>
      <c r="F59" s="193"/>
      <c r="G59" s="108"/>
      <c r="H59" s="30" t="s">
        <v>151</v>
      </c>
      <c r="I59" s="75"/>
    </row>
    <row r="60" spans="1:21" ht="17.25" thickTop="1" thickBot="1">
      <c r="A60" s="9"/>
      <c r="C60" s="120"/>
      <c r="D60" s="177"/>
      <c r="H60" s="33" t="s">
        <v>105</v>
      </c>
      <c r="I60" s="194" t="s">
        <v>106</v>
      </c>
      <c r="J60" s="1"/>
    </row>
    <row r="61" spans="1:21" ht="16.5" thickBot="1">
      <c r="A61" s="29"/>
      <c r="B61" s="29" t="s">
        <v>45</v>
      </c>
      <c r="C61" s="176">
        <f>C59+C34</f>
        <v>9962607.3300000001</v>
      </c>
      <c r="D61" s="2"/>
      <c r="H61" s="94"/>
      <c r="I61" s="98"/>
      <c r="J61" s="95">
        <f>H53+I53+J53+K53</f>
        <v>-9973855</v>
      </c>
    </row>
    <row r="62" spans="1:21" ht="15.75">
      <c r="A62" s="9"/>
      <c r="B62" s="29" t="s">
        <v>94</v>
      </c>
      <c r="C62" s="126">
        <v>9962607.3300000001</v>
      </c>
      <c r="G62" s="1"/>
      <c r="I62" s="17"/>
      <c r="N62" s="1"/>
      <c r="O62" s="1"/>
      <c r="P62" s="195"/>
    </row>
    <row r="63" spans="1:21" ht="15.75">
      <c r="A63" s="29"/>
      <c r="B63" s="29" t="s">
        <v>93</v>
      </c>
      <c r="C63" s="17">
        <f>ROUND(C61-C62,2)</f>
        <v>0</v>
      </c>
      <c r="D63" s="177"/>
      <c r="S63" s="125"/>
    </row>
    <row r="64" spans="1:21" ht="15.75">
      <c r="A64" s="15"/>
      <c r="C64" s="196"/>
      <c r="D64" s="197"/>
      <c r="N64" s="42"/>
      <c r="U64" s="9"/>
    </row>
    <row r="65" spans="1:21" ht="15.75">
      <c r="A65" s="15"/>
      <c r="C65" s="2"/>
      <c r="D65" s="177"/>
      <c r="N65" s="42"/>
      <c r="S65" s="198"/>
    </row>
    <row r="66" spans="1:21" ht="15.75">
      <c r="A66" s="9"/>
      <c r="C66" s="2"/>
      <c r="D66" s="177"/>
      <c r="H66" s="190"/>
      <c r="N66" s="42"/>
      <c r="S66" s="199"/>
    </row>
    <row r="67" spans="1:21">
      <c r="C67" s="17"/>
      <c r="D67" s="177"/>
      <c r="N67" s="42"/>
      <c r="S67" s="200"/>
    </row>
    <row r="68" spans="1:21">
      <c r="D68" s="177"/>
      <c r="N68" s="42"/>
      <c r="S68" s="199"/>
    </row>
    <row r="69" spans="1:21">
      <c r="D69" s="2"/>
      <c r="N69" s="42"/>
    </row>
    <row r="70" spans="1:21">
      <c r="D70" s="177"/>
      <c r="N70" s="42"/>
      <c r="S70" s="201"/>
    </row>
    <row r="71" spans="1:21">
      <c r="D71" s="177"/>
    </row>
    <row r="72" spans="1:21">
      <c r="D72" s="177"/>
    </row>
    <row r="73" spans="1:21">
      <c r="D73" s="64"/>
      <c r="S73" s="202"/>
    </row>
    <row r="74" spans="1:21">
      <c r="R74" s="125"/>
      <c r="S74" s="125"/>
      <c r="T74" s="125"/>
    </row>
    <row r="76" spans="1:21">
      <c r="U76" s="203"/>
    </row>
    <row r="1477" spans="3:3">
      <c r="C1477" s="95">
        <v>-2130</v>
      </c>
    </row>
    <row r="1485" spans="3:3">
      <c r="C1485" s="95">
        <f>7004298-2130</f>
        <v>7002168</v>
      </c>
    </row>
  </sheetData>
  <mergeCells count="3">
    <mergeCell ref="F18:I18"/>
    <mergeCell ref="J18:M18"/>
    <mergeCell ref="K35:M35"/>
  </mergeCells>
  <conditionalFormatting sqref="C63 L56 I62">
    <cfRule type="cellIs" dxfId="42" priority="9" stopIfTrue="1" operator="equal">
      <formula>0</formula>
    </cfRule>
    <cfRule type="cellIs" dxfId="41" priority="10" stopIfTrue="1" operator="notEqual">
      <formula>0</formula>
    </cfRule>
  </conditionalFormatting>
  <conditionalFormatting sqref="G34 G47 K30 K47">
    <cfRule type="cellIs" dxfId="40" priority="8" operator="notEqual">
      <formula>0</formula>
    </cfRule>
  </conditionalFormatting>
  <conditionalFormatting sqref="C63">
    <cfRule type="cellIs" dxfId="39" priority="6" stopIfTrue="1" operator="equal">
      <formula>0</formula>
    </cfRule>
    <cfRule type="cellIs" dxfId="38" priority="7" stopIfTrue="1" operator="notEqual">
      <formula>0</formula>
    </cfRule>
  </conditionalFormatting>
  <conditionalFormatting sqref="K30">
    <cfRule type="cellIs" dxfId="37" priority="5" operator="notEqual">
      <formula>0</formula>
    </cfRule>
  </conditionalFormatting>
  <conditionalFormatting sqref="G59">
    <cfRule type="cellIs" dxfId="36" priority="4" operator="equal">
      <formula>"""ERROR"""</formula>
    </cfRule>
  </conditionalFormatting>
  <conditionalFormatting sqref="G59">
    <cfRule type="cellIs" dxfId="35" priority="3" operator="equal">
      <formula>"ERROR"</formula>
    </cfRule>
  </conditionalFormatting>
  <conditionalFormatting sqref="G59">
    <cfRule type="cellIs" dxfId="34" priority="2" operator="equal">
      <formula>"ERROR"</formula>
    </cfRule>
  </conditionalFormatting>
  <conditionalFormatting sqref="K45">
    <cfRule type="cellIs" dxfId="33" priority="1" operator="notEqual">
      <formula>0</formula>
    </cfRule>
  </conditionalFormatting>
  <printOptions verticalCentered="1" gridLinesSet="0"/>
  <pageMargins left="0.5" right="0" top="0.25" bottom="0.5" header="0" footer="0.25"/>
  <pageSetup scale="47" orientation="landscape" cellComments="asDisplayed" r:id="rId1"/>
  <headerFooter alignWithMargins="0">
    <oddFooter>&amp;L&amp;F&amp;C&amp;A&amp;R&amp;D&amp;T</oddFooter>
  </headerFooter>
  <customProperties>
    <customPr name="xxe4aPID" r:id="rId2"/>
  </customProperties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xxe4awand xmlns="http://www.excel4apps.com"><![CDATA[rO0ABXfZCMCtii8ABEYDAh4AAERjb20uZXhjZWw0YXBwcy53YW5kLm9yYWNsZS5n
bHdhbmQuY2FsY3VsYXRpb25zLmdldGJhbGFuY2UuR2V0QmFsYW5jZQIBAAkzMTY3
ODQxMjACAgABMAIDAAYyMDE3MDUCBAADWVREAgUAA1VTRAIGAAVUb3RhbAIHAAFB
AggAAAIJAAMwMDECCgAGMTkxMDEwAgsAAkdEAgwAAklEAg0AAkRMAggCCAIIAggC
CAIIAggCCAIIAggCCAIIAggCCAIIAggCCAIhAgMCDnNyAg8AFGphdmEubWF0aC5C
aWdEZWNpbWFsVMcVV/mBKE8DAAJJAhAABXNjYWxlTAIRAAZpbnRWYWx0ABZMamF2
YS9tYXRoL0JpZ0ludGVnZXI7eHICEgAQamF2YS5sYW5nLk51bWJlcoaslR0LlOCL
AgAAeHAAAAACc3ICEwAUamF2YS5tYXRoLkJpZ0ludGVnZXKM/J8fqTv7HQMABkkC
FAAIYml0Q291bnRJAhUACWJpdExlbmd0aEkCFgATZmlyc3ROb256ZXJvQnl0ZU51
bUkCFwAMbG93ZXN0U2V0Qml0SQIYAAZzaWdudW1bAhkACW1hZ25pdHVkZXQAAltC
eHEAfgAC///////////////+/////v////91cgIaAAJbQqzzF/gGCFTgAgAAeHAA
AAAEKiZPC3h4d00CHgACAQICAhsABjIwMTgwMwIEAgUCBgIHAggCCQIKAgsCDAIN
AggCCAIIAggCCAIIAggCCAIIAggCCAIIAggCCAIIAggCCAIhAgMCHHNxAH4AAAAA
AAJzcQB+AAT///////////////7////+/////3VxAH4ABwAAAAQqwrH4eHh3TQIeAAIBAgICHQAGMjAxODAxAgQCBQIGAgcCCAIJAgoCCwIMAg0CCAIIAggCCAIIAggCCAIIAggCCAIIAggCCAIIAggCCAIIAiECAwIec3EAfgAAAAAAAnNxAH4ABP///////////////v////7/////dXEAfgAHAAAABCkgj4V4eHdNAh4AAgECAgIfAAYyMDE3MDYCBAIFAgYCBwIIAgkCCgILAgwCDQIIAggCCAIIAggCCAIIAggCCAIIAggCCAIIAggCCAIIAggCIQIDAiBzcQB+AAAAAAACc3EAfgAE///////////////+/////v////91cQB+AAcAAAAEKgtGIXh4d00CHgACAQICAiEABjIwMTcwMgIEAgUCBgIHAggCCQIKAgsCDAINAggCCAIIAggCCAIIAggCCAIIAggCCAIIAggCCAIIAggCCAIhAgMCInNxAH4AAAAAAAJzcQB+AAT///////////////7////+/////3VxAH4ABwAAAAQiCqwxeHh3TQIeAAIBAgICIwAGMjAxNzA4AgQCBQIGAgcCCAIJAgoCCwIMAg0CCAIIAggCCAIIAggCCAIIAggCCAIIAggCCAIIAggCCAIIAiECAwIkc3EAfgAAAAAAAnNxAH4ABP///////////////v////7/////dXEAfgAHAAAABDQ5VOh4eHdNAh4AAgECAgIlAAYyMDE3MDQCBAIFAgYCBwIIAgkCCgILAgwCDQIIAggCCAIIAggCCAIIAggCCAIIAggCCAIIAggCCAIIAggCIQIDAiZzcQB+AAAAAAACc3EAfgAE///////////////+/////v////91cQB+AAcAAAAEKeDlE3h4d00CHgACAQICAicABjIwMTcxMQIEAgUCBgIHAggCCQIKAgsCDAINAggCCAIIAggCCAIIAggCCAIIAggCCAIIAggCCAIIAggCCAIhAgMCKHNxAH4AAAAAAAJzcQB+AAT///////////////7////+/////3VxAH4ABwAAAAQcI3yQeHh3TQIeAAIBAgICKQAGMjAxODAyAgQCBQIGAgcCCAIJAgoCCwIMAg0CCAIIAggCCAIIAggCCAIIAggCCAIIAggCCAIIAggCCAIIAiECAwIqc3EAfgAAAAAAAnNxAH4ABP///////////////v////7/////dXEAfgAHAAAABClGhLZ4eHdNAh4AAgECAgIrAAYyMDE3MDkCBAIFAgYCBwIIAgkCCgILAgwCDQIIAggCCAIIAggCCAIIAggCCAIIAggCCAIIAggCCAIIAggCIQIDAixzcQB+AAAAAAACc3EAfgAE///////////////+/////v////91cQB+AAcAAAAEOUUu/nh4d00CHgACAQICAi0ABjIwMTcwMQIEAgUCBgIHAggCCQIKAgsCDAINAggCCAIIAggCCAIIAggCCAIIAggCCAIIAggCCAIIAggCCAIhAgMCLnNxAH4AAAAAAAJzcQB+AAT///////////////7////+/////3VxAH4ABwAAAAQdsfpMeHh3TQIeAAIBAgICLwAGMjAxNzA3AgQCBQIGAgcCCAIJAgoCCwIMAg0CCAIIAggCCAIIAggCCAIIAggCCAIIAggCCAIIAggCCAIIAiECAwIwc3EAfgAAAAAAAnNxAH4ABP///////////////v////7/////dXEAfgAHAAAABC6RhSt4eHdNAh4AAgECAgIxAAYyMDE3MDMCBAIFAgYCBwIIAgkCCgILAgwCDQIIAggCCAIIAggCCAIIAggCCAIIAggCCAIIAggCCAIIAggCIQIDAjJzcQB+AAAAAAACc3EAfgAE///////////////+/////v////91cQB+AAcAAAAEJngfcXh4d00CHgACAQICAjMABjIwMTcxMAIEAgUCBgIHAggCCQIKAgsCDAINAggCCAIIAggCCAIIAggCCAIIAggCCAIIAggCCAIIAggCCAIhAgMCNHNxAH4AAAAAAAJzcQB+AAT///////////////7////+/////3VxAH4ABwAAAARDRE3geHh3TQIeAAIBAgICNQAGMjAxNzEyAgQCBQIGAgcCCAIJAgoCCwIMAg0CCAIIAggCCAIIAggCCAIIAggCCAIIAggCCAIIAggCCAIIAiECAwI2c3EAfgAAAAAAAnNxAH4ABP///////////////v////7/////dXEAfgAHAAAABCQ0bfR4eHdcAh4AAjcACTMzMDU2NjMyMAICAiECBAIFAgYCBwIIAgkCOAAGMTkxMDI1AgsCOQACV0ECDQIIAggCCAIIAggCCAIIAggCCAIIAggCCAIIAggCCAIIAggCFAIDAjpzcQB+AAAAAAACc3EAfgAE///////////////+/////v////91cQB+AAcAAAADBPtoeHh3RQIeAAI3AgICJwIEAgUCBgIHAggCCQIKAgsCOQINAggCCAIIAggCCAIIAggCCAIIAggCCAIIAggCCAIIAggCCAIUAgMCO3NxAH4AAAAAAAJzcQB+AAT///////////////7////+/////3VxAH4ABwAAAAQw0KqzeHh3VQIeAAI3AgICPAAGMjAxNjA1AgQCBQIGAgcCCAIJAj0ABjE5MTAwMAILAjkCDQIIAggCCAIIAggCCAIIAggCCAIIAggCCAIIAggCCAIIAggCFAIDAj5zcQB+AAAAAAACc3EAfgAE///////////////+/////v////91cQB+AAcAAAAEBDaJ43h4d00CHgACNwICAj8ABjIwMTYxMAIEAgUCBgIHAggCCQIKAgsCOQINAggCCAIIAggCCAIIAggCCAIIAggCCAIIAggCCAIIAggCCAIUAgMCQHNxAH4AAAAAAAJzcQB+AAT///////////////7////+/////3VxAH4ABwAAAARijcsWeHh3TQIeAAI3AgICQQAGMjAxNjAzAgQCBQIGAgcCCAIJAgoCCwI5Ag0CCAIIAggCCAIIAggCCAIIAggCCAIIAggCCAIIAggCCAIIAhQCAwJCc3EAfgAAAAAAAnNxAH4ABP///////////////v////7/////dXEAfgAHAAAABD37VuJ4eHdNAh4AAjcCAgJDAAYyMDE2MTICBAIFAgYCBwIIAgkCPQILAjkCDQIIAggCCAIIAggCCAIIAggCCAIIAggCCAIIAggCCAIIAggCFAIDAkRzcQB+AAAAAAACc3EAfgAE///////////////+/////v////91cQB+AAcAAAAEO4uIvXh4d0UCHgACNwICAiUCBAIFAgYCBwIIAgkCCgILAjkCDQIIAggCCAIIAggCCAIIAggCCAIIAggCCAIIAggCCAIIAggCFAIDAkVzcQB+AAAAAAACc3EAfgAE///////////////+/////v////91cQB+AAcAAAAEWnDZd3h4d0UCHgACNwICAh8CBAIFAgYCBwIIAgkCPQILAjkCDQIIAggCCAIIAggCCAIIAggCCAIIAggCCAIIAggCCAIIAggCFAIDAkZzcQB+AAAAAAACc3EAfgAE///////////////+/////v////91cQB+AAcAAAAEA91NIHh4d00CHgACNwICAkcABjIwMTYwMgIEAgUCBgIHAggCCQI4AgsCOQINAggCCAIIAggCCAIIAggCCAIIAggCCAIIAggCCAIIAggCCAIUAgMCSHNxAH4AAAAAAAJzcQB+AAT///////////////7////+/////3VxAH4ABwAAAAMSFct4eHdFAh4AAjcCAgIDAgQCBQIGAgcCCAIJAj0CCwI5Ag0CCAIIAggCCAIIAggCCAIIAggCCAIIAggCCAIIAggCCAIIAhQCAwJJc3EAfgAAAAAAAnNxAH4ABP///////////////v////7/////dXEAfgAHAAAABAYhGIV4eHdNAh4AAjcCAgJKAAYyMDE2MDkCBAIFAgYCBwIIAgkCOAILAjkCDQIIAggCCAIIAggCCAIIAggCCAIIAggCCAIIAggCCAIIAggCFAIDAktzcQB+AAAAAAACc3EAfgAE///////////////+/////v////91cQB+AAcAAAADB43UeHh3TQIeAAI3AgICTAAGMjAxNjA0AgQCBQIGAgcCCAIJAj0CCwI5Ag0CCAIIAggCCAIIAggCCAIIAggCCAIIAggCCAIIAggCCAIIAhQCAwJNc3EAfgAAAAAAAnNxAH4ABP///////////////v////7/////dXEAfgAHAAAABATkMA94eHdFAh4AAjcCAgIxAgQCBQIGAgcCCAIJAgoCCwI5Ag0CCAIIAggCCAIIAggCCAIIAggCCAIIAggCCAIIAggCCAIIAhQCAwJOc3EAfgAAAAAAAnNxAH4ABP///////////////v////7/////dXEAfgAHAAAABFNjmyZ4eHdFAh4AAjcCAgIzAgQCBQIGAgcCCAIJAgoCCwI5Ag0CCAIIAggCCAIIAggCCAIIAggCCAIIAggCCAIIAggCCAIIAhQCAwJPc3EAfgAAAAAAAnNxAH4ABP///////////////v////7/////dXEAfgAHAAAABILciPF4eHdFAh4AAjcCAgIpAgQCBQIGAgcCCAIJAjgCCwI5Ag0CCAIIAggCCAIIAggCCAIIAggCCAIIAggCCAIIAggCCAIIAhQCAwJQc3EAfgAAAAAAAnNxAH4ABP///////////////v////4AAAAAdXEAfgAHAAAAAHh4d0UCHgACNwICAi0CBAIFAgYCBwIIAgkCOAILAjkCDQIIAggCCAIIAggCCAIIAggCCAIIAggCCAIIAggCCAIIAggCFAIDAlFzcQB+AAAAAAACc3EAfgAE///////////////+/////v////91cQB+AAcAAAADBWT/eHh3RQIeAAI3AgICRwIEAgUCBgIHAggCCQIKAgsCOQINAggCCAIIAggCCAIIAggCCAIIAggCCAIIAggCCAIIAggCCAIUAgMCUnNxAH4AAAAAAAJzcQB+AAT///////////////7////+/////3VxAH4ABwAAAAQ3OPVPeHh3TQIeAAI3AgICUwAGMjAxNjExAgQCBQIGAgcCCAIJAj0CCwI5Ag0CCAIIAggCCAIIAggCCAIIAggCCAIIAggCCAIIAggCCAIIAhQCAwJUc3EAfgAAAAAAAnNxAH4ABP///////////////v////7/////dXEAfgAHAAAABExDDhV4eHdFAh4AAjcCAgI1AgQCBQIGAgcCCAIJAj0CCwI5Ag0CCAIIAggCCAIIAggCCAIIAggCCAIIAggCCAIIAggCCAIIAhQCAwJVc3EAfgAAAAAAAnNxAH4ABP///////////////v////7/////dXEAfgAHAAAABDRJviN4eHdFAh4AAjcCAgJBAgQCBQIGAgcCCAIJAj0CCwI5Ag0CCAIIAggCCAIIAggCCAIIAggCCAIIAggCCAIIAggCCAIIAhQCAwJWc3EAfgAAAAAAAnNxAH4ABP///////////////v////7/////dXEAfgAHAAAABAXojm54eHfPAh4AAjcCAgInAgQCBQIGAgcCCAIJAjgCCwI5Ag0CCAIIAggCCAIIAggCCAIIAggCCAIIAggCCAIIAggCCAIIAhQCAwJQAh4AAjcCAgIdAgQCBQIGAgcCCAIJAjgCCwI5Ag0CCAIIAggCCAIIAggCCAIIAggCCAIIAggCCAIIAggCCAIIAhQCAwJQAh4AAjcCAgIDAgQCBQIGAgcCCAIJAjgCCwI5Ag0CCAIIAggCCAIIAggCCAIIAggCCAIIAggCCAIIAggCCAIIAhQCAwJXc3EAfgAAAAAAAnNxAH4ABP///////////////v////7/////dXEAfgAHAAAAAwRWK3h4d0UCHgACNwICAh8CBAIFAgYCBwIIAgkCCgILAjkCDQIIAggCCAIIAggCCAIIAggCCAIIAggCCAIIAggCCAIIAggCFAIDAlhzcQB+AAAAAAACc3EAfgAE///////////////+/////v////91cQB+AAcAAAAEWAsHLHh4d0UCHgACNwICAkwCBAIFAgYCBwIIAgkCOAILAjkCDQIIAggCCAIIAggCCAIIAggCCAIIAggCCAIIAggCCAIIAggCFAIDAllzcQB+AAAAAAACc3EAfgAE///////////////+/////v////91cQB+AAcAAAADDMb+eHh3RQIeAAI3AgICJQIEAgUCBgIHAggCCQI9AgsCOQINAggCCAIIAggCCAIIAggCCAIIAggCCAIIAggCCAIIAggCCAIUAgMCWnNxAH4AAAAAAAJzcQB+AAT///////////////7////+/////3VxAH4ABwAAAAQJ8GpGeHh3RQIeAAI3AgICUwIEAgUCBgIHAggCCQIKAgsCOQINAggCCAIIAggCCAIIAggCCAIIAggCCAIIAggCCAIIAggCCAIUAgMCW3NxAH4AAAAAAAJzcQB+AAT///////////////7////+/////3VxAH4ABwAAAAQSVBWqeHh3RQIeAAI3AgICNQIEAgUCBgIHAggCCQIKAgsCOQINAggCCAIIAggCCAIIAggCCAIIAggCCAIIAggCCAIIAggCCAIUAgMCXHNxAH4AAAAAAAJzcQB+AAT///////////////7////+/////3VxAH4ABwAAAARCNLx8eHh3RQIeAAI3AgICMQIEAgUCBgIHAggCCQI4AgsCOQINAggCCAIIAggCCAIIAggCCAIIAggCCAIIAggCCAIIAggCCAIUAgMCXXNxAH4AAAAAAAJzcQB+AAT///////////////7////+/////3VxAH4ABwAAAAMEq5d4eHdFAh4AAjcCAgItAgQCBQIGAgcCCAIJAgoCCwI5Ag0CCAIIAggCCAIIAggCCAIIAggCCAIIAggCCAIIAggCCAIIAhQCAwJec3EAfgAAAAAAAnNxAH4ABP///////////////v////7/////dXEAfgAHAAAABD0VO3Z4eHdFAh4AAjcCAgIjAgQCBQIGAgcCCAIJAjgCCwI5Ag0CCAIIAggCCAIIAggCCAIIAggCCAIIAggCCAIIAggCCAIIAhQCAwJfc3EAfgAAAAAAAnNxAH4ABP///////////////v////7/////dXEAfgAHAAAAAwQlCXh4d0UCHgACNwICAjwCBAIFAgYCBwIIAgkCCgILAjkCDQIIAggCCAIIAggCCAIIAggCCAIIAggCCAIIAggCCAIIAggCFAIDAmBzcQB+AAAAAAACc3EAfgAE///////////////+/////v////91cQB+AAcAAAAETCsLgHh4d00CHgACNwICAmEABjIwMTYwNgIEAgUCBgIHAggCCQI9AgsCOQINAggCCAIIAggCCAIIAggCCAIIAggCCAIIAggCCAIIAggCCAIUAgMCYnNxAH4AAAAAAAJzcQB+AAT///////////////7////+/////3VxAH4ABwAAAAQDq4uteHh3TQIeAAI3AgICYwAGMjAxNjA3AgQCBQIGAgcCCAIJAjgCCwI5Ag0CCAIIAggCCAIIAggCCAIIAggCCAIIAggCCAIIAggCCAIIAhQCAwJkc3EAfgAAAAAAAnNxAH4ABP///////////////v////7/////dXEAfgAHAAAAAwmef3h4d0UCHgACNwICAi8CBAIFAgYCBwIIAgkCPQILAjkCDQIIAggCCAIIAggCCAIIAggCCAIIAggCCAIIAggCCAIIAggCFAIDAmVzcQB+AAAAAAACc3EAfgAE///////////////+/////v////91cQB+AAcAAAAEAgr29Hh4d0UCHgACNwICAjMCBAIFAgYCBwIIAgkCPQILAjkCDQIIAggCCAIIAggCCAIIAggCCAIIAggCCAIIAggCCAIIAggCFAIDAmZzcQB+AAAAAAACc3EAfgAE///////////////+/////gAAAAF1cQB+AAcAAAAECQ0V/Xh4d0UCHgACNwICAj8CBAIFAgYCBwIIAgkCOAILAjkCDQIIAggCCAIIAggCCAIIAggCCAIIAggCCAIIAggCCAIIAggCFAIDAmdzcQB+AAAAAAACc3EAfgAE///////////////+/////v////91cQB+AAcAAAADBT+veHh3RQIeAAI3AgICKQIEAgUCBgIHAggCCQIKAgsCOQINAggCCAIIAggCCAIIAggCCAIIAggCCAIIAggCCAIIAggCCAIUAgMCaHNxAH4AAAAAAAJzcQB+AAT///////////////7////+/////3VxAH4ABwAAAARPKnH5eHh3RQIeAAI3AgICKwIEAgUCBgIHAggCCQIKAgsCOQINAggCCAIIAggCCAIIAggCCAIIAggCCAIIAggCCAIIAggCCAIUAgMCaXNxAH4AAAAAAAJzcQB+AAT///////////////7////+/////3VxAH4ABwAAAARxBllJeHh3TQIeAAI3AgICagAGMjAxNjA4AgQCBQIGAgcCCAIJAgoCCwI5Ag0CCAIIAggCCAIIAggCCAIIAggCCAIIAggCCAIIAggCCAIIAhQCAwJrc3EAfgAAAAAAAnNxAH4ABP///////////////v////7/////dXEAfgAHAAAABF1XUMl4eHdFAh4AAjcCAgIvAgQCBQIGAgcCCAIJAjgCCwI5Ag0CCAIIAggCCAIIAggCCAIIAggCCAIIAggCCAIIAggCCAIIAhQCAwJsc3EAfgAAAAAAAnNxAH4ABP///////////////v////7/////dXEAfgAHAAAAAwQ0OHh4d0UCHgACNwICAkoCBAIFAgYCBwIIAgkCPQILAjkCDQIIAggCCAIIAggCCAIIAggCCAIIAggCCAIIAggCCAIIAggCFAIDAm1zcQB+AAAAAAACc3EAfgAE///////////////+/////v////91cQB+AAcAAAAEAhunbnh4d0UCHgACNwICAiECBAIFAgYCBwIIAgkCPQILAjkCDQIIAggCCAIIAggCCAIIAggCCAIIAggCCAIIAggCCAIIAggCFAIDAm5zcQB+AAAAAAACc3EAfgAE///////////////+/////v////91cQB+AAcAAAAEG0cx03h4d0UCHgACNwICAmECBAIFAgYCBwIIAgkCOAILAjkCDQIIAggCCAIIAggCCAIIAggCCAIIAggCCAIIAggCCAIIAggCFAIDAm9zcQB+AAAAAAACc3EAfgAE///////////////+/////v////91cQB+AAcAAAADCoBUeHh3RQIeAAI3AgICUwIEAgUCBgIHAggCCQI4AgsCOQINAggCCAIIAggCCAIIAggCCAIIAggCCAIIAggCCAIIAggCCAIUAgMCcHNxAH4AAAAAAAJzcQB+AAT///////////////7////+/////3VxAH4ABwAAAAMGaCt4eHdFAh4AAjcCAgIdAgQCBQIGAgcCCAIJAgoCCwI5Ag0CCAIIAggCCAIIAggCCAIIAggCCAIIAggCCAIIAggCCAIIAhQCAwJxc3EAfgAAAAAAAnNxAH4ABP///////////////v////7/////dXEAfgAHAAAABE7u6Np4eHeKAh4AAjcCAgI1AgQCBQIGAgcCCAIJAjgCCwI5Ag0CCAIIAggCCAIIAggCCAIIAggCCAIIAggCCAIIAggCCAIIAhQCAwJQAh4AAjcCAgIjAgQCBQIGAgcCCAIJAgoCCwI5Ag0CCAIIAggCCAIIAggCCAIIAggCCAIIAggCCAIIAggCCAIIAhQCAwJyc3EAfgAAAAAAAnNxAH4ABP///////////////v////7/////dXEAfgAHAAAABGUxQat4eHdFAh4AAjcCAgJjAgQCBQIGAgcCCAIJAgoCCwI5Ag0CCAIIAggCCAIIAggCCAIIAggCCAIIAggCCAIIAggCCAIIAhQCAwJzc3EAfgAAAAAAAnNxAH4ABP///////////////v////7/////dXEAfgAHAAAABFovta14eHdFAh4AAjcCAgIpAgQCBQIGAgcCCAIJAj0CCwI5Ag0CCAIIAggCCAIIAggCCAIIAggCCAIIAggCCAIIAggCCAIIAhQCAwJ0c3EAfgAAAAAAAnNxAH4ABP///////////////v////7/////dXEAfgAHAAAABBli52V4eHdFAh4AAjcCAgIfAgQCBQIGAgcCCAIJAjgCCwI5Ag0CCAIIAggCCAIIAggCCAIIAggCCAIIAggCCAIIAggCCAIIAhQCAwJ1c3EAfgAAAAAAAnNxAH4ABP///////////////v////7/////dXEAfgAHAAAAAwRDenh4d0UCHgACNwICAisCBAIFAgYCBwIIAgkCPQILAjkCDQIIAggCCAIIAggCCAIIAggCCAIIAggCCAIIAggCCAIIAggCFAIDAnZzcQB+AAAAAAACc3EAfgAE///////////////+/////gAAAAF1cQB+AAcAAAAEAo6woHh4d0UCHgACNwICAi0CBAIFAgYCBwIIAgkCPQILAjkCDQIIAggCCAIIAggCCAIIAggCCAIIAggCCAIIAggCCAIIAggCFAIDAndzcQB+AAAAAAACc3EAfgAE///////////////+/////v////91cQB+AAcAAAAEKOmGtnh4d0UCHgACNwICAjwCBAIFAgYCBwIIAgkCOAILAjkCDQIIAggCCAIIAggCCAIIAggCCAIIAggCCAIIAggCCAIIAggCFAIDAnhzcQB+AAAAAAACc3EAfgAE///////////////+/////v////91cQB+AAcAAAADC4KteHh3RQIeAAI3AgICLwIEAgUCBgIHAggCCQIKAgsCOQINAggCCAIIAggCCAIIAggCCAIIAggCCAIIAggCCAIIAggCCAIUAgMCeXNxAH4AAAAAAAJzcQB+AAT///////////////7////+/////3VxAH4ABwAAAARe1GL4eHh3RQIeAAI3AgICagIEAgUCBgIHAggCCQI9AgsCOQINAggCCAIIAggCCAIIAggCCAIIAggCCAIIAggCCAIIAggCCAIUAgMCenNxAH4AAAAAAAJzcQB+AAT///////////////7////+/////3VxAH4ABwAAAAQCvT+keHh3RQIeAAI3AgICQwIEAgUCBgIHAggCCQI4AgsCOQINAggCCAIIAggCCAIIAggCCAIIAggCCAIIAggCCAIIAggCCAIUAgMCe3NxAH4AAAAAAAJzcQB+AAT///////////////7////+/////3VxAH4ABwAAAAMG3JN4eHdFAh4AAjcCAgIrAgQCBQIGAgcCCAIJAjgCCwI5Ag0CCAIIAggCCAIIAggCCAIIAggCCAIIAggCCAIIAggCCAIIAhQCAwJ8c3EAfgAAAAAAAnNxAH4ABP///////////////v////7/////dXEAfgAHAAAAAwQOrnh4d0UCHgACNwICAiECBAIFAgYCBwIIAgkCCgILAjkCDQIIAggCCAIIAggCCAIIAggCCAIIAggCCAIIAggCCAIIAggCFAIDAn1zcQB+AAAAAAACc3EAfgAE///////////////+/////v////91cQB+AAcAAAAESYtTyXh4d0UCHgACNwICAiUCBAIFAgYCBwIIAgkCOAILAjkCDQIIAggCCAIIAggCCAIIAggCCAIIAggCCAIIAggCCAIIAggCFAIDAn5zcQB+AAAAAAACc3EAfgAE///////////////+/////v////91cQB+AAcAAAADBHSNeHh3RQIeAAI3AgICQwIEAgUCBgIHAggCCQIKAgsCOQINAggCCAIIAggCCAIIAggCCAIIAggCCAIIAggCCAIIAggCCAIUAgMCf3NxAH4AAAAAAAJzcQB+AAT///////////////7////+/////3VxAH4ABwAAAAQoo9pZeHh3RQIeAAI3AgICYQIEAgUCBgIHAggCCQIKAgsCOQINAggCCAIIAggCCAIIAggCCAIIAggCCAIIAggCCAIIAggCCAIUAgMCgHNxAH4AAAAAAAJzcQB+AAT///////////////7////+/////3VxAH4ABwAAAARUiEubeHh3RQIeAAI3AgICMwIEAgUCBgIHAggCCQI4AgsCOQINAggCCAIIAggCCAIIAggCCAIIAggCCAIIAggCCAIIAggCCAIUAgMCgXNxAH4AAAAAAAJzcQB+AAT///////////////7////+/////3VxAH4ABwAAAAMD3Kt4eHdFAh4AAjcCAgIdAgQCBQIGAgcCCAIJAj0CCwI5Ag0CCAIIAggCCAIIAggCCAIIAggCCAIIAggCCAIIAggCCAIIAhQCAwKCc3EAfgAAAAAAAnNxAH4ABP///////////////v////7/////dXEAfgAHAAAABCZxo1d4eHdFAh4AAjcCAgI/AgQCBQIGAgcCCAIJAj0CCwI5Ag0CCAIIAggCCAIIAggCCAIIAggCCAIIAggCCAIIAggCCAIIAhQCAwKDc3EAfgAAAAAAAnNxAH4ABP///////////////v////7/////dXEAfgAHAAAAA7xcsnh4d0UCHgACNwICAmMCBAIFAgYCBwIIAgkCPQILAjkCDQIIAggCCAIIAggCCAIIAggCCAIIAggCCAIIAggCCAIIAggCFAIDAoRzcQB+AAAAAAACc3EAfgAE///////////////+/////v////91cQB+AAcAAAAEAzaSmXh4d0UCHgACNwICAiMCBAIFAgYCBwIIAgkCPQILAjkCDQIIAggCCAIIAggCCAIIAggCCAIIAggCCAIIAggCCAIIAggCFAIDAoVzcQB+AAAAAAACc3EAfgAE///////////////+/////v////91cQB+AAcAAAADMpTWeHh3RQIeAAI3AgICagIEAgUCBgIHAggCCQI4AgsCOQINAggCCAIIAggCCAIIAggCCAIIAggCCAIIAggCCAIIAggCCAIUAgMChnNxAH4AAAAAAAJzcQB+AAT///////////////7////+/////3VxAH4ABwAAAAMItpx4eHdFAh4AAjcCAgInAgQCBQIGAgcCCAIJAj0CCwI5Ag0CCAIIAggCCAIIAggCCAIIAggCCAIIAggCCAIIAggCCAIIAhQCAwKHc3EAfgAAAAAAAnNxAH4ABP///////////////v////7/////dXEAfgAHAAAABES6V7x4eHdFAh4AAjcCAgJHAgQCBQIGAgcCCAIJAj0CCwI5Ag0CCAIIAggCCAIIAggCCAIIAggCCAIIAggCCAIIAggCCAIIAhQCAwKIc3EAfgAAAAAAAnNxAH4ABP///////////////v////7/////dXEAfgAHAAAABAgl/7F4eHdFAh4AAjcCAgJKAgQCBQIGAgcCCAIJAgoCCwI5Ag0CCAIIAggCCAIIAggCCAIIAggCCAIIAggCCAIIAggCCAIIAhQCAwKJc3EAfgAAAAAAAnNxAH4ABP///////////////v////7/////dXEAfgAHAAAABGExCBR4eHdFAh4AAjcCAgJMAgQCBQIGAgcCCAIJAgoCCwI5Ag0CCAIIAggCCAIIAggCCAIIAggCCAIIAggCCAIIAggCCAIIAhQCAwKKc3EAfgAAAAAAAnNxAH4ABP///////////////v////7/////dXEAfgAHAAAABEhweK94eHdFAh4AAjcCAgIDAgQCBQIGAgcCCAIJAgoCCwI5Ag0CCAIIAggCCAIIAggCCAIIAggCCAIIAggCCAIIAggCCAIIAhQCAwKLc3EAfgAAAAAAAnNxAH4ABP///////////////v////7/////dXEAfgAHAAAABFn95fJ4eHdFAh4AAjcCAgJBAgQCBQIGAgcCCAIJAjgCCwI5Ag0CCAIIAggCCAIIAggCCAIIAggCCAIIAggCCAIIAggCCAIIAhQCAwKMc3EAfgAAAAAAAnNxAH4ABP///////////////v////7/////dXEAfgAHAAAAAw6D3Xh4d0UCHgACNwICAjECBAIFAgYCBwIIAgkCPQILAjkCDQIIAggCCAIIAggCCAIIAggCCAIIAggCCAIIAggCCAIIAggCFAIDAo1zcQB+AAAAAAACc3EAfgAE///////////////+/////v////91cQB+AAcAAAAEEP3yI3h4d1gCHgACjgAJNDIxMjE5ODU2AgICjwAGMjAxMzEyAgQCBQIGAgcCCAIJAjgCCwI5Ag0CCAIIAggCCAIIAggCCAIIAggCCAIIAggCCAIIAggCCAIIAh4CAwKQc3EAfgAAAAAAAnNxAH4ABP///////////////v////7/////dXEAfgAHAAAAAxTl5Hh4egAABAACHgACkQAJMzMwNTYxNjgwAgICYwIEAgUCBgIHAggCCQIKAgsCOQINAggCCAIIAggCCAIIAggCCAIIAggCCAIIAggCCAIIAggCCAIBAgMCcwIeAAKRAgICUwIEAgUCBgIHAggCCQI4AgsCOQINAggCCAIIAggCCAIIAggCCAIIAggCCAIIAggCCAIIAggCCAIBAgMCcAIeAAKRAgICAwIEAgUCBgIHAggCCQI4AgsCOQINAggCCAIIAggCCAIIAggCCAIIAggCCAIIAggCCAIIAggCCAIBAgMCVwIeAAKRAgICKQIEAgUCBgIHAggCCQI9AgsCOQINAggCCAIIAggCCAIIAggCCAIIAggCCAIIAggCCAIIAggCCAIBAgMCdAIeAAKRAgICHQIEAgUCBgIHAggCCQI9AgsCOQINAggCCAIIAggCCAIIAggCCAIIAggCCAIIAggCCAIIAggCCAIBAgMCggIeAAKRAgICNQIEAgUCBgIHAggCCQI4AgsCOQINAggCCAIIAggCCAIIAggCCAIIAggCCAIIAggCCAIIAggCCAIBAgMCUAIeAAKRAgICKwIEAgUCBgIHAggCCQI9AgsCOQINAggCCAIIAggCCAIIAggCCAIIAggCCAIIAggCCAIIAggCCAIBAgMCdgIeAAKRAgICLQIEAgUCBgIHAggCCQI9AgsCOQINAggCCAIIAggCCAIIAggCCAIIAggCCAIIAggCCAIIAggCCAIBAgMCdwIeAAKRAgICPAIEAgUCBgIHAggCCQI4AgsCOQINAggCCAIIAggCCAIIAggCCAIIAggCCAIIAggCCAIIAggCCAIBAgMCeAIeAAKRAgICLwIEAgUCBgIHAggCCQIKAgsCOQINAggCCAIIAggCCAIIAggCCAIIAggCCAIIAggCCAIIAggCCAIBAgMCeQIeAAKRAgICagIEAgUCBgIHAggCCQI9AgsCOQINAggCCAIIAggCCAIIAggCCAIIAggCCAIIAggCCAIIAggCCAIBAgMCegIeAAKRAgICPwIEAgUCBgIHAggCCQI4AgsCOQINAggCCAIIAggCCAIIAggCCAIIAggCCAIIAggCCAIIAggCCAIBAgMCZwIeAAKRAgICYQIEAgUCBgIHAggCCQIKAgsCOQINAggCCAIIAggCCAIIAggCCAIIAggCCAIIAggCCAIIAggCCAIBAgMCgAIeAAKRAgICJQIEAgUCBgIHAggCCQI4AgsCOQINAggCCAIIAggCCAIIAggCCAIIAggCCAIIAggCCAIIAggCCAIBAgMCfgIeAAKRAgICQwIEAgUCBgIHAggCCQIKAgsCOQINAggCCAIIAggCCAIIAggCCAIIegAABAACCAIIAggCCAIIAggCCAIIAgECAwJ/Ah4AApECAgInAgQCBQIGAgcCCAIJAjgCCwI5Ag0CCAIIAggCCAIIAggCCAIIAggCCAIIAggCCAIIAggCCAIIAgECAwJQAh4AApECAgI8AgQCBQIGAgcCCAIJAgoCCwI5Ag0CCAIIAggCCAIIAggCCAIIAggCCAIIAggCCAIIAggCCAIIAgECAwJgAh4AApECAgJMAgQCBQIGAgcCCAIJAjgCCwI5Ag0CCAIIAggCCAIIAggCCAIIAggCCAIIAggCCAIIAggCCAIIAgECAwJZAh4AApECAgIjAgQCBQIGAgcCCAIJAj0CCwI5Ag0CCAIIAggCCAIIAggCCAIIAggCCAIIAggCCAIIAggCCAIIAgECAwKFAh4AApECAgIfAgQCBQIGAgcCCAIJAgoCCwI5Ag0CCAIIAggCCAIIAggCCAIIAggCCAIIAggCCAIIAggCCAIIAgECAwJYAh4AApECAgJjAgQCBQIGAgcCCAIJAj0CCwI5Ag0CCAIIAggCCAIIAggCCAIIAggCCAIIAggCCAIIAggCCAIIAgECAwKEAh4AApECAgItAgQCBQIGAgcCCAIJAgoCCwI5Ag0CCAIIAggCCAIIAggCCAIIAggCCAIIAggCCAIIAggCCAIIAgECAwJeAh4AApECAgJTAgQCBQIGAgcCCAIJAgoCCwI5Ag0CCAIIAggCCAIIAggCCAIIAggCCAIIAggCCAIIAggCCAIIAgECAwJbAh4AApECAgI1AgQCBQIGAgcCCAIJAgoCCwI5Ag0CCAIIAggCCAIIAggCCAIIAggCCAIIAggCCAIIAggCCAIIAgECAwJcAh4AApECAgKSAAYyMDE4MDQCBAIFAgYCBwIIAgkCOAILAjkCDQIIAggCCAIIAggCCAIIAggCCAIIAggCCAIIAggCCAIIAggCAQIDAlACHgACkQICAmMCBAIFAgYCBwIIAgkCOAILAjkCDQIIAggCCAIIAggCCAIIAggCCAIIAggCCAIIAggCCAIIAggCAQIDAmQCHgACkQICAkcCBAIFAgYCBwIIAgkCOAILAjkCDQIIAggCCAIIAggCCAIIAggCCAIIAggCCAIIAggCCAIIAggCAQIDAkgCHgACkQICAikCBAIFAgYCBwIIAgkCCgILAjkCDQIIAggCCAIIAggCCAIIAggCCAIIAggCCAIIAggCCAIIAggCAQIDAmgCHgACkQICAiMCBAIFAgYCBwIIAgkCOAILAjkCDQIIAggCCAIIAggCCAIIAggCCAIIAggCCAIIAggCCAIIAggCAQIDAl8CHgACkQICAjECBAIFAgYCBwIIAgkCOAILAjkCegAAAccNAggCCAIIAggCCAIIAggCCAIIAggCCAIIAggCCAIIAggCCAIBAgMCXQIeAAKRAgICMwIEAgUCBgIHAggCCQI9AgsCOQINAggCCAIIAggCCAIIAggCCAIIAggCCAIIAggCCAIIAggCCAIBAgMCZgIeAAKRAgICLwIEAgUCBgIHAggCCQI9AgsCOQINAggCCAIIAggCCAIIAggCCAIIAggCCAIIAggCCAIIAggCCAIBAgMCZQIeAAKRAgICYQIEAgUCBgIHAggCCQI9AgsCOQINAggCCAIIAggCCAIIAggCCAIIAggCCAIIAggCCAIIAggCCAIBAgMCYgIeAAKRAgICKwIEAgUCBgIHAggCCQIKAgsCOQINAggCCAIIAggCCAIIAggCCAIIAggCCAIIAggCCAIIAggCCAIBAgMCaQIeAAKRAgICagIEAgUCBgIHAggCCQIKAgsCOQINAggCCAIIAggCCAIIAggCCAIIAggCCAIIAggCCAIIAggCCAIBAgMCawIeAAKRAgICGwIEAgUCBgIHAggCCQI9AgsCOQINAggCCAIIAggCCAIIAggCCAIIAggCCAIIAggCCAIIAggCCAIBAgMCk3NxAH4AAAAAAAJzcQB+AAT///////////////7////+/////3VxAH4ABwAAAAQOU8mMeHh6AAACbQIeAAKRAgICHwIEAgUCBgIHAggCCQI4AgsCOQINAggCCAIIAggCCAIIAggCCAIIAggCCAIIAggCCAIIAggCCAIBAgMCdQIeAAKRAgICQQIEAgUCBgIHAggCCQIKAgsCOQINAggCCAIIAggCCAIIAggCCAIIAggCCAIIAggCCAIIAggCCAIBAgMCQgIeAAKRAgICIQIEAgUCBgIHAggCCQI9AgsCOQINAggCCAIIAggCCAIIAggCCAIIAggCCAIIAggCCAIIAggCCAIBAgMCbgIeAAKRAgICQwIEAgUCBgIHAggCCQI9AgsCOQINAggCCAIIAggCCAIIAggCCAIIAggCCAIIAggCCAIIAggCCAIBAgMCRAIeAAKRAgICSgIEAgUCBgIHAggCCQI9AgsCOQINAggCCAIIAggCCAIIAggCCAIIAggCCAIIAggCCAIIAggCCAIBAgMCbQIeAAKRAgICJQIEAgUCBgIHAggCCQIKAgsCOQINAggCCAIIAggCCAIIAggCCAIIAggCCAIIAggCCAIIAggCCAIBAgMCRQIeAAKRAgICKQIEAgUCBgIHAggCCQI4AgsCOQINAggCCAIIAggCCAIIAggCCAIIAggCCAIIAggCCAIIAggCCAIBAgMCUAIeAAKRAgICAwIEAgUCBgIHAggCCQI9AgsCOQINAggCCAIIAggCCAIIAggCCAIIAggCCAIIAggCCAIIAggCCAIBAgMCSQIeAAKRAgICkgIEAgUCBgIHAggCCQIKAgsCOQINAggCCAIIAggCCAIIAggCCAIIAggCCAIIAggCCAIIAggCCAIBAgMClHNxAH4AAAAAAAJzcQB+AAT///////////////7////+/////3VxAH4ABwAAAARaqchfeHh6AAACbQIeAAKRAgICSgIEAgUCBgIHAggCCQI4AgsCOQINAggCCAIIAggCCAIIAggCCAIIAggCCAIIAggCCAIIAggCCAIBAgMCSwIeAAKRAgICRwIEAgUCBgIHAggCCQIKAgsCOQINAggCCAIIAggCCAIIAggCCAIIAggCCAIIAggCCAIIAggCCAIBAgMCUgIeAAKRAgICLQIEAgUCBgIHAggCCQI4AgsCOQINAggCCAIIAggCCAIIAggCCAIIAggCCAIIAggCCAIIAggCCAIBAgMCUQIeAAKRAgICNQIEAgUCBgIHAggCCQI9AgsCOQINAggCCAIIAggCCAIIAggCCAIIAggCCAIIAggCCAIIAggCCAIBAgMCVQIeAAKRAgICMQIEAgUCBgIHAggCCQIKAgsCOQINAggCCAIIAggCCAIIAggCCAIIAggCCAIIAggCCAIIAggCCAIBAgMCTgIeAAKRAgICMwIEAgUCBgIHAggCCQIKAgsCOQINAggCCAIIAggCCAIIAggCCAIIAggCCAIIAggCCAIIAggCCAIBAgMCTwIeAAKRAgICUwIEAgUCBgIHAggCCQI9AgsCOQINAggCCAIIAggCCAIIAggCCAIIAggCCAIIAggCCAIIAggCCAIBAgMCVAIeAAKRAgICTAIEAgUCBgIHAggCCQI9AgsCOQINAggCCAIIAggCCAIIAggCCAIIAggCCAIIAggCCAIIAggCCAIBAgMCTQIeAAKRAgICGwIEAgUCBgIHAggCCQIKAgsCOQINAggCCAIIAggCCAIIAggCCAIIAggCCAIIAggCCAIIAggCCAIBAgMClXNxAH4AAAAAAAJzcQB+AAT///////////////7////+/////3VxAH4ABwAAAARSfqMaeHh6AAADPAIeAAKRAgICJQIEAgUCBgIHAggCCQI9AgsCOQINAggCCAIIAggCCAIIAggCCAIIAggCCAIIAggCCAIIAggCCAIBAgMCWgIeAAKRAgICagIEAgUCBgIHAggCCQI4AgsCOQINAggCCAIIAggCCAIIAggCCAIIAggCCAIIAggCCAIIAggCCAIBAgMChgIeAAKRAgICKwIEAgUCBgIHAggCCQI4AgsCOQINAggCCAIIAggCCAIIAggCCAIIAggCCAIIAggCCAIIAggCCAIBAgMCfAIeAAKRAgICPwIEAgUCBgIHAggCCQI9AgsCOQINAggCCAIIAggCCAIIAggCCAIIAggCCAIIAggCCAIIAggCCAIBAgMCgwIeAAKRAgICJwIEAgUCBgIHAggCCQI9AgsCOQINAggCCAIIAggCCAIIAggCCAIIAggCCAIIAggCCAIIAggCCAIBAgMChwIeAAKRAgICHQIEAgUCBgIHAggCCQI4AgsCOQINAggCCAIIAggCCAIIAggCCAIIAggCCAIIAggCCAIIAggCCAIBAgMCUAIeAAKRAgICIQIEAgUCBgIHAggCCQIKAgsCOQINAggCCAIIAggCCAIIAggCCAIIAggCCAIIAggCCAIIAggCCAIBAgMCfQIeAAKRAgICQQIEAgUCBgIHAggCCQI9AgsCOQINAggCCAIIAggCCAIIAggCCAIIAggCCAIIAggCCAIIAggCCAIBAgMCVgIeAAKRAgICSgIEAgUCBgIHAggCCQIKAgsCOQINAggCCAIIAggCCAIIAggCCAIIAggCCAIIAggCCAIIAggCCAIBAgMCiQIeAAKRAgICMQIEAgUCBgIHAggCCQI9AgsCOQINAggCCAIIAggCCAIIAggCCAIIAggCCAIIAggCCAIIAggCCAIBAgMCjQIeAAKRAgICMwIEAgUCBgIHAggCCQI4AgsCOQINAggCCAIIAggCCAIIAggCCAIIAggCCAIIAggCCAIIAggCCAIBAgMCgQIeAAKRAgICkgIEAgUCBgIHAggCCQI9AgsCOQINAggCCAIIAggCCAIIAggCCAIIAggCCAIIAggCCAIIAggCCAIBAgMClnNxAH4AAAAAAAJzcQB+AAT///////////////7////+/////3VxAH4ABwAAAAQHGT+ZeHh6AAAEAAIeAAKRAgICAwIEAgUCBgIHAggCCQIKAgsCOQINAggCCAIIAggCCAIIAggCCAIIAggCCAIIAggCCAIIAggCCAIBAgMCiwIeAAKRAgICTAIEAgUCBgIHAggCCQIKAgsCOQINAggCCAIIAggCCAIIAggCCAIIAggCCAIIAggCCAIIAggCCAIBAgMCigIeAAKRAgICQQIEAgUCBgIHAggCCQI4AgsCOQINAggCCAIIAggCCAIIAggCCAIIAggCCAIIAggCCAIIAggCCAIBAgMCjAIeAAKRAgICRwIEAgUCBgIHAggCCQI9AgsCOQINAggCCAIIAggCCAIIAggCCAIIAggCCAIIAggCCAIIAggCCAIBAgMCiAIeAAKRAgICGwIEAgUCBgIHAggCCQI4AgsCOQINAggCCAIIAggCCAIIAggCCAIIAggCCAIIAggCCAIIAggCCAIBAgMCUAIeAAKRAgICIQIEAgUCBgIHAggCCQI4AgsCOQINAggCCAIIAggCCAIIAggCCAIIAggCCAIIAggCCAIIAggCCAIBAgMCOgIeAAKRAgICPwIEAgUCBgIHAggCCQIKAgsCOQINAggCCAIIAggCCAIIAggCCAIIAggCCAIIAggCCAIIAggCCAIBAgMCQAIeAAKRAgICJwIEAgUCBgIHAggCCQIKAgsCOQINAggCCAIIAggCCAIIAggCCAIIAggCCAIIAggCCAIIAggCCAIBAgMCOwIeAAKRAgICHwIEAgUCBgIHAggCCQI9AgsCOQINAggCCAIIAggCCAIIAggCCAIIAggCCAIIAggCCAIIAggCCAIBAgMCRgIeAAKRAgICHQIEAgUCBgIHAggCCQIKAgsCOQINAggCCAIIAggCCAIIAggCCAIIAggCCAIIAggCCAIIAggCCAIBAgMCcQIeAAKRAgICQwIEAgUCBgIHAggCCQI4AgsCOQINAggCCAIIAggCCAIIAggCCAIIAggCCAIIAggCCAIIAggCCAIBAgMCewIeAAKRAgICLwIEAgUCBgIHAggCCQI4AgsCOQINAggCCAIIAggCCAIIAggCCAIIAggCCAIIAggCCAIIAggCCAIBAgMCbAIeAAKRAgICYQIEAgUCBgIHAggCCQI4AgsCOQINAggCCAIIAggCCAIIAggCCAIIAggCCAIIAggCCAIIAggCCAIBAgMCbwIeAAKRAgICIwIEAgUCBgIHAggCCQIKAgsCOQINAggCCAIIAggCCAIIAggCCAIIAggCCAIIAggCCAIIAggCCAIBAgMCcgIeAAKRAgICPAIEAgUCBgIHAggCCQI9AgsCOQINAggCCAIIAggCCAIIAggCCAIIAggCCAIIAggCCAJ3WwgCCAIIAgECAwI+Ah4AApcACTMxNjc4NjQ0MAICAiMCBAIFAgYCBwIIAgkCPQILAgwCDQIIAggCCAIIAggCCAIIAggCCAIIAggCCAIIAggCCAIIAggCIgIDAphzcQB+AAAAAAACc3EAfgAE///////////////+/////gAAAAF1cQB+AAcAAAAD/4leeHh3RQIeAAKXAgICMwIEAgUCBgIHAggCCQI9AgsCDAINAggCCAIIAggCCAIIAggCCAIIAggCCAIIAggCCAIIAggCCAIiAgMCmXNxAH4AAAAAAAJzcQB+AAT///////////////7////+AAAAAXVxAH4ABwAAAAQGG1pqeHh3RQIeAAKXAgICLQIEAgUCBgIHAggCCQI9AgsCDAINAggCCAIIAggCCAIIAggCCAIIAggCCAIIAggCCAIIAggCCAIiAgMCmnNxAH4AAAAAAAJzcQB+AAT///////////////7////+/////3VxAH4ABwAAAAQUOveDeHh3RQIeAAKXAgICKQIEAgUCBgIHAggCCQI9AgsCDAINAggCCAIIAggCCAIIAggCCAIIAggCCAIIAggCCAIIAggCCAIiAgMCm3NxAH4AAAAAAAJzcQB+AAT///////////////7////+/////3VxAH4ABwAAAAQKK9PneHh3RQIeAAKXAgICMQIEAgUCBgIHAggCCQI9AgsCDAINAggCCAIIAggCCAIIAggCCAIIAggCCAIIAggCCAIIAggCCAIiAgMCnHNxAH4AAAAAAAJzcQB+AAT///////////////7////+/////3VxAH4ABwAAAAQIvUgheHh3RQIeAAKXAgICAwIEAgUCBgIHAggCCQI9AgsCDAINAggCCAIIAggCCAIIAggCCAIIAggCCAIIAggCCAIIAggCCAIiAgMCnXNxAH4AAAAAAAJzcQB+AAT///////////////7////+/////3VxAH4ABwAAAAQC12dUeHh3RQIeAAKXAgICNQIEAgUCBgIHAggCCQI9AgsCDAINAggCCAIIAggCCAIIAggCCAIIAggCCAIIAggCCAIIAggCCAIiAgMCnnNxAH4AAAAAAAJzcQB+AAT///////////////7////+/////3VxAH4ABwAAAAQWt6iieHh3RQIeAAKXAgICHQIEAgUCBgIHAggCCQI9AgsCDAINAggCCAIIAggCCAIIAggCCAIIAggCCAIIAggCCAIIAggCCAIiAgMCn3NxAH4AAAAAAAJzcQB+AAT///////////////7////+/////3VxAH4ABwAAAAQQposkeHh3RQIeAAKXAgICJwIEAgUCBgIHAggCCQI9AgsCDAINAggCCAIIAggCCAIIAggCCAIIAggCCAIIAggCCAIIAggCCAIiAgMCoHNxAH4AAAAAAAJzcQB+AAT///////////////7////+/////3VxAH4ABwAAAAQewHRseHh3RQIeAAKXAgICLwIEAgUCBgIHAggCCQI9AgsCDAINAggCCAIIAggCCAIIAggCCAIIAggCCAIIAggCCAIIAggCCAIiAgMCoXNxAH4AAAAAAAJzcQB+AAT///////////////7////+/////3VxAH4ABwAAAANOuAp4eHdFAh4AApcCAgIrAgQCBQIGAgcCCAIJAj0CCwIMAg0CCAIIAggCCAIIAggCCAIIAggCCAIIAggCCAIIAggCCAIIAiICAwKic3EAfgAAAAAAAnNxAH4ABP///////////////v////4AAAABdXEAfgAHAAAABAJaEtJ4eHdFAh4AApcCAgIbAgQCBQIGAgcCCAIJAj0CCwIMAg0CCAIIAggCCAIIAggCCAIIAggCCAIIAggCCAIIAggCCAIIAiICAwKjc3EAfgAAAAAAAnNxAH4ABP///////////////v////7/////dXEAfgAHAAAABATh3pl4eHdFAh4AApcCAgIlAgQCBQIGAgcCCAIJAj0CCwIMAg0CCAIIAggCCAIIAggCCAIIAggCCAIIAggCCAIIAggCCAIIAiICAwKkc3EAfgAAAAAAAnNxAH4ABP///////////////v////7/////dXEAfgAHAAAABAUEo0F4eHdFAh4AApcCAgIhAgQCBQIGAgcCCAIJAj0CCwIMAg0CCAIIAggCCAIIAggCCAIIAggCCAIIAggCCAIIAggCCAIIAiICAwKlc3EAfgAAAAAAAnNxAH4ABP///////////////v////7/////dXEAfgAHAAAABA4LHEp4eHdFAh4AApcCAgIfAgQCBQIGAgcCCAIJAj0CCwIMAg0CCAIIAggCCAIIAggCCAIIAggCCAIIAggCCAIIAggCCAIIAiICAwKmc3EAfgAAAAAAAnNxAH4ABP///////////////v////7/////dXEAfgAHAAAABAFtStJ4eHoAAAQAAh4AAqcACTMzMDU2NDAwMAICAlMCBAIFAgYCBwIIAgkCCgILAjkCDQIIAggCCAIIAggCCAIIAggCCAIIAggCCAIIAggCCAIIAggCEgIDAlsCHgACpwICAjUCBAIFAgYCBwIIAgkCCgILAjkCDQIIAggCCAIIAggCCAIIAggCCAIIAggCCAIIAggCCAIIAggCEgIDAlwCHgACpwICAkcCBAIFAgYCBwIIAgkCOAILAjkCDQIIAggCCAIIAggCCAIIAggCCAIIAggCCAIIAggCCAIIAggCEgIDAkgCHgACpwICAjMCBAIFAgYCBwIIAgkCOAILAjkCDQIIAggCCAIIAggCCAIIAggCCAIIAggCCAIIAggCCAIIAggCEgIDAoECHgACpwICAjECBAIFAgYCBwIIAgkCOAILAjkCDQIIAggCCAIIAggCCAIIAggCCAIIAggCCAIIAggCCAIIAggCEgIDAl0CHgACpwICAkwCBAIFAgYCBwIIAgkCCgILAjkCDQIIAggCCAIIAggCCAIIAggCCAIIAggCCAIIAggCCAIIAggCEgIDAooCHgACpwICAmECBAIFAgYCBwIIAgkCPQILAjkCDQIIAggCCAIIAggCCAIIAggCCAIIAggCCAIIAggCCAIIAggCEgIDAmICHgACpwICAi8CBAIFAgYCBwIIAgkCPQILAjkCDQIIAggCCAIIAggCCAIIAggCCAIIAggCCAIIAggCCAIIAggCEgIDAmUCHgACpwICAgMCBAIFAgYCBwIIAgkCCgILAjkCDQIIAggCCAIIAggCCAIIAggCCAIIAggCCAIIAggCCAIIAggCEgIDAosCHgACpwICAhsCBAIFAgYCBwIIAgkCOAILAjkCDQIIAggCCAIIAggCCAIIAggCCAIIAggCCAIIAggCCAIIAggCEgIDAlACHgACpwICAh8CBAIFAgYCBwIIAgkCPQILAjkCDQIIAggCCAIIAggCCAIIAggCCAIIAggCCAIIAggCCAIIAggCEgIDAkYCHgACpwICAkECBAIFAgYCBwIIAgkCCgILAjkCDQIIAggCCAIIAggCCAIIAggCCAIIAggCCAIIAggCCAIIAggCEgIDAkICHgACpwICAj8CBAIFAgYCBwIIAgkCCgILAjkCDQIIAggCCAIIAggCCAIIAggCCAIIAggCCAIIAggCCAIIAggCEgIDAkACHgACpwICAiECBAIFAgYCBwIIAgkCOAILAjkCDQIIAggCCAIIAggCCAIIAggCCAIIAggCCAIIAggCCAIIAggCEgIDAjoCHgACpwICAiUCBAIFAgYCBwIIAgkCCgILAjkCDQIIAggCCAIIAggCCAIIAggCCHoAAAQAAggCCAIIAggCCAIIAggCCAISAgMCRQIeAAKnAgICQwIEAgUCBgIHAggCCQI9AgsCOQINAggCCAIIAggCCAIIAggCCAIIAggCCAIIAggCCAIIAggCCAISAgMCRAIeAAKnAgICJwIEAgUCBgIHAggCCQIKAgsCOQINAggCCAIIAggCCAIIAggCCAIIAggCCAIIAggCCAIIAggCCAISAgMCOwIeAAKnAgICPAIEAgUCBgIHAggCCQI9AgsCOQINAggCCAIIAggCCAIIAggCCAIIAggCCAIIAggCCAIIAggCCAISAgMCPgIeAAKnAgICAwIEAgUCBgIHAggCCQI9AgsCOQINAggCCAIIAggCCAIIAggCCAIIAggCCAIIAggCCAIIAggCCAISAgMCSQIeAAKnAgICTAIEAgUCBgIHAggCCQI9AgsCOQINAggCCAIIAggCCAIIAggCCAIIAggCCAIIAggCCAIIAggCCAISAgMCTQIeAAKnAgICUwIEAgUCBgIHAggCCQI4AgsCOQINAggCCAIIAggCCAIIAggCCAIIAggCCAIIAggCCAIIAggCCAISAgMCcAIeAAKnAgICNQIEAgUCBgIHAggCCQI4AgsCOQINAggCCAIIAggCCAIIAggCCAIIAggCCAIIAggCCAIIAggCCAISAgMCUAIeAAKnAgICHQIEAgUCBgIHAggCCQI9AgsCOQINAggCCAIIAggCCAIIAggCCAIIAggCCAIIAggCCAIIAggCCAISAgMCggIeAAKnAgICLQIEAgUCBgIHAggCCQI4AgsCOQINAggCCAIIAggCCAIIAggCCAIIAggCCAIIAggCCAIIAggCCAISAgMCUQIeAAKnAgICPAIEAgUCBgIHAggCCQI4AgsCOQINAggCCAIIAggCCAIIAggCCAIIAggCCAIIAggCCAIIAggCCAISAgMCeAIeAAKnAgICKQIEAgUCBgIHAggCCQI4AgsCOQINAggCCAIIAggCCAIIAggCCAIIAggCCAIIAggCCAIIAggCCAISAgMCUAIeAAKnAgICMwIEAgUCBgIHAggCCQIKAgsCOQINAggCCAIIAggCCAIIAggCCAIIAggCCAIIAggCCAIIAggCCAISAgMCTwIeAAKnAgICLwIEAgUCBgIHAggCCQIKAgsCOQINAggCCAIIAggCCAIIAggCCAIIAggCCAIIAggCCAIIAggCCAISAgMCeQIeAAKnAgICGwIEAgUCBgIHAggCCQIKAgsCOQINAggCCAIIAggCCAIIAggCCAIIAggCCAIIAggCCAIIAggCCAISAgMClQIeAAKnAgICIQIEAgUCBgIHAggCCQIKAgsCOQINAggCCAIIAnoAAAQACAIIAggCCAIIAggCCAIIAggCCAIIAggCCAIIAhICAwJ9Ah4AAqcCAgJDAgQCBQIGAgcCCAIJAgoCCwI5Ag0CCAIIAggCCAIIAggCCAIIAggCCAIIAggCCAIIAggCCAIIAhICAwJ/Ah4AAqcCAgJBAgQCBQIGAgcCCAIJAjgCCwI5Ag0CCAIIAggCCAIIAggCCAIIAggCCAIIAggCCAIIAggCCAIIAhICAwKMAh4AAqcCAgJqAgQCBQIGAgcCCAIJAjgCCwI5Ag0CCAIIAggCCAIIAggCCAIIAggCCAIIAggCCAIIAggCCAIIAhICAwKGAh4AAqcCAgJhAgQCBQIGAgcCCAIJAgoCCwI5Ag0CCAIIAggCCAIIAggCCAIIAggCCAIIAggCCAIIAggCCAIIAhICAwKAAh4AAqcCAgIrAgQCBQIGAgcCCAIJAjgCCwI5Ag0CCAIIAggCCAIIAggCCAIIAggCCAIIAggCCAIIAggCCAIIAhICAwJ8Ah4AAqcCAgIlAgQCBQIGAgcCCAIJAjgCCwI5Ag0CCAIIAggCCAIIAggCCAIIAggCCAIIAggCCAIIAggCCAIIAhICAwJ+Ah4AAqcCAgI/AgQCBQIGAgcCCAIJAj0CCwI5Ag0CCAIIAggCCAIIAggCCAIIAggCCAIIAggCCAIIAggCCAIIAhICAwKDAh4AAqcCAgIjAgQCBQIGAgcCCAIJAj0CCwI5Ag0CCAIIAggCCAIIAggCCAIIAggCCAIIAggCCAIIAggCCAIIAhICAwKFAh4AAqcCAgInAgQCBQIGAgcCCAIJAj0CCwI5Ag0CCAIIAggCCAIIAggCCAIIAggCCAIIAggCCAIIAggCCAIIAhICAwKHAh4AAqcCAgJjAgQCBQIGAgcCCAIJAj0CCwI5Ag0CCAIIAggCCAIIAggCCAIIAggCCAIIAggCCAIIAggCCAIIAhICAwKEAh4AAqcCAgJKAgQCBQIGAgcCCAIJAgoCCwI5Ag0CCAIIAggCCAIIAggCCAIIAggCCAIIAggCCAIIAggCCAIIAhICAwKJAh4AAqcCAgIpAgQCBQIGAgcCCAIJAgoCCwI5Ag0CCAIIAggCCAIIAggCCAIIAggCCAIIAggCCAIIAggCCAIIAhICAwJoAh4AAqcCAgIjAgQCBQIGAgcCCAIJAjgCCwI5Ag0CCAIIAggCCAIIAggCCAIIAggCCAIIAggCCAIIAggCCAIIAhICAwJfAh4AAqcCAgJjAgQCBQIGAgcCCAIJAjgCCwI5Ag0CCAIIAggCCAIIAggCCAIIAggCCAIIAggCCAIIAggCCAIIAhICAwJkAh4AAqcCAgIxAgQCBQIGAgcCCAIJAj0CC3oAAAQAAjkCDQIIAggCCAIIAggCCAIIAggCCAIIAggCCAIIAggCCAIIAggCEgIDAo0CHgACpwICAjMCBAIFAgYCBwIIAgkCPQILAjkCDQIIAggCCAIIAggCCAIIAggCCAIIAggCCAIIAggCCAIIAggCEgIDAmYCHgACpwICAkcCBAIFAgYCBwIIAgkCPQILAjkCDQIIAggCCAIIAggCCAIIAggCCAIIAggCCAIIAggCCAIIAggCEgIDAogCHgACpwICAisCBAIFAgYCBwIIAgkCCgILAjkCDQIIAggCCAIIAggCCAIIAggCCAIIAggCCAIIAggCCAIIAggCEgIDAmkCHgACpwICAi0CBAIFAgYCBwIIAgkCCgILAjkCDQIIAggCCAIIAggCCAIIAggCCAIIAggCCAIIAggCCAIIAggCEgIDAl4CHgACpwICAkMCBAIFAgYCBwIIAgkCOAILAjkCDQIIAggCCAIIAggCCAIIAggCCAIIAggCCAIIAggCCAIIAggCEgIDAnsCHgACpwICAmoCBAIFAgYCBwIIAgkCCgILAjkCDQIIAggCCAIIAggCCAIIAggCCAIIAggCCAIIAggCCAIIAggCEgIDAmsCHgACpwICAhsCBAIFAgYCBwIIAgkCPQILAjkCDQIIAggCCAIIAggCCAIIAggCCAIIAggCCAIIAggCCAIIAggCEgIDApMCHgACpwICAi8CBAIFAgYCBwIIAgkCOAILAjkCDQIIAggCCAIIAggCCAIIAggCCAIIAggCCAIIAggCCAIIAggCEgIDAmwCHgACpwICAikCBAIFAgYCBwIIAgkCPQILAjkCDQIIAggCCAIIAggCCAIIAggCCAIIAggCCAIIAggCCAIIAggCEgIDAnQCHgACpwICAh8CBAIFAgYCBwIIAgkCOAILAjkCDQIIAggCCAIIAggCCAIIAggCCAIIAggCCAIIAggCCAIIAggCEgIDAnUCHgACpwICAiECBAIFAgYCBwIIAgkCPQILAjkCDQIIAggCCAIIAggCCAIIAggCCAIIAggCCAIIAggCCAIIAggCEgIDAm4CHgACpwICAmECBAIFAgYCBwIIAgkCOAILAjkCDQIIAggCCAIIAggCCAIIAggCCAIIAggCCAIIAggCCAIIAggCEgIDAm8CHgACpwICAh0CBAIFAgYCBwIIAgkCCgILAjkCDQIIAggCCAIIAggCCAIIAggCCAIIAggCCAIIAggCCAIIAggCEgIDAnECHgACpwICAiMCBAIFAgYCBwIIAgkCCgILAjkCDQIIAggCCAIIAggCCAIIAggCCAIIAggCCAIIAggCCAIIAggCEgIDAnICHgACpwICAkoCBAIFAnoAAAQABgIHAggCCQI9AgsCOQINAggCCAIIAggCCAIIAggCCAIIAggCCAIIAggCCAIIAggCCAISAgMCbQIeAAKnAgICSgIEAgUCBgIHAggCCQI4AgsCOQINAggCCAIIAggCCAIIAggCCAIIAggCCAIIAggCCAIIAggCCAISAgMCSwIeAAKnAgICYwIEAgUCBgIHAggCCQIKAgsCOQINAggCCAIIAggCCAIIAggCCAIIAggCCAIIAggCCAIIAggCCAISAgMCcwIeAAKnAgICRwIEAgUCBgIHAggCCQIKAgsCOQINAggCCAIIAggCCAIIAggCCAIIAggCCAIIAggCCAIIAggCCAISAgMCUgIeAAKnAgICAwIEAgUCBgIHAggCCQI4AgsCOQINAggCCAIIAggCCAIIAggCCAIIAggCCAIIAggCCAIIAggCCAISAgMCVwIeAAKnAgICKwIEAgUCBgIHAggCCQI9AgsCOQINAggCCAIIAggCCAIIAggCCAIIAggCCAIIAggCCAIIAggCCAISAgMCdgIeAAKnAgICNQIEAgUCBgIHAggCCQI9AgsCOQINAggCCAIIAggCCAIIAggCCAIIAggCCAIIAggCCAIIAggCCAISAgMCVQIeAAKnAgICagIEAgUCBgIHAggCCQI9AgsCOQINAggCCAIIAggCCAIIAggCCAIIAggCCAIIAggCCAIIAggCCAISAgMCegIeAAKnAgICUwIEAgUCBgIHAggCCQI9AgsCOQINAggCCAIIAggCCAIIAggCCAIIAggCCAIIAggCCAIIAggCCAISAgMCVAIeAAKnAgICLQIEAgUCBgIHAggCCQI9AgsCOQINAggCCAIIAggCCAIIAggCCAIIAggCCAIIAggCCAIIAggCCAISAgMCdwIeAAKnAgICPwIEAgUCBgIHAggCCQI4AgsCOQINAggCCAIIAggCCAIIAggCCAIIAggCCAIIAggCCAIIAggCCAISAgMCZwIeAAKnAgICMQIEAgUCBgIHAggCCQIKAgsCOQINAggCCAIIAggCCAIIAggCCAIIAggCCAIIAggCCAIIAggCCAISAgMCTgIeAAKnAgICJQIEAgUCBgIHAggCCQI9AgsCOQINAggCCAIIAggCCAIIAggCCAIIAggCCAIIAggCCAIIAggCCAISAgMCWgIeAAKnAgICJwIEAgUCBgIHAggCCQI4AgsCOQINAggCCAIIAggCCAIIAggCCAIIAggCCAIIAggCCAIIAggCCAISAgMCUAIeAAKnAgICHwIEAgUCBgIHAggCCQIKAgsCOQINAggCCAIIAggCCAIIAggCCAIIAggCCAIIAggCCAIIAggCCAISAgMCWAIeAHoAAAQAAqcCAgI8AgQCBQIGAgcCCAIJAgoCCwI5Ag0CCAIIAggCCAIIAggCCAIIAggCCAIIAggCCAIIAggCCAIIAhICAwJgAh4AAqcCAgIdAgQCBQIGAgcCCAIJAjgCCwI5Ag0CCAIIAggCCAIIAggCCAIIAggCCAIIAggCCAIIAggCCAIIAhICAwJQAh4AAqcCAgJMAgQCBQIGAgcCCAIJAjgCCwI5Ag0CCAIIAggCCAIIAggCCAIIAggCCAIIAggCCAIIAggCCAIIAhICAwJZAh4AAqcCAgJBAgQCBQIGAgcCCAIJAj0CCwI5Ag0CCAIIAggCCAIIAggCCAIIAggCCAIIAggCCAIIAggCCAIIAhICAwJWAh4AAqgACTMxNjc4Mjk2MAICAjUCBAIFAgYCBwIIAgkCCgILAjkCDQIIAggCCAIIAggCCAIIAggCCAIIAggCCAIIAggCCAIIAggCDgIDAlwCHgACqAICAikCBAIFAgYCBwIIAgkCCgILAjkCDQIIAggCCAIIAggCCAIIAggCCAIIAggCCAIIAggCCAIIAggCDgIDAmgCHgACqAICAjMCBAIFAgYCBwIIAgkCCgILAjkCDQIIAggCCAIIAggCCAIIAggCCAIIAggCCAIIAggCCAIIAggCDgIDAk8CHgACqAICAiMCBAIFAgYCBwIIAgkCCgILAjkCDQIIAggCCAIIAggCCAIIAggCCAIIAggCCAIIAggCCAIIAggCDgIDAnICHgACqAICAgMCBAIFAgYCBwIIAgkCCgILAjkCDQIIAggCCAIIAggCCAIIAggCCAIIAggCCAIIAggCCAIIAggCDgIDAosCHgACqAICAi0CBAIFAgYCBwIIAgkCCgILAjkCDQIIAggCCAIIAggCCAIIAggCCAIIAggCCAIIAggCCAIIAggCDgIDAl4CHgACqAICAjECBAIFAgYCBwIIAgkCCgILAjkCDQIIAggCCAIIAggCCAIIAggCCAIIAggCCAIIAggCCAIIAggCDgIDAk4CHgACqAICAh8CBAIFAgYCBwIIAgkCCgILAjkCDQIIAggCCAIIAggCCAIIAggCCAIIAggCCAIIAggCCAIIAggCDgIDAlgCHgACqAICAisCBAIFAgYCBwIIAgkCCgILAjkCDQIIAggCCAIIAggCCAIIAggCCAIIAggCCAIIAggCCAIIAggCDgIDAmkCHgACqAICAhsCBAIFAgYCBwIIAgkCCgILAjkCDQIIAggCCAIIAggCCAIIAggCCAIIAggCCAIIAggCCAIIAggCDgIDApUCHgACqAICAh0CBAIFAgYCBwIIAgkCCgILAjkCDQIIAggCCAIIAggCCAIIAggCCAIIAnoAAAF/CAIIAggCCAIIAggCCAIOAgMCcQIeAAKoAgICLwIEAgUCBgIHAggCCQIKAgsCOQINAggCCAIIAggCCAIIAggCCAIIAggCCAIIAggCCAIIAggCCAIOAgMCeQIeAAKoAgICJwIEAgUCBgIHAggCCQIKAgsCOQINAggCCAIIAggCCAIIAggCCAIIAggCCAIIAggCCAIIAggCCAIOAgMCOwIeAAKoAgICJQIEAgUCBgIHAggCCQIKAgsCOQINAggCCAIIAggCCAIIAggCCAIIAggCCAIIAggCCAIIAggCCAIOAgMCRQIeAAKoAgICIQIEAgUCBgIHAggCCQIKAgsCOQINAggCCAIIAggCCAIIAggCCAIIAggCCAIIAggCCAIIAggCCAIOAgMCfQIeAAKpAAkzMzA1NjUxNjACAgJjAgQCBQIGAgcCCAIJAqoABjE5MTAxNQILAgwCDQIIAggCCAIIAggCCAIIAggCCAIIAggCCAIIAggCCAIIAggCEwIDAqtzcQB+AAAAAAACc3EAfgAE///////////////+/////v////91cQB+AAcAAAADEmtYeHh3RQIeAAKpAgICIwIEAgUCBgIHAggCCQKqAgsCDAINAggCCAIIAggCCAIIAggCCAIIAggCCAIIAggCCAIIAggCCAITAgMCrHNxAH4AAAAAAAJzcQB+AAT///////////////7////+/////3VxAH4ABwAAAAMSnq94eHeKAh4AAqkCAgItAgQCBQIGAgcCCAIJAj0CCwIMAg0CCAIIAggCCAIIAggCCAIIAggCCAIIAggCCAIIAggCCAIIAhMCAwKaAh4AAqkCAgJKAgQCBQIGAgcCCAIJAj0CCwIMAg0CCAIIAggCCAIIAggCCAIIAggCCAIIAggCCAIIAggCCAIIAhMCAwKtc3EAfgAAAAAAAnNxAH4ABP///////////////v////7/////dXEAfgAHAAAAAzL3EXh4egAAARQCHgACqQICAh0CBAIFAgYCBwIIAgkCCgILAgwCDQIIAggCCAIIAggCCAIIAggCCAIIAggCCAIIAggCCAIIAggCEwIDAh4CHgACqQICAisCBAIFAgYCBwIIAgkCCgILAgwCDQIIAggCCAIIAggCCAIIAggCCAIIAggCCAIIAggCCAIIAggCEwIDAiwCHgACqQICAhsCBAIFAgYCBwIIAgkCPQILAgwCDQIIAggCCAIIAggCCAIIAggCCAIIAggCCAIIAggCCAIIAggCEwIDAqMCHgACqQICAmECBAIFAgYCBwIIAgkCqgILAgwCDQIIAggCCAIIAggCCAIIAggCCAIIAggCCAIIAggCCAIIAggCEwIDAq5zcQB+AAAAAAACc3EAfgAE///////////////+/////v////91cQB+AAcAAAADEmdreHh3RQIeAAKpAgICagIEAgUCBgIHAggCCQIKAgsCDAINAggCCAIIAggCCAIIAggCCAIIAggCCAIIAggCCAIIAggCCAITAgMCr3NxAH4AAAAAAAJzcQB+AAT///////////////7////+/////3VxAH4ABwAAAAQx77UZeHh3RQIeAAKpAgICagIEAgUCBgIHAggCCQKqAgsCDAINAggCCAIIAggCCAIIAggCCAIIAggCCAIIAggCCAIIAggCCAITAgMCsHNxAH4AAAAAAAJzcQB+AAT///////////////7////+/////3VxAH4ABwAAAAMSb0Z4eHeKAh4AAqkCAgIdAgQCBQIGAgcCCAIJAj0CCwIMAg0CCAIIAggCCAIIAggCCAIIAggCCAIIAggCCAIIAggCCAIIAhMCAwKfAh4AAqkCAgIrAgQCBQIGAgcCCAIJAqoCCwIMAg0CCAIIAggCCAIIAggCCAIIAggCCAIIAggCCAIIAggCCAIIAhMCAwKxc3EAfgAAAAAAAnNxAH4ABP///////////////v////7/////dXEAfgAHAAAAAxKiqHh4d88CHgACqQICAikCBAIFAgYCBwIIAgkCCgILAgwCDQIIAggCCAIIAggCCAIIAggCCAIIAggCCAIIAggCCAIIAggCEwIDAioCHgACqQICAjECBAIFAgYCBwIIAgkCPQILAgwCDQIIAggCCAIIAggCCAIIAggCCAIIAggCCAIIAggCCAIIAggCEwIDApwCHgACqQICAh8CBAIFAgYCBwIIAgkCqgILAgwCDQIIAggCCAIIAggCCAIIAggCCAIIAggCCAIIAggCCAIIAggCEwIDArJzcQB+AAAAAAACc3EAfgAE///////////////+/////v////91cQB+AAcAAAADEpbAeHh3RQIeAAKpAgICQwIEAgUCBgIHAggCCQKqAgsCDAINAggCCAIIAggCCAIIAggCCAIIAggCCAIIAggCCAIIAggCCAITAgMCs3NxAH4AAAAAAAJzcQB+AAT///////////////7////+/////3VxAH4ABwAAAAMSfwZ4eHdFAh4AAqkCAgJKAgQCBQIGAgcCCAIJAgoCCwIMAg0CCAIIAggCCAIIAggCCAIIAggCCAIIAggCCAIIAggCCAIIAhMCAwK0c3EAfgAAAAAAAnNxAH4ABP///////////////v////7/////dXEAfgAHAAAABDO8lpJ4eHdFAh4AAqkCAgJKAgQCBQIGAgcCCAIJAqoCCwIMAg0CCAIIAggCCAIIAggCCAIIAggCCAIIAggCCAIIAggCCAIIAhMCAwK1c3EAfgAAAAAAAnNxAH4ABP///////////////v////7/////dXEAfgAHAAAAAxJzNXh4d0UCHgACqQICAkMCBAIFAgYCBwIIAgkCCgILAgwCDQIIAggCCAIIAggCCAIIAggCCAIIAggCCAIIAggCCAIIAggCEwIDArZzcQB+AAAAAAACc3EAfgAE///////////////+/////v////91cQB+AAcAAAAEFay1n3h4d0UCHgACqQICAjwCBAIFAgYCBwIIAgkCqgILAgwCDQIIAggCCAIIAggCCAIIAggCCAIIAggCCAIIAggCCAIIAggCEwIDArdzcQB+AAAAAAACc3EAfgAE///////////////+/////v////91cQB+AAcAAAADEmN/eHh3zwIeAAKpAgICMwIEAgUCBgIHAggCCQI9AgsCDAINAggCCAIIAggCCAIIAggCCAIIAggCCAIIAggCCAIIAggCCAITAgMCmQIeAAKpAgICIwIEAgUCBgIHAggCCQI9AgsCDAINAggCCAIIAggCCAIIAggCCAIIAggCCAIIAggCCAIIAggCCAITAgMCmAIeAAKpAgICYwIEAgUCBgIHAggCCQI9AgsCDAINAggCCAIIAggCCAIIAggCCAIIAggCCAIIAggCCAIIAggCCAITAgMCuHNxAH4AAAAAAAJzcQB+AAT///////////////7////+/////3VxAH4ABwAAAAQBBpRgeHh3igIeAAKpAgICNQIEAgUCBgIHAggCCQKqAgsCDAINAggCCAIIAggCCAIIAggCCAIIAggCCAIIAggCCAIIAggCCAITAgMCUAIeAAKpAgICLQIEAgUCBgIHAggCCQKqAgsCDAINAggCCAIIAggCCAIIAggCCAIIAggCCAIIAggCCAIIAggCCAITAgMCuXNxAH4AAAAAAAJzcQB+AAT///////////////7////+/////3VxAH4ABwAAAAMSgvh4eHoAAAGeAh4AAqkCAgIbAgQCBQIGAgcCCAIJAgoCCwIMAg0CCAIIAggCCAIIAggCCAIIAggCCAIIAggCCAIIAggCCAIIAhMCAwIcAh4AAqkCAgIhAgQCBQIGAgcCCAIJAgoCCwIMAg0CCAIIAggCCAIIAggCCAIIAggCCAIIAggCCAIIAggCCAIIAhMCAwIiAh4AAqkCAgIpAgQCBQIGAgcCCAIJAqoCCwIMAg0CCAIIAggCCAIIAggCCAIIAggCCAIIAggCCAIIAggCCAIIAhMCAwJQAh4AAqkCAgItAgQCBQIGAgcCCAIJAgoCCwIMAg0CCAIIAggCCAIIAggCCAIIAggCCAIIAggCCAIIAggCCAIIAhMCAwIuAh4AAqkCAgI1AgQCBQIGAgcCCAIJAgoCCwIMAg0CCAIIAggCCAIIAggCCAIIAggCCAIIAggCCAIIAggCCAIIAhMCAwI2Ah4AAqkCAgJTAgQCBQIGAgcCCAIJAgoCCwIMAg0CCAIIAggCCAIIAggCCAIIAggCCAIIAggCCAIIAggCCAIIAhMCAwK6c3EAfgAAAAAAAnNxAH4ABP///////////////v////7/////dXEAfgAHAAAABAvREnR4eHdFAh4AAqkCAgJhAgQCBQIGAgcCCAIJAgoCCwIMAg0CCAIIAggCCAIIAggCCAIIAggCCAIIAggCCAIIAggCCAIIAhMCAwK7c3EAfgAAAAAAAnNxAH4ABP///////////////v////7/////dXEAfgAHAAAABCsQC1F4eHdFAh4AAqkCAgJTAgQCBQIGAgcCCAIJAqoCCwIMAg0CCAIIAggCCAIIAggCCAIIAggCCAIIAggCCAIIAggCCAIIAhMCAwK8c3EAfgAAAAAAAnNxAH4ABP///////////////v////7/////dXEAfgAHAAAAAxJ7FXh4d0UCHgACqQICAi8CBAIFAgYCBwIIAgkCqgILAgwCDQIIAggCCAIIAggCCAIIAggCCAIIAggCCAIIAggCCAIIAggCEwIDAr1zcQB+AAAAAAACc3EAfgAE///////////////+/////v////91cQB+AAcAAAADEpq3eHh3zwIeAAKpAgICLwIEAgUCBgIHAggCCQIKAgsCDAINAggCCAIIAggCCAIIAggCCAIIAggCCAIIAggCCAIIAggCCAITAgMCMAIeAAKpAgICIQIEAgUCBgIHAggCCQI9AgsCDAINAggCCAIIAggCCAIIAggCCAIIAggCCAIIAggCCAIIAggCCAITAgMCpQIeAAKpAgICTAIEAgUCBgIHAggCCQI9AgsCDAINAggCCAIIAggCCAIIAggCCAIIAggCCAIIAggCCAIIAggCCAITAgMCvnNxAH4AAAAAAAJzcQB+AAT///////////////7////+/////3VxAH4ABwAAAAQCUB7peHh3igIeAAKpAgICAwIEAgUCBgIHAggCCQI9AgsCDAINAggCCAIIAggCCAIIAggCCAIIAggCCAIIAggCCAIIAggCCAITAgMCnQIeAAKpAgICQwIEAgUCBgIHAggCCQI9AgsCDAINAggCCAIIAggCCAIIAggCCAIIAggCCAIIAggCCAIIAggCCAITAgMCv3NxAH4AAAAAAAJzcQB+AAT///////////////7////+/////3VxAH4ABwAAAAQdEKl0eHh3RQIeAAKpAgICJQIEAgUCBgIHAggCCQKqAgsCDAINAggCCAIIAggCCAIIAggCCAIIAggCCAIIAggCCAIIAggCCAITAgMCwHNxAH4AAAAAAAJzcQB+AAT///////////////7////+/////3VxAH4ABwAAAAMSjtR4eHdFAh4AAqkCAgJBAgQCBQIGAgcCCAIJAqoCCwIMAg0CCAIIAggCCAIIAggCCAIIAggCCAIIAggCCAIIAggCCAIIAhMCAwLBc3EAfgAAAAAAAnNxAH4ABP///////////////v////7/////dXEAfgAHAAAAAxJbqXh4d0UCHgACqQICAkECBAIFAgYCBwIIAgkCCgILAgwCDQIIAggCCAIIAggCCAIIAggCCAIIAggCCAIIAggCCAIIAggCEwIDAsJzcQB+AAAAAAACc3EAfgAE///////////////+/////v////91cQB+AAcAAAAEHq4JT3h4d4oCHgACqQICAiUCBAIFAgYCBwIIAgkCCgILAgwCDQIIAggCCAIIAggCCAIIAggCCAIIAggCCAIIAggCCAIIAggCEwIDAiYCHgACqQICAjMCBAIFAgYCBwIIAgkCqgILAgwCDQIIAggCCAIIAggCCAIIAggCCAIIAggCCAIIAggCCAIIAggCEwIDAsNzcQB+AAAAAAACc3EAfgAE///////////////+/////v////91cQB+AAcAAAADEqaieHh3RQIeAAKpAgICUwIEAgUCBgIHAggCCQI9AgsCDAINAggCCAIIAggCCAIIAggCCAIIAggCCAIIAggCCAIIAggCCAITAgMCxHNxAH4AAAAAAAJzcQB+AAT///////////////7////+/////3VxAH4ABwAAAAQlkNH7eHh3RQIeAAKpAgICPAIEAgUCBgIHAggCCQI9AgsCDAINAggCCAIIAggCCAIIAggCCAIIAggCCAIIAggCCAIIAggCCAITAgMCxXNxAH4AAAAAAAJzcQB+AAT///////////////7////+/////3VxAH4ABwAAAAQBzUp3eHh6AAABFAIeAAKpAgICNQIEAgUCBgIHAggCCQI9AgsCDAINAggCCAIIAggCCAIIAggCCAIIAggCCAIIAggCCAIIAggCCAITAgMCngIeAAKpAgICHwIEAgUCBgIHAggCCQI9AgsCDAINAggCCAIIAggCCAIIAggCCAIIAggCCAIIAggCCAIIAggCCAITAgMCpgIeAAKpAgICMwIEAgUCBgIHAggCCQIKAgsCDAINAggCCAIIAggCCAIIAggCCAIIAggCCAIIAggCCAIIAggCCAITAgMCNAIeAAKpAgICMQIEAgUCBgIHAggCCQKqAgsCDAINAggCCAIIAggCCAIIAggCCAIIAggCCAIIAggCCAIIAggCCAITAgMCxnNxAH4AAAAAAAJzcQB+AAT///////////////7////+/////3VxAH4ABwAAAAMSit94eHdFAh4AAqkCAgJHAgQCBQIGAgcCCAIJAgoCCwIMAg0CCAIIAggCCAIIAggCCAIIAggCCAIIAggCCAIIAggCCAIIAhMCAwLHc3EAfgAAAAAAAnNxAH4ABP///////////////v////7/////dXEAfgAHAAAABBuzHlx4eHdFAh4AAqkCAgJMAgQCBQIGAgcCCAIJAgoCCwIMAg0CCAIIAggCCAIIAggCCAIIAggCCAIIAggCCAIIAggCCAIIAhMCAwLIc3EAfgAAAAAAAnNxAH4ABP///////////////v////7/////dXEAfgAHAAAABCPGeP14eHdFAh4AAqkCAgJHAgQCBQIGAgcCCAIJAqoCCwIMAg0CCAIIAggCCAIIAggCCAIIAggCCAIIAggCCAIIAggCCAIIAhMCAwLJc3EAfgAAAAAAAnNxAH4ABP///////////////v////7/////dXEAfgAHAAAAAxJXv3h4d0UCHgACqQICAmECBAIFAgYCBwIIAgkCPQILAgwCDQIIAggCCAIIAggCCAIIAggCCAIIAggCCAIIAggCCAIIAggCEwIDAspzcQB+AAAAAAACc3EAfgAE///////////////+/////v////91cQB+AAcAAAAEAWTK8nh4egAAARQCHgACqQICAgMCBAIFAgYCBwIIAgkCCgILAgwCDQIIAggCCAIIAggCCAIIAggCCAIIAggCCAIIAggCCAIIAggCEwIDAg4CHgACqQICAicCBAIFAgYCBwIIAgkCPQILAgwCDQIIAggCCAIIAggCCAIIAggCCAIIAggCCAIIAggCCAIIAggCEwIDAqACHgACqQICAi8CBAIFAgYCBwIIAgkCPQILAgwCDQIIAggCCAIIAggCCAIIAggCCAIIAggCCAIIAggCCAIIAggCEwIDAqECHgACqQICAj8CBAIFAgYCBwIIAgkCPQILAgwCDQIIAggCCAIIAggCCAIIAggCCAIIAggCCAIIAggCCAIIAggCEwIDAstzcQB+AAAAAAACc3EAfgAE///////////////+/////gAAAAF1cQB+AAcAAAADuXJ8eHh3RQIeAAKpAgICIQIEAgUCBgIHAggCCQKqAgsCDAINAggCCAIIAggCCAIIAggCCAIIAggCCAIIAggCCAIIAggCCAITAgMCzHNxAH4AAAAAAAJzcQB+AAT///////////////7////+/////3VxAH4ABwAAAAMShut4eHeKAh4AAqkCAgIbAgQCBQIGAgcCCAIJAqoCCwIMAg0CCAIIAggCCAIIAggCCAIIAggCCAIIAggCCAIIAggCCAIIAhMCAwJQAh4AAqkCAgJBAgQCBQIGAgcCCAIJAj0CCwIMAg0CCAIIAggCCAIIAggCCAIIAggCCAIIAggCCAIIAggCCAIIAhMCAwLNc3EAfgAAAAAAAnNxAH4ABP///////////////v////7/////dXEAfgAHAAAABAL7S4t4eHdFAh4AAqkCAgI8AgQCBQIGAgcCCAIJAgoCCwIMAg0CCAIIAggCCAIIAggCCAIIAggCCAIIAggCCAIIAggCCAIIAhMCAwLOc3EAfgAAAAAAAnNxAH4ABP///////////////v////7/////dXEAfgAHAAAABCYvMsJ4eHfPAh4AAqkCAgIfAgQCBQIGAgcCCAIJAgoCCwIMAg0CCAIIAggCCAIIAggCCAIIAggCCAIIAggCCAIIAggCCAIIAhMCAwIgAh4AAqkCAgIlAgQCBQIGAgcCCAIJAj0CCwIMAg0CCAIIAggCCAIIAggCCAIIAggCCAIIAggCCAIIAggCCAIIAhMCAwKkAh4AAqkCAgJHAgQCBQIGAgcCCAIJAj0CCwIMAg0CCAIIAggCCAIIAggCCAIIAggCCAIIAggCCAIIAggCCAIIAhMCAwLPc3EAfgAAAAAAAnNxAH4ABP///////////////v////7/////dXEAfgAHAAAABARbkhB4eHdFAh4AAqkCAgIDAgQCBQIGAgcCCAIJAqoCCwIMAg0CCAIIAggCCAIIAggCCAIIAggCCAIIAggCCAIIAggCCAIIAhMCAwLQc3EAfgAAAAAAAnNxAH4ABP///////////////v////7/////dXEAfgAHAAAAAxKSynh4d0UCHgACqQICAkwCBAIFAgYCBwIIAgkCqgILAgwCDQIIAggCCAIIAggCCAIIAggCCAIIAggCCAIIAggCCAIIAggCEwIDAtFzcQB+AAAAAAACc3EAfgAE///////////////+/////v////91cQB+AAcAAAADEl+UeHh3RQIeAAKpAgICPwIEAgUCBgIHAggCCQKqAgsCDAINAggCCAIIAggCCAIIAggCCAIIAggCCAIIAggCCAIIAggCCAITAgMC0nNxAH4AAAAAAAJzcQB+AAT///////////////7////+/////3VxAH4ABwAAAAMSdyV4eHfPAh4AAqkCAgInAgQCBQIGAgcCCAIJAqoCCwIMAg0CCAIIAggCCAIIAggCCAIIAggCCAIIAggCCAIIAggCCAIIAhMCAwJQAh4AAqkCAgIxAgQCBQIGAgcCCAIJAgoCCwIMAg0CCAIIAggCCAIIAggCCAIIAggCCAIIAggCCAIIAggCCAIIAhMCAwIyAh4AAqkCAgJqAgQCBQIGAgcCCAIJAj0CCwIMAg0CCAIIAggCCAIIAggCCAIIAggCCAIIAggCCAIIAggCCAIIAhMCAwLTc3EAfgAAAAAAAnNxAH4ABP///////////////v////7/////dXEAfgAHAAAAA56yqnh4egAAARQCHgACqQICAisCBAIFAgYCBwIIAgkCPQILAgwCDQIIAggCCAIIAggCCAIIAggCCAIIAggCCAIIAggCCAIIAggCEwIDAqICHgACqQICAh0CBAIFAgYCBwIIAgkCqgILAgwCDQIIAggCCAIIAggCCAIIAggCCAIIAggCCAIIAggCCAIIAggCEwIDAlACHgACqQICAicCBAIFAgYCBwIIAgkCCgILAgwCDQIIAggCCAIIAggCCAIIAggCCAIIAggCCAIIAggCCAIIAggCEwIDAigCHgACqQICAmMCBAIFAgYCBwIIAgkCCgILAgwCDQIIAggCCAIIAggCCAIIAggCCAIIAggCCAIIAggCCAIIAggCEwIDAtRzcQB+AAAAAAACc3EAfgAE///////////////+/////v////91cQB+AAcAAAAELv3gknh4d0UCHgACqQICAj8CBAIFAgYCBwIIAgkCCgILAgwCDQIIAggCCAIIAggCCAIIAggCCAIIAggCCAIIAggCCAIIAggCEwIDAtVzcQB+AAAAAAACc3EAfgAE///////////////+/////v////91cQB+AAcAAAAENJhHI3h4egAABAACHgACqQICAiMCBAIFAgYCBwIIAgkCCgILAgwCDQIIAggCCAIIAggCCAIIAggCCAIIAggCCAIIAggCCAIIAggCEwIDAiQCHgACqQICAikCBAIFAgYCBwIIAgkCPQILAgwCDQIIAggCCAIIAggCCAIIAggCCAIIAggCCAIIAggCCAIIAggCEwIDApsCHgAC1gAJNDIxMjA5NDE2AgICSgIEAgUCBgIHAggCCQI9AgsCDAINAggCCAIIAggCCAIIAggCCAIIAggCCAIIAggCCAIIAggCCAIVAgMCrQIeAALWAgICLQIEAgUCBgIHAggCCQI9AgsCDAINAggCCAIIAggCCAIIAggCCAIIAggCCAIIAggCCAIIAggCCAIVAgMCmgIeAALWAgICYwIEAgUCBgIHAggCCQIKAgsCDAINAggCCAIIAggCCAIIAggCCAIIAggCCAIIAggCCAIIAggCCAIVAgMC1AIeAALWAgICYwIEAgUCBgIHAggCCQKqAgsCDAINAggCCAIIAggCCAIIAggCCAIIAggCCAIIAggCCAIIAggCCAIVAgMCqwIeAALWAgICKQIEAgUCBgIHAggCCQI9AgsCDAINAggCCAIIAggCCAIIAggCCAIIAggCCAIIAggCCAIIAggCCAIVAgMCmwIeAALWAgICYQIEAgUCBgIHAggCCQKqAgsCDAINAggCCAIIAggCCAIIAggCCAIIAggCCAIIAggCCAIIAggCCAIVAgMCrgIeAALWAgICLwIEAgUCBgIHAggCCQKqAgsCDAINAggCCAIIAggCCAIIAggCCAIIAggCCAIIAggCCAIIAggCCAIVAgMCvQIeAALWAgICKwIEAgUCBgIHAggCCQIKAgsCDAINAggCCAIIAggCCAIIAggCCAIIAggCCAIIAggCCAIIAggCCAIVAgMCLAIeAALWAgICagIEAgUCBgIHAggCCQI9AgsCDAINAggCCAIIAggCCAIIAggCCAIIAggCCAIIAggCCAIIAggCCAIVAgMC0wIeAALWAgICIQIEAgUCBgIHAggCCQI9AgsCDAINAggCCAIIAggCCAIIAggCCAIIAggCCAIIAggCCAIIAggCCAIVAgMCpQIeAALWAgICHQIEAgUCBgIHAggCCQIKAgsCDAINAggCCAIIAggCCAIIAggCCAIIAggCCAIIAggCCAIIAggCCAIVAgMCHgIeAALWAgICKwIEAgUCBgIHAggCCQI9AgsCDAINAggCCAIIAggCCAIIAggCCAIIAggCCAIIAggCCAIIAggCCAIVAgMCogIeAALWAgICagIEAgUCBgIHAggCCQIKAgsCDAINAggCCAIIAggCCAIIAggCCAIIegAABAACCAIIAggCCAIIAggCCAIIAhUCAwKvAh4AAtYCAgJqAgQCBQIGAgcCCAIJAqoCCwIMAg0CCAIIAggCCAIIAggCCAIIAggCCAIIAggCCAIIAggCCAIIAhUCAwKwAh4AAtYCAgIjAgQCBQIGAgcCCAIJAqoCCwIMAg0CCAIIAggCCAIIAggCCAIIAggCCAIIAggCCAIIAggCCAIIAhUCAwKsAh4AAtYCAgIdAgQCBQIGAgcCCAIJAqoCCwIMAg0CCAIIAggCCAIIAggCCAIIAggCCAIIAggCCAIIAggCCAIIAhUCAwJQAh4AAtYCAgIjAgQCBQIGAgcCCAIJAgoCCwIMAg0CCAIIAggCCAIIAggCCAIIAggCCAIIAggCCAIIAggCCAIIAhUCAwIkAh4AAtYCAgI8AgQCBQIGAgcCCAIJAgoCCwIMAg0CCAIIAggCCAIIAggCCAIIAggCCAIIAggCCAIIAggCCAIIAhUCAwLOAh4AAtYCAgI1AgQCBQIGAgcCCAIJAqoCCwIMAg0CCAIIAggCCAIIAggCCAIIAggCCAIIAggCCAIIAggCCAIIAhUCAwJQAh4AAtYCAgJTAgQCBQIGAgcCCAIJAgoCCwIMAg0CCAIIAggCCAIIAggCCAIIAggCCAIIAggCCAIIAggCCAIIAhUCAwK6Ah4AAtYCAgJTAgQCBQIGAgcCCAIJAqoCCwIMAg0CCAIIAggCCAIIAggCCAIIAggCCAIIAggCCAIIAggCCAIIAhUCAwK8Ah4AAtYCAgIzAgQCBQIGAgcCCAIJAj0CCwIMAg0CCAIIAggCCAIIAggCCAIIAggCCAIIAggCCAIIAggCCAIIAhUCAwKZAh4AAtYCAgIvAgQCBQIGAgcCCAIJAj0CCwIMAg0CCAIIAggCCAIIAggCCAIIAggCCAIIAggCCAIIAggCCAIIAhUCAwKhAh4AAtYCAgIpAgQCBQIGAgcCCAIJAqoCCwIMAg0CCAIIAggCCAIIAggCCAIIAggCCAIIAggCCAIIAggCCAIIAhUCAwJQAh4AAtYCAgIpAgQCBQIGAgcCCAIJAgoCCwIMAg0CCAIIAggCCAIIAggCCAIIAggCCAIIAggCCAIIAggCCAIIAhUCAwIqAh4AAtYCAgItAgQCBQIGAgcCCAIJAgoCCwIMAg0CCAIIAggCCAIIAggCCAIIAggCCAIIAggCCAIIAggCCAIIAhUCAwIuAh4AAtYCAgIrAgQCBQIGAgcCCAIJAqoCCwIMAg0CCAIIAggCCAIIAggCCAIIAggCCAIIAggCCAIIAggCCAIIAhUCAwKxAh4AAtYCAgItAgQCBQIGAgcCCAIJAqoCCwIMAg0CCAIIAggCegAABAAIAggCCAIIAggCCAIIAggCCAIIAggCCAIIAggCFQIDArkCHgAC1gICAjUCBAIFAgYCBwIIAgkCCgILAgwCDQIIAggCCAIIAggCCAIIAggCCAIIAggCCAIIAggCCAIIAggCFQIDAjYCHgAC1gICAmECBAIFAgYCBwIIAgkCPQILAgwCDQIIAggCCAIIAggCCAIIAggCCAIIAggCCAIIAggCCAIIAggCFQIDAsoCHgAC1gICAjwCBAIFAgYCBwIIAgkCqgILAgwCDQIIAggCCAIIAggCCAIIAggCCAIIAggCCAIIAggCCAIIAggCFQIDArcCHgAC1gICAh8CBAIFAgYCBwIIAgkCqgILAgwCDQIIAggCCAIIAggCCAIIAggCCAIIAggCCAIIAggCCAIIAggCFQIDArICHgAC1gICAiUCBAIFAgYCBwIIAgkCPQILAgwCDQIIAggCCAIIAggCCAIIAggCCAIIAggCCAIIAggCCAIIAggCFQIDAqQCHgAC1gICAkECBAIFAgYCBwIIAgkCPQILAgwCDQIIAggCCAIIAggCCAIIAggCCAIIAggCCAIIAggCCAIIAggCFQIDAs0CHgAC1gICAh8CBAIFAgYCBwIIAgkCCgILAgwCDQIIAggCCAIIAggCCAIIAggCCAIIAggCCAIIAggCCAIIAggCFQIDAiACHgAC1gICAkcCBAIFAgYCBwIIAgkCqgILAgwCDQIIAggCCAIIAggCCAIIAggCCAIIAggCCAIIAggCCAIIAggCFQIDAskCHgAC1gICAjECBAIFAgYCBwIIAgkCqgILAgwCDQIIAggCCAIIAggCCAIIAggCCAIIAggCCAIIAggCCAIIAggCFQIDAsYCHgAC1gICAjMCBAIFAgYCBwIIAgkCCgILAgwCDQIIAggCCAIIAggCCAIIAggCCAIIAggCCAIIAggCCAIIAggCFQIDAjQCHgAC1gICAlMCBAIFAgYCBwIIAgkCPQILAgwCDQIIAggCCAIIAggCCAIIAggCCAIIAggCCAIIAggCCAIIAggCFQIDAsQCHgAC1gICAjUCBAIFAgYCBwIIAgkCPQILAgwCDQIIAggCCAIIAggCCAIIAggCCAIIAggCCAIIAggCCAIIAggCFQIDAp4CHgAC1gICAkECBAIFAgYCBwIIAgkCCgILAgwCDQIIAggCCAIIAggCCAIIAggCCAIIAggCCAIIAggCCAIIAggCFQIDAsICHgAC1gICAjECBAIFAgYCBwIIAgkCCgILAgwCDQIIAggCCAIIAggCCAIIAggCCAIIAggCCAIIAggCCAIIAggCFQIDAjICHgAC1gICAkcCBAIFAgYCBwIIAgkCCgILegAABAACDAINAggCCAIIAggCCAIIAggCCAIIAggCCAIIAggCCAIIAggCCAIVAgMCxwIeAALWAgICAwIEAgUCBgIHAggCCQI9AgsCDAINAggCCAIIAggCCAIIAggCCAIIAggCCAIIAggCCAIIAggCCAIVAgMCnQIeAALWAgICMwIEAgUCBgIHAggCCQKqAgsCDAINAggCCAIIAggCCAIIAggCCAIIAggCCAIIAggCCAIIAggCCAIVAgMCwwIeAALWAgICTAIEAgUCBgIHAggCCQI9AgsCDAINAggCCAIIAggCCAIIAggCCAIIAggCCAIIAggCCAIIAggCCAIVAgMCvgIeAALWAgICQwIEAgUCBgIHAggCCQI9AgsCDAINAggCCAIIAggCCAIIAggCCAIIAggCCAIIAggCCAIIAggCCAIVAgMCvwIeAALWAgICJQIEAgUCBgIHAggCCQKqAgsCDAINAggCCAIIAggCCAIIAggCCAIIAggCCAIIAggCCAIIAggCCAIVAgMCwAIeAALWAgICPwIEAgUCBgIHAggCCQIKAgsCDAINAggCCAIIAggCCAIIAggCCAIIAggCCAIIAggCCAIIAggCCAIVAgMC1QIeAALWAgICTAIEAgUCBgIHAggCCQIKAgsCDAINAggCCAIIAggCCAIIAggCCAIIAggCCAIIAggCCAIIAggCCAIVAgMCyAIeAALWAgICQQIEAgUCBgIHAggCCQKqAgsCDAINAggCCAIIAggCCAIIAggCCAIIAggCCAIIAggCCAIIAggCCAIVAgMCwQIeAALWAgICPwIEAgUCBgIHAggCCQKqAgsCDAINAggCCAIIAggCCAIIAggCCAIIAggCCAIIAggCCAIIAggCCAIVAgMC0gIeAALWAgICPAIEAgUCBgIHAggCCQI9AgsCDAINAggCCAIIAggCCAIIAggCCAIIAggCCAIIAggCCAIIAggCCAIVAgMCxQIeAALWAgICHwIEAgUCBgIHAggCCQI9AgsCDAINAggCCAIIAggCCAIIAggCCAIIAggCCAIIAggCCAIIAggCCAIVAgMCpgIeAALWAgICJwIEAgUCBgIHAggCCQKqAgsCDAINAggCCAIIAggCCAIIAggCCAIIAggCCAIIAggCCAIIAggCCAIVAgMCUAIeAALWAgICJwIEAgUCBgIHAggCCQIKAgsCDAINAggCCAIIAggCCAIIAggCCAIIAggCCAIIAggCCAIIAggCCAIVAgMCKAIeAALWAgICJQIEAgUCBgIHAggCCQIKAgsCDAINAggCCAIIAggCCAIIAggCCAIIAggCCAIIAggCCAIIAggCCAIVAgMCJgIeAALWAgICMQIEAgUCegAABAAGAgcCCAIJAj0CCwIMAg0CCAIIAggCCAIIAggCCAIIAggCCAIIAggCCAIIAggCCAIIAhUCAwKcAh4AAtYCAgJMAgQCBQIGAgcCCAIJAqoCCwIMAg0CCAIIAggCCAIIAggCCAIIAggCCAIIAggCCAIIAggCCAIIAhUCAwLRAh4AAtYCAgJKAgQCBQIGAgcCCAIJAqoCCwIMAg0CCAIIAggCCAIIAggCCAIIAggCCAIIAggCCAIIAggCCAIIAhUCAwK1Ah4AAtYCAgIDAgQCBQIGAgcCCAIJAgoCCwIMAg0CCAIIAggCCAIIAggCCAIIAggCCAIIAggCCAIIAggCCAIIAhUCAwIOAh4AAtYCAgIDAgQCBQIGAgcCCAIJAqoCCwIMAg0CCAIIAggCCAIIAggCCAIIAggCCAIIAggCCAIIAggCCAIIAhUCAwLQAh4AAtYCAgJHAgQCBQIGAgcCCAIJAj0CCwIMAg0CCAIIAggCCAIIAggCCAIIAggCCAIIAggCCAIIAggCCAIIAhUCAwLPAh4AAtYCAgIvAgQCBQIGAgcCCAIJAgoCCwIMAg0CCAIIAggCCAIIAggCCAIIAggCCAIIAggCCAIIAggCCAIIAhUCAwIwAh4AAtYCAgJhAgQCBQIGAgcCCAIJAgoCCwIMAg0CCAIIAggCCAIIAggCCAIIAggCCAIIAggCCAIIAggCCAIIAhUCAwK7Ah4AAtYCAgIhAgQCBQIGAgcCCAIJAqoCCwIMAg0CCAIIAggCCAIIAggCCAIIAggCCAIIAggCCAIIAggCCAIIAhUCAwLMAh4AAtYCAgJDAgQCBQIGAgcCCAIJAqoCCwIMAg0CCAIIAggCCAIIAggCCAIIAggCCAIIAggCCAIIAggCCAIIAhUCAwKzAh4AAtYCAgIdAgQCBQIGAgcCCAIJAj0CCwIMAg0CCAIIAggCCAIIAggCCAIIAggCCAIIAggCCAIIAggCCAIIAhUCAwKfAh4AAtYCAgJDAgQCBQIGAgcCCAIJAgoCCwIMAg0CCAIIAggCCAIIAggCCAIIAggCCAIIAggCCAIIAggCCAIIAhUCAwK2Ah4AAtYCAgJKAgQCBQIGAgcCCAIJAgoCCwIMAg0CCAIIAggCCAIIAggCCAIIAggCCAIIAggCCAIIAggCCAIIAhUCAwK0Ah4AAtYCAgIjAgQCBQIGAgcCCAIJAj0CCwIMAg0CCAIIAggCCAIIAggCCAIIAggCCAIIAggCCAIIAggCCAIIAhUCAwKYAh4AAtYCAgInAgQCBQIGAgcCCAIJAj0CCwIMAg0CCAIIAggCCAIIAggCCAIIAggCCAIIAggCCAIIAggCCAIIAhUCAwKgAh4AegAABAAC1gICAmMCBAIFAgYCBwIIAgkCPQILAgwCDQIIAggCCAIIAggCCAIIAggCCAIIAggCCAIIAggCCAIIAggCFQIDArgCHgAC1gICAj8CBAIFAgYCBwIIAgkCPQILAgwCDQIIAggCCAIIAggCCAIIAggCCAIIAggCCAIIAggCCAIIAggCFQIDAssCHgAC1gICAiECBAIFAgYCBwIIAgkCCgILAgwCDQIIAggCCAIIAggCCAIIAggCCAIIAggCCAIIAggCCAIIAggCFQIDAiICHgAC1wAJNDIxMjExNzM2AgICHQIEAgUCBgIHAggCCQIKAgsCDAINAggCCAIIAggCCAIIAggCCAIIAggCCAIIAggCCAIIAggCCAIXAgMCHgIeAALXAgICKwIEAgUCBgIHAggCCQIKAgsCDAINAggCCAIIAggCCAIIAggCCAIIAggCCAIIAggCCAIIAggCCAIXAgMCLAIeAALXAgICIQIEAgUCBgIHAggCCQI9AgsCDAINAggCCAIIAggCCAIIAggCCAIIAggCCAIIAggCCAIIAggCCAIXAgMCpQIeAALXAgICKwIEAgUCBgIHAggCCQKqAgsCDAINAggCCAIIAggCCAIIAggCCAIIAggCCAIIAggCCAIIAggCCAIXAgMCsQIeAALXAgICagIEAgUCBgIHAggCCQKqAgsCDAINAggCCAIIAggCCAIIAggCCAIIAggCCAIIAggCCAIIAggCCAIXAgMCsAIeAALXAgICagIEAgUCBgIHAggCCQIKAgsCDAINAggCCAIIAggCCAIIAggCCAIIAggCCAIIAggCCAIIAggCCAIXAgMCrwIeAALXAgICSgIEAgUCBgIHAggCCQI9AgsCDAINAggCCAIIAggCCAIIAggCCAIIAggCCAIIAggCCAIIAggCCAIXAgMCrQIeAALXAgICIwIEAgUCBgIHAggCCQIKAgsCDAINAggCCAIIAggCCAIIAggCCAIIAggCCAIIAggCCAIIAggCCAIXAgMCJAIeAALXAgICLQIEAgUCBgIHAggCCQI9AgsCDAINAggCCAIIAggCCAIIAggCCAIIAggCCAIIAggCCAIIAggCCAIXAgMCmgIeAALXAgICIwIEAgUCBgIHAggCCQKqAgsCDAINAggCCAIIAggCCAIIAggCCAIIAggCCAIIAggCCAIIAggCCAIXAgMCrAIeAALXAgICHQIEAgUCBgIHAggCCQKqAgsCDAINAggCCAIIAggCCAIIAggCCAIIAggCCAIIAggCCAIIAggCCAIXAgMCUAIeAALXAgICYwIEAgUCBgIHAggCCQKqAgsCDAINAggCCAIIAggCCAIIAggCCAIIAggCegAABAAIAggCCAIIAggCCAIIAhcCAwKrAh4AAtcCAgJjAgQCBQIGAgcCCAIJAgoCCwIMAg0CCAIIAggCCAIIAggCCAIIAggCCAIIAggCCAIIAggCCAIIAhcCAwLUAh4AAtcCAgJBAgQCBQIGAgcCCAIJAj0CCwIMAg0CCAIIAggCCAIIAggCCAIIAggCCAIIAggCCAIIAggCCAIIAhcCAwLNAh4AAtcCAgJqAgQCBQIGAgcCCAIJAj0CCwIMAg0CCAIIAggCCAIIAggCCAIIAggCCAIIAggCCAIIAggCCAIIAhcCAwLTAh4AAtcCAgIrAgQCBQIGAgcCCAIJAj0CCwIMAg0CCAIIAggCCAIIAggCCAIIAggCCAIIAggCCAIIAggCCAIIAhcCAwKiAh4AAtcCAgIlAgQCBQIGAgcCCAIJAj0CCwIMAg0CCAIIAggCCAIIAggCCAIIAggCCAIIAggCCAIIAggCCAIIAhcCAwKkAh4AAtcCAgIxAgQCBQIGAgcCCAIJAgoCCwIMAg0CCAIIAggCCAIIAggCCAIIAggCCAIIAggCCAIIAggCCAIIAhcCAwIyAh4AAtcCAgItAgQCBQIGAgcCCAIJAqoCCwIMAg0CCAIIAggCCAIIAggCCAIIAggCCAIIAggCCAIIAggCCAIIAhcCAwK5Ah4AAtcCAgI1AgQCBQIGAgcCCAIJAqoCCwIMAg0CCAIIAggCCAIIAggCCAIIAggCCAIIAggCCAIIAggCCAIIAhcCAwJQAh4AAtcCAgJTAgQCBQIGAgcCCAIJAqoCCwIMAg0CCAIIAggCCAIIAggCCAIIAggCCAIIAggCCAIIAggCCAIIAhcCAwK8Ah4AAtcCAgJHAgQCBQIGAgcCCAIJAgoCCwIMAg0CCAIIAggCCAIIAggCCAIIAggCCAIIAggCCAIIAggCCAIIAhcCAwLHAh4AAtcCAgJHAgQCBQIGAgcCCAIJAqoCCwIMAg0CCAIIAggCCAIIAggCCAIIAggCCAIIAggCCAIIAggCCAIIAhcCAwLJAh4AAtcCAgItAgQCBQIGAgcCCAIJAgoCCwIMAg0CCAIIAggCCAIIAggCCAIIAggCCAIIAggCCAIIAggCCAIIAhcCAwIuAh4AAtcCAgIfAgQCBQIGAgcCCAIJAgoCCwIMAg0CCAIIAggCCAIIAggCCAIIAggCCAIIAggCCAIIAggCCAIIAhcCAwIgAh4AAtcCAgI1AgQCBQIGAgcCCAIJAgoCCwIMAg0CCAIIAggCCAIIAggCCAIIAggCCAIIAggCCAIIAggCCAIIAhcCAwI2Ah4AAtcCAgIzAgQCBQIGAgcCCAIJAj0CCwIMAg0CCAIIAggCCAIIegAABAACCAIIAggCCAIIAggCCAIIAggCCAIIAggCFwIDApkCHgAC1wICAi8CBAIFAgYCBwIIAgkCPQILAgwCDQIIAggCCAIIAggCCAIIAggCCAIIAggCCAIIAggCCAIIAggCFwIDAqECHgAC1wICAh8CBAIFAgYCBwIIAgkCqgILAgwCDQIIAggCCAIIAggCCAIIAggCCAIIAggCCAIIAggCCAIIAggCFwIDArICHgAC1wICAjwCBAIFAgYCBwIIAgkCqgILAgwCDQIIAggCCAIIAggCCAIIAggCCAIIAggCCAIIAggCCAIIAggCFwIDArcCHgAC1wICAjwCBAIFAgYCBwIIAgkCCgILAgwCDQIIAggCCAIIAggCCAIIAggCCAIIAggCCAIIAggCCAIIAggCFwIDAs4CHgAC1wICAiUCBAIFAgYCBwIIAgkCqgILAgwCDQIIAggCCAIIAggCCAIIAggCCAIIAggCCAIIAggCCAIIAggCFwIDAsACHgAC1wICAkECBAIFAgYCBwIIAgkCqgILAgwCDQIIAggCCAIIAggCCAIIAggCCAIIAggCCAIIAggCCAIIAggCFwIDAsECHgAC1wICAicCBAIFAgYCBwIIAgkCCgILAgwCDQIIAggCCAIIAggCCAIIAggCCAIIAggCCAIIAggCCAIIAggCFwIDAigCHgAC1wICAkMCBAIFAgYCBwIIAgkCPQILAgwCDQIIAggCCAIIAggCCAIIAggCCAIIAggCCAIIAggCCAIIAggCFwIDAr8CHgAC1wICAh8CBAIFAgYCBwIIAgkCPQILAgwCDQIIAggCCAIIAggCCAIIAggCCAIIAggCCAIIAggCCAIIAggCFwIDAqYCHgAC1wICAmECBAIFAgYCBwIIAgkCPQILAgwCDQIIAggCCAIIAggCCAIIAggCCAIIAggCCAIIAggCCAIIAggCFwIDAsoCHgAC1wICAjMCBAIFAgYCBwIIAgkCqgILAgwCDQIIAggCCAIIAggCCAIIAggCCAIIAggCCAIIAggCCAIIAggCFwIDAsMCHgAC1wICAgMCBAIFAgYCBwIIAgkCCgILAgwCDQIIAggCCAIIAggCCAIIAggCCAIIAggCCAIIAggCCAIIAggCFwIDAg4CHgAC1wICAlMCBAIFAgYCBwIIAgkCCgILAgwCDQIIAggCCAIIAggCCAIIAggCCAIIAggCCAIIAggCCAIIAggCFwIDAroCHgAC1wICAkwCBAIFAgYCBwIIAgkCqgILAgwCDQIIAggCCAIIAggCCAIIAggCCAIIAggCCAIIAggCCAIIAggCFwIDAtECHgAC1wICAkwCBAIFAgYCBwIIAgkCCgILAgwCegAABAANAggCCAIIAggCCAIIAggCCAIIAggCCAIIAggCCAIIAggCCAIXAgMCyAIeAALXAgICMQIEAgUCBgIHAggCCQKqAgsCDAINAggCCAIIAggCCAIIAggCCAIIAggCCAIIAggCCAIIAggCCAIXAgMCxgIeAALXAgICMwIEAgUCBgIHAggCCQIKAgsCDAINAggCCAIIAggCCAIIAggCCAIIAggCCAIIAggCCAIIAggCCAIXAgMCNAIeAALXAgICUwIEAgUCBgIHAggCCQI9AgsCDAINAggCCAIIAggCCAIIAggCCAIIAggCCAIIAggCCAIIAggCCAIXAgMCxAIeAALXAgICTAIEAgUCBgIHAggCCQI9AgsCDAINAggCCAIIAggCCAIIAggCCAIIAggCCAIIAggCCAIIAggCCAIXAgMCvgIeAALXAgICAwIEAgUCBgIHAggCCQI9AgsCDAINAggCCAIIAggCCAIIAggCCAIIAggCCAIIAggCCAIIAggCCAIXAgMCnQIeAALXAgICNQIEAgUCBgIHAggCCQI9AgsCDAINAggCCAIIAggCCAIIAggCCAIIAggCCAIIAggCCAIIAggCCAIXAgMCngIeAALXAgICPwIEAgUCBgIHAggCCQKqAgsCDAINAggCCAIIAggCCAIIAggCCAIIAggCCAIIAggCCAIIAggCCAIXAgMC0gIeAALXAgICJwIEAgUCBgIHAggCCQKqAgsCDAINAggCCAIIAggCCAIIAggCCAIIAggCCAIIAggCCAIIAggCCAIXAgMCUAIeAALXAgICPAIEAgUCBgIHAggCCQI9AgsCDAINAggCCAIIAggCCAIIAggCCAIIAggCCAIIAggCCAIIAggCCAIXAgMCxQIeAALXAgICJQIEAgUCBgIHAggCCQIKAgsCDAINAggCCAIIAggCCAIIAggCCAIIAggCCAIIAggCCAIIAggCCAIXAgMCJgIeAALXAgICPwIEAgUCBgIHAggCCQIKAgsCDAINAggCCAIIAggCCAIIAggCCAIIAggCCAIIAggCCAIIAggCCAIXAgMC1QIeAALXAgICQQIEAgUCBgIHAggCCQIKAgsCDAINAggCCAIIAggCCAIIAggCCAIIAggCCAIIAggCCAIIAggCCAIXAgMCwgIeAALXAgICLwIEAgUCBgIHAggCCQIKAgsCDAINAggCCAIIAggCCAIIAggCCAIIAggCCAIIAggCCAIIAggCCAIXAgMCMAIeAALXAgICIQIEAgUCBgIHAggCCQIKAgsCDAINAggCCAIIAggCCAIIAggCCAIIAggCCAIIAggCCAIIAggCCAIXAgMCIgIeAALXAgICJwIEAgUCBgIHegAABAACCAIJAj0CCwIMAg0CCAIIAggCCAIIAggCCAIIAggCCAIIAggCCAIIAggCCAIIAhcCAwKgAh4AAtcCAgJhAgQCBQIGAgcCCAIJAqoCCwIMAg0CCAIIAggCCAIIAggCCAIIAggCCAIIAggCCAIIAggCCAIIAhcCAwKuAh4AAtcCAgIdAgQCBQIGAgcCCAIJAj0CCwIMAg0CCAIIAggCCAIIAggCCAIIAggCCAIIAggCCAIIAggCCAIIAhcCAwKfAh4AAtcCAgIvAgQCBQIGAgcCCAIJAqoCCwIMAg0CCAIIAggCCAIIAggCCAIIAggCCAIIAggCCAIIAggCCAIIAhcCAwK9Ah4AAtcCAgJhAgQCBQIGAgcCCAIJAgoCCwIMAg0CCAIIAggCCAIIAggCCAIIAggCCAIIAggCCAIIAggCCAIIAhcCAwK7Ah4AAtcCAgIxAgQCBQIGAgcCCAIJAj0CCwIMAg0CCAIIAggCCAIIAggCCAIIAggCCAIIAggCCAIIAggCCAIIAhcCAwKcAh4AAtcCAgJHAgQCBQIGAgcCCAIJAj0CCwIMAg0CCAIIAggCCAIIAggCCAIIAggCCAIIAggCCAIIAggCCAIIAhcCAwLPAh4AAtcCAgIDAgQCBQIGAgcCCAIJAqoCCwIMAg0CCAIIAggCCAIIAggCCAIIAggCCAIIAggCCAIIAggCCAIIAhcCAwLQAh4AAtcCAgIjAgQCBQIGAgcCCAIJAj0CCwIMAg0CCAIIAggCCAIIAggCCAIIAggCCAIIAggCCAIIAggCCAIIAhcCAwKYAh4AAtcCAgJjAgQCBQIGAgcCCAIJAj0CCwIMAg0CCAIIAggCCAIIAggCCAIIAggCCAIIAggCCAIIAggCCAIIAhcCAwK4Ah4AAtcCAgI/AgQCBQIGAgcCCAIJAj0CCwIMAg0CCAIIAggCCAIIAggCCAIIAggCCAIIAggCCAIIAggCCAIIAhcCAwLLAh4AAtcCAgIhAgQCBQIGAgcCCAIJAqoCCwIMAg0CCAIIAggCCAIIAggCCAIIAggCCAIIAggCCAIIAggCCAIIAhcCAwLMAh4AAtcCAgJDAgQCBQIGAgcCCAIJAqoCCwIMAg0CCAIIAggCCAIIAggCCAIIAggCCAIIAggCCAIIAggCCAIIAhcCAwKzAh4AAtcCAgJKAgQCBQIGAgcCCAIJAqoCCwIMAg0CCAIIAggCCAIIAggCCAIIAggCCAIIAggCCAIIAggCCAIIAhcCAwK1Ah4AAtcCAgJDAgQCBQIGAgcCCAIJAgoCCwIMAg0CCAIIAggCCAIIAggCCAIIAggCCAIIAggCCAIIAggCCAIIAhcCAwK2Ah4AAtcCegAABAACAkoCBAIFAgYCBwIIAgkCCgILAgwCDQIIAggCCAIIAggCCAIIAggCCAIIAggCCAIIAggCCAIIAggCFwIDArQCHgAC2AAJNDIxMjEwNTc2AgICRwIEAgUCBgIHAggCCQI9AgsCOQINAggCCAIIAggCCAIIAggCCAIIAggCCAIIAggCCAIIAggCCAIWAgMCiAIeAALYAgICIwIEAgUCBgIHAggCCQI4AgsCOQINAggCCAIIAggCCAIIAggCCAIIAggCCAIIAggCCAIIAggCCAIWAgMCXwIeAALYAgICLQIEAgUCBgIHAggCCQIKAgsCOQINAggCCAIIAggCCAIIAggCCAIIAggCCAIIAggCCAIIAggCCAIWAgMCXgIeAALYAgICSgIEAgUCBgIHAggCCQIKAgsCOQINAggCCAIIAggCCAIIAggCCAIIAggCCAIIAggCCAIIAggCCAIWAgMCiQIeAALYAgICIQIEAgUCBgIHAggCCQIKAgsCOQINAggCCAIIAggCCAIIAggCCAIIAggCCAIIAggCCAIIAggCCAIWAgMCfQIeAALYAgICIQIEAgUCBgIHAggCCQI9AgsCOQINAggCCAIIAggCCAIIAggCCAIIAggCCAIIAggCCAIIAggCCAIWAgMCbgIeAALYAgICYQIEAgUCBgIHAggCCQI4AgsCOQINAggCCAIIAggCCAIIAggCCAIIAggCCAIIAggCCAIIAggCCAIWAgMCbwIeAALYAgICJQIEAgUCBgIHAggCCQI9AgsCOQINAggCCAIIAggCCAIIAggCCAIIAggCCAIIAggCCAIIAggCCAIWAgMCWgIeAALYAgICagIEAgUCBgIHAggCCQI4AgsCOQINAggCCAIIAggCCAIIAggCCAIIAggCCAIIAggCCAIIAggCCAIWAgMChgIeAALYAgICKwIEAgUCBgIHAggCCQI4AgsCOQINAggCCAIIAggCCAIIAggCCAIIAggCCAIIAggCCAIIAggCCAIWAgMCfAIeAALYAgICMQIEAgUCBgIHAggCCQIKAgsCOQINAggCCAIIAggCCAIIAggCCAIIAggCCAIIAggCCAIIAggCCAIWAgMCTgIeAALYAgICTAIEAgUCBgIHAggCCQI9AgsCOQINAggCCAIIAggCCAIIAggCCAIIAggCCAIIAggCCAIIAggCCAIWAgMCTQIeAALYAgICQwIEAgUCBgIHAggCCQI4AgsCOQINAggCCAIIAggCCAIIAggCCAIIAggCCAIIAggCCAIIAggCCAIWAgMCewIeAALYAgICAwIEAgUCBgIHAggCCQI9AgsCOQINAggCCAIIAggCCAIIAggCCAIIAggCCAIIegAABAACCAIIAggCCAIIAhYCAwJJAh4AAtgCAgItAgQCBQIGAgcCCAIJAj0CCwI5Ag0CCAIIAggCCAIIAggCCAIIAggCCAIIAggCCAIIAggCCAIIAhYCAwJ3Ah4AAtgCAgI8AgQCBQIGAgcCCAIJAjgCCwI5Ag0CCAIIAggCCAIIAggCCAIIAggCCAIIAggCCAIIAggCCAIIAhYCAwJ4Ah4AAtgCAgJKAgQCBQIGAgcCCAIJAjgCCwI5Ag0CCAIIAggCCAIIAggCCAIIAggCCAIIAggCCAIIAggCCAIIAhYCAwJLAh4AAtgCAgJKAgQCBQIGAgcCCAIJAj0CCwI5Ag0CCAIIAggCCAIIAggCCAIIAggCCAIIAggCCAIIAggCCAIIAhYCAwJtAh4AAtgCAgJTAgQCBQIGAgcCCAIJAj0CCwI5Ag0CCAIIAggCCAIIAggCCAIIAggCCAIIAggCCAIIAggCCAIIAhYCAwJUAh4AAtgCAgIfAgQCBQIGAgcCCAIJAjgCCwI5Ag0CCAIIAggCCAIIAggCCAIIAggCCAIIAggCCAIIAggCCAIIAhYCAwJ1Ah4AAtgCAgJBAgQCBQIGAgcCCAIJAgoCCwI5Ag0CCAIIAggCCAIIAggCCAIIAggCCAIIAggCCAIIAggCCAIIAhYCAwJCAh4AAtgCAgJHAgQCBQIGAgcCCAIJAgoCCwI5Ag0CCAIIAggCCAIIAggCCAIIAggCCAIIAggCCAIIAggCCAIIAhYCAwJSAh4AAtgCAgIlAgQCBQIGAgcCCAIJAgoCCwI5Ag0CCAIIAggCCAIIAggCCAIIAggCCAIIAggCCAIIAggCCAIIAhYCAwJFAh4AAtgCAgIDAgQCBQIGAgcCCAIJAjgCCwI5Ag0CCAIIAggCCAIIAggCCAIIAggCCAIIAggCCAIIAggCCAIIAhYCAwJXAh4AAtgCAgJMAgQCBQIGAgcCCAIJAjgCCwI5Ag0CCAIIAggCCAIIAggCCAIIAggCCAIIAggCCAIIAggCCAIIAhYCAwJZAh4AAtgCAgIdAgQCBQIGAgcCCAIJAjgCCwI5Ag0CCAIIAggCCAIIAggCCAIIAggCCAIIAggCCAIIAggCCAIIAhYCAwJQAh4AAtgCAgInAgQCBQIGAgcCCAIJAjgCCwI5Ag0CCAIIAggCCAIIAggCCAIIAggCCAIIAggCCAIIAggCCAIIAhYCAwJQAh4AAtgCAgJBAgQCBQIGAgcCCAIJAj0CCwI5Ag0CCAIIAggCCAIIAggCCAIIAggCCAIIAggCCAIIAggCCAIIAhYCAwJWAh4AAtgCAgIrAgQCBQIGAgcCCAIJAgoCCwI5Ag0CCAIIAggCCAIIAggCegAABAAIAggCCAIIAggCCAIIAggCCAIIAggCFgIDAmkCHgAC2AICAmoCBAIFAgYCBwIIAgkCCgILAjkCDQIIAggCCAIIAggCCAIIAggCCAIIAggCCAIIAggCCAIIAggCFgIDAmsCHgAC2AICAmECBAIFAgYCBwIIAgkCPQILAjkCDQIIAggCCAIIAggCCAIIAggCCAIIAggCCAIIAggCCAIIAggCFgIDAmICHgAC2AICAjMCBAIFAgYCBwIIAgkCPQILAjkCDQIIAggCCAIIAggCCAIIAggCCAIIAggCCAIIAggCCAIIAggCFgIDAmYCHgAC2AICAj8CBAIFAgYCBwIIAgkCOAILAjkCDQIIAggCCAIIAggCCAIIAggCCAIIAggCCAIIAggCCAIIAggCFgIDAmcCHgAC2AICAmMCBAIFAgYCBwIIAgkCOAILAjkCDQIIAggCCAIIAggCCAIIAggCCAIIAggCCAIIAggCCAIIAggCFgIDAmQCHgAC2AICAi8CBAIFAgYCBwIIAgkCPQILAjkCDQIIAggCCAIIAggCCAIIAggCCAIIAggCCAIIAggCCAIIAggCFgIDAmUCHgAC2AICAh8CBAIFAgYCBwIIAgkCCgILAjkCDQIIAggCCAIIAggCCAIIAggCCAIIAggCCAIIAggCCAIIAggCFgIDAlgCHgAC2AICAjMCBAIFAgYCBwIIAgkCOAILAjkCDQIIAggCCAIIAggCCAIIAggCCAIIAggCCAIIAggCCAIIAggCFgIDAoECHgAC2AICAmMCBAIFAgYCBwIIAgkCPQILAjkCDQIIAggCCAIIAggCCAIIAggCCAIIAggCCAIIAggCCAIIAggCFgIDAoQCHgAC2AICAlMCBAIFAgYCBwIIAgkCCgILAjkCDQIIAggCCAIIAggCCAIIAggCCAIIAggCCAIIAggCCAIIAggCFgIDAlsCHgAC2AICAjUCBAIFAgYCBwIIAgkCCgILAjkCDQIIAggCCAIIAggCCAIIAggCCAIIAggCCAIIAggCCAIIAggCFgIDAlwCHgAC2AICAjwCBAIFAgYCBwIIAgkCCgILAjkCDQIIAggCCAIIAggCCAIIAggCCAIIAggCCAIIAggCCAIIAggCFgIDAmACHgAC2AICAjECBAIFAgYCBwIIAgkCOAILAjkCDQIIAggCCAIIAggCCAIIAggCCAIIAggCCAIIAggCCAIIAggCFgIDAl0CHgAC2AICAkcCBAIFAgYCBwIIAgkCOAILAjkCDQIIAggCCAIIAggCCAIIAggCCAIIAggCCAIIAggCCAIIAggCFgIDAkgCHgAC2AICAiMCBAIFAgYCBwIIAgkCPQILAjkCDQIIegAABAACCAIIAggCCAIIAggCCAIIAggCCAIIAggCCAIIAggCCAIWAgMChQIeAALYAgICYQIEAgUCBgIHAggCCQIKAgsCOQINAggCCAIIAggCCAIIAggCCAIIAggCCAIIAggCCAIIAggCCAIWAgMCgAIeAALYAgICQwIEAgUCBgIHAggCCQI9AgsCOQINAggCCAIIAggCCAIIAggCCAIIAggCCAIIAggCCAIIAggCCAIWAgMCRAIeAALYAgICLwIEAgUCBgIHAggCCQIKAgsCOQINAggCCAIIAggCCAIIAggCCAIIAggCCAIIAggCCAIIAggCCAIWAgMCeQIeAALYAgICagIEAgUCBgIHAggCCQI9AgsCOQINAggCCAIIAggCCAIIAggCCAIIAggCCAIIAggCCAIIAggCCAIWAgMCegIeAALYAgICIQIEAgUCBgIHAggCCQI4AgsCOQINAggCCAIIAggCCAIIAggCCAIIAggCCAIIAggCCAIIAggCCAIWAgMCOgIeAALYAgICPwIEAgUCBgIHAggCCQIKAgsCOQINAggCCAIIAggCCAIIAggCCAIIAggCCAIIAggCCAIIAggCCAIWAgMCQAIeAALYAgICJwIEAgUCBgIHAggCCQIKAgsCOQINAggCCAIIAggCCAIIAggCCAIIAggCCAIIAggCCAIIAggCCAIWAgMCOwIeAALYAgICNQIEAgUCBgIHAggCCQI9AgsCOQINAggCCAIIAggCCAIIAggCCAIIAggCCAIIAggCCAIIAggCCAIWAgMCVQIeAALYAgICKwIEAgUCBgIHAggCCQI9AgsCOQINAggCCAIIAggCCAIIAggCCAIIAggCCAIIAggCCAIIAggCCAIWAgMCdgIeAALYAgICMwIEAgUCBgIHAggCCQIKAgsCOQINAggCCAIIAggCCAIIAggCCAIIAggCCAIIAggCCAIIAggCCAIWAgMCTwIeAALYAgICLQIEAgUCBgIHAggCCQI4AgsCOQINAggCCAIIAggCCAIIAggCCAIIAggCCAIIAggCCAIIAggCCAIWAgMCUQIeAALYAgICIwIEAgUCBgIHAggCCQIKAgsCOQINAggCCAIIAggCCAIIAggCCAIIAggCCAIIAggCCAIIAggCCAIWAgMCcgIeAALYAgICNQIEAgUCBgIHAggCCQI4AgsCOQINAggCCAIIAggCCAIIAggCCAIIAggCCAIIAggCCAIIAggCCAIWAgMCUAIeAALYAgICYwIEAgUCBgIHAggCCQIKAgsCOQINAggCCAIIAggCCAIIAggCCAIIAggCCAIIAggCCAIIAggCCAIWAgMCcwIeAALYAgICPAIEAgUCBgIHAggCegAABAAJAj0CCwI5Ag0CCAIIAggCCAIIAggCCAIIAggCCAIIAggCCAIIAggCCAIIAhYCAwI+Ah4AAtgCAgIdAgQCBQIGAgcCCAIJAj0CCwI5Ag0CCAIIAggCCAIIAggCCAIIAggCCAIIAggCCAIIAggCCAIIAhYCAwKCAh4AAtgCAgJTAgQCBQIGAgcCCAIJAjgCCwI5Ag0CCAIIAggCCAIIAggCCAIIAggCCAIIAggCCAIIAggCCAIIAhYCAwJwAh4AAtgCAgInAgQCBQIGAgcCCAIJAj0CCwI5Ag0CCAIIAggCCAIIAggCCAIIAggCCAIIAggCCAIIAggCCAIIAhYCAwKHAh4AAtgCAgIdAgQCBQIGAgcCCAIJAgoCCwI5Ag0CCAIIAggCCAIIAggCCAIIAggCCAIIAggCCAIIAggCCAIIAhYCAwJxAh4AAtgCAgIfAgQCBQIGAgcCCAIJAj0CCwI5Ag0CCAIIAggCCAIIAggCCAIIAggCCAIIAggCCAIIAggCCAIIAhYCAwJGAh4AAtgCAgIvAgQCBQIGAgcCCAIJAjgCCwI5Ag0CCAIIAggCCAIIAggCCAIIAggCCAIIAggCCAIIAggCCAIIAhYCAwJsAh4AAtgCAgI/AgQCBQIGAgcCCAIJAj0CCwI5Ag0CCAIIAggCCAIIAggCCAIIAggCCAIIAggCCAIIAggCCAIIAhYCAwKDAh4AAtgCAgIDAgQCBQIGAgcCCAIJAgoCCwI5Ag0CCAIIAggCCAIIAggCCAIIAggCCAIIAggCCAIIAggCCAIIAhYCAwKLAh4AAtgCAgJMAgQCBQIGAgcCCAIJAgoCCwI5Ag0CCAIIAggCCAIIAggCCAIIAggCCAIIAggCCAIIAggCCAIIAhYCAwKKAh4AAtgCAgJDAgQCBQIGAgcCCAIJAgoCCwI5Ag0CCAIIAggCCAIIAggCCAIIAggCCAIIAggCCAIIAggCCAIIAhYCAwJ/Ah4AAtgCAgIlAgQCBQIGAgcCCAIJAjgCCwI5Ag0CCAIIAggCCAIIAggCCAIIAggCCAIIAggCCAIIAggCCAIIAhYCAwJ+Ah4AAtgCAgJBAgQCBQIGAgcCCAIJAjgCCwI5Ag0CCAIIAggCCAIIAggCCAIIAggCCAIIAggCCAIIAggCCAIIAhYCAwKMAh4AAtgCAgIxAgQCBQIGAgcCCAIJAj0CCwI5Ag0CCAIIAggCCAIIAggCCAIIAggCCAIIAggCCAIIAggCCAIIAhYCAwKNAh4AAtkACTMzMDU2Mjg0MAICAh8CBAIFAgYCBwIIAgkCqgILAgwCDQIIAggCCAIIAggCCAIIAggCCAIIAggCCAIIAggCCAIIAggAAgMCegAABACyAh4AAtkCAgI8AgQCBQIGAgcCCAIJAqoCCwIMAg0CCAIIAggCCAIIAggCCAIIAggCCAIIAggCCAIIAggCCAIIAAIDArcCHgAC2QICAkMCBAIFAgYCBwIIAgkCCgILAgwCDQIIAggCCAIIAggCCAIIAggCCAIIAggCCAIIAggCCAIIAggAAgMCtgIeAALZAgICLwIEAgUCBgIHAggCCQIKAgsCDAINAggCCAIIAggCCAIIAggCCAIIAggCCAIIAggCCAIIAggCCAACAwIwAh4AAtkCAgJjAgQCBQIGAgcCCAIJAj0CCwIMAg0CCAIIAggCCAIIAggCCAIIAggCCAIIAggCCAIIAggCCAIIAAIDArgCHgAC2QICAmoCBAIFAgYCBwIIAgkCPQILAgwCDQIIAggCCAIIAggCCAIIAggCCAIIAggCCAIIAggCCAIIAggAAgMC0wIeAALZAgICKwIEAgUCBgIHAggCCQI9AgsCDAINAggCCAIIAggCCAIIAggCCAIIAggCCAIIAggCCAIIAggCCAACAwKiAh4AAtkCAgJDAgQCBQIGAgcCCAIJAqoCCwIMAg0CCAIIAggCCAIIAggCCAIIAggCCAIIAggCCAIIAggCCAIIAAIDArMCHgAC2QICAjwCBAIFAgYCBwIIAgkCCgILAgwCDQIIAggCCAIIAggCCAIIAggCCAIIAggCCAIIAggCCAIIAggAAgMCzgIeAALZAgICLwIEAgUCBgIHAggCCQKqAgsCDAINAggCCAIIAggCCAIIAggCCAIIAggCCAIIAggCCAIIAggCCAACAwK9Ah4AAtkCAgIfAgQCBQIGAgcCCAIJAgoCCwIMAg0CCAIIAggCCAIIAggCCAIIAggCCAIIAggCCAIIAggCCAIIAAIDAiACHgAC2QICAiMCBAIFAgYCBwIIAgkCPQILAgwCDQIIAggCCAIIAggCCAIIAggCCAIIAggCCAIIAggCCAIIAggAAgMCmAIeAALZAgICYQIEAgUCBgIHAggCCQIKAgsCDAINAggCCAIIAggCCAIIAggCCAIIAggCCAIIAggCCAIIAggCCAACAwK7Ah4AAtkCAgJhAgQCBQIGAgcCCAIJAqoCCwIMAg0CCAIIAggCCAIIAggCCAIIAggCCAIIAggCCAIIAggCCAIIAAIDAq4CHgAC2QICAh0CBAIFAgYCBwIIAgkCPQILAgwCDQIIAggCCAIIAggCCAIIAggCCAIIAggCCAIIAggCCAIIAggAAgMCnwIeAALZAgICagIEAgUCBgIHAggCCQIKAgsCDAINAggCCAIIAggCCAIIAggCCAIIAggCCAIIAggCCAIIAggCCAACAwKvAh4AegAABAAC2QICAiUCBAIFAgYCBwIIAgkCqgILAgwCDQIIAggCCAIIAggCCAIIAggCCAIIAggCCAIIAggCCAIIAggAAgMCwAIeAALZAgICJQIEAgUCBgIHAggCCQIKAgsCDAINAggCCAIIAggCCAIIAggCCAIIAggCCAIIAggCCAIIAggCCAACAwImAh4AAtkCAgIzAgQCBQIGAgcCCAIJAqoCCwIMAg0CCAIIAggCCAIIAggCCAIIAggCCAIIAggCCAIIAggCCAIIAAIDAsMCHgAC2QICAisCBAIFAgYCBwIIAgkCCgILAgwCDQIIAggCCAIIAggCCAIIAggCCAIIAggCCAIIAggCCAIIAggAAgMCLAIeAALZAgICQwIEAgUCBgIHAggCCQI9AgsCDAINAggCCAIIAggCCAIIAggCCAIIAggCCAIIAggCCAIIAggCCAACAwK/Ah4AAtkCAgJBAgQCBQIGAgcCCAIJAgoCCwIMAg0CCAIIAggCCAIIAggCCAIIAggCCAIIAggCCAIIAggCCAIIAAIDAsICHgAC2QICAi8CBAIFAgYCBwIIAgkCPQILAgwCDQIIAggCCAIIAggCCAIIAggCCAIIAggCCAIIAggCCAIIAggAAgMCoQIeAALZAgICQQIEAgUCBgIHAggCCQKqAgsCDAINAggCCAIIAggCCAIIAggCCAIIAggCCAIIAggCCAIIAggCCAACAwLBAh4AAtkCAgIpAgQCBQIGAgcCCAIJAgoCCwIMAg0CCAIIAggCCAIIAggCCAIIAggCCAIIAggCCAIIAggCCAIIAAIDAioCHgAC2QICAlMCBAIFAgYCBwIIAgkCCgILAgwCDQIIAggCCAIIAggCCAIIAggCCAIIAggCCAIIAggCCAIIAggAAgMCugIeAALZAgICYQIEAgUCBgIHAggCCQI9AgsCDAINAggCCAIIAggCCAIIAggCCAIIAggCCAIIAggCCAIIAggCCAACAwLKAh4AAtkCAgItAgQCBQIGAgcCCAIJAgoCCwIMAg0CCAIIAggCCAIIAggCCAIIAggCCAIIAggCCAIIAggCCAIIAAIDAi4CHgAC2QICAisCBAIFAgYCBwIIAgkCqgILAgwCDQIIAggCCAIIAggCCAIIAggCCAIIAggCCAIIAggCCAIIAggAAgMCsQIeAALZAgICSgIEAgUCBgIHAggCCQI9AgsCDAINAggCCAIIAggCCAIIAggCCAIIAggCCAIIAggCCAIIAggCCAACAwKtAh4AAtkCAgI1AgQCBQIGAgcCCAIJAgoCCwIMAg0CCAIIAggCCAIIAggCCAIIAggCCAIIAggCCAIIAggCCAIIAAIDAjYCHgAC2QICegAABAACGwIEAgUCBgIHAggCCQI9AgsCDAINAggCCAIIAggCCAIIAggCCAIIAggCCAIIAggCCAIIAggCCAACAwKjAh4AAtkCAgI1AgQCBQIGAgcCCAIJAqoCCwIMAg0CCAIIAggCCAIIAggCCAIIAggCCAIIAggCCAIIAggCCAIIAAIDAlACHgAC2QICAlMCBAIFAgYCBwIIAgkCqgILAgwCDQIIAggCCAIIAggCCAIIAggCCAIIAggCCAIIAggCCAIIAggAAgMCvAIeAALZAgICagIEAgUCBgIHAggCCQKqAgsCDAINAggCCAIIAggCCAIIAggCCAIIAggCCAIIAggCCAIIAggCCAACAwKwAh4AAtkCAgIhAgQCBQIGAgcCCAIJAj0CCwIMAg0CCAIIAggCCAIIAggCCAIIAggCCAIIAggCCAIIAggCCAIIAAIDAqUCHgAC2QICAhsCBAIFAgYCBwIIAgkCCgILAgwCDQIIAggCCAIIAggCCAIIAggCCAIIAggCCAIIAggCCAIIAggAAgMCHAIeAALZAgICIQIEAgUCBgIHAggCCQIKAgsCDAINAggCCAIIAggCCAIIAggCCAIIAggCCAIIAggCCAIIAggCCAACAwIiAh4AAtkCAgIlAgQCBQIGAgcCCAIJAj0CCwIMAg0CCAIIAggCCAIIAggCCAIIAggCCAIIAggCCAIIAggCCAIIAAIDAqQCHgAC2QICAi0CBAIFAgYCBwIIAgkCqgILAgwCDQIIAggCCAIIAggCCAIIAggCCAIIAggCCAIIAggCCAIIAggAAgMCuQIeAALZAgICQQIEAgUCBgIHAggCCQI9AgsCDAINAggCCAIIAggCCAIIAggCCAIIAggCCAIIAggCCAIIAggCCAACAwLNAh4AAtkCAgIhAgQCBQIGAgcCCAIJAqoCCwIMAg0CCAIIAggCCAIIAggCCAIIAggCCAIIAggCCAIIAggCCAIIAAIDAswCHgAC2QICAkoCBAIFAgYCBwIIAgkCqgILAgwCDQIIAggCCAIIAggCCAIIAggCCAIIAggCCAIIAggCCAIIAggAAgMCtQIeAALZAgICKQIEAgUCBgIHAggCCQKqAgsCDAINAggCCAIIAggCCAIIAggCCAIIAggCCAIIAggCCAIIAggCCAACAwJQAh4AAtkCAgIzAgQCBQIGAgcCCAIJAj0CCwIMAg0CCAIIAggCCAIIAggCCAIIAggCCAIIAggCCAIIAggCCAIIAAIDApkCHgAC2QICAjECBAIFAgYCBwIIAgkCPQILAgwCDQIIAggCCAIIAggCCAIIAggCCAIIAggCCAIIAggCCAIIAggAAgMCnAIeAALZAgICkgIEdzkCBQIGAgcCCAIJAj0CCwIMAg0CCAIIAggCCAIIAggCCAIIAggCCAIIAggCCAIIAggCCAIIAAIDAtpzcQB+AAAAAAACc3EAfgAE///////////////+/////v////91cQB+AAcAAAAEATJrz3h4d8wCHgAC2QICAkwCBAIFAgYCBwIIAgkCPQILAgwCDQIIAggCCAIIAggCCAIIAggCCAIIAggCCAIIAggCCAIIAggAAgMCvgIeAALZAgICAwIEAgUCBgIHAggCCQI9AgsCDAINAggCCAIIAggCCAIIAggCCAIIAggCCAIIAggCCAIIAggCCAACAwKdAh4AAtkCAgKSAgQCBQIGAgcCCAIJAgoCCwIMAg0CCAIIAggCCAIIAggCCAIIAggCCAIIAggCCAIIAggCCAIIAAIDAttzcQB+AAAAAAACc3EAfgAE///////////////+/////v////91cQB+AAcAAAAELvQU/3h4egAABAACHgAC2QICAkcCBAIFAgYCBwIIAgkCCgILAgwCDQIIAggCCAIIAggCCAIIAggCCAIIAggCCAIIAggCCAIIAggAAgMCxwIeAALZAgICSgIEAgUCBgIHAggCCQIKAgsCDAINAggCCAIIAggCCAIIAggCCAIIAggCCAIIAggCCAIIAggCCAACAwK0Ah4AAtkCAgIxAgQCBQIGAgcCCAIJAgoCCwIMAg0CCAIIAggCCAIIAggCCAIIAggCCAIIAggCCAIIAggCCAIIAAIDAjICHgAC2QICAjECBAIFAgYCBwIIAgkCqgILAgwCDQIIAggCCAIIAggCCAIIAggCCAIIAggCCAIIAggCCAIIAggAAgMCxgIeAALZAgICMwIEAgUCBgIHAggCCQIKAgsCDAINAggCCAIIAggCCAIIAggCCAIIAggCCAIIAggCCAIIAggCCAACAwI0Ah4AAtkCAgJTAgQCBQIGAgcCCAIJAj0CCwIMAg0CCAIIAggCCAIIAggCCAIIAggCCAIIAggCCAIIAggCCAIIAAIDAsQCHgAC2QICAj8CBAIFAgYCBwIIAgkCPQILAgwCDQIIAggCCAIIAggCCAIIAggCCAIIAggCCAIIAggCCAIIAggAAgMCywIeAALZAgICGwIEAgUCBgIHAggCCQKqAgsCDAINAggCCAIIAggCCAIIAggCCAIIAggCCAIIAggCCAIIAggCCAACAwJQAh4AAtkCAgJHAgQCBQIGAgcCCAIJAqoCCwIMAg0CCAIIAggCCAIIAggCCAIIAggCCAIIAggCCAIIAggCCAIIAAIDAskCHgAC2QICAicCBAIFAgYCBwIIAgkCPQILAgwCDQIIAggCCAIIAggCCAIIAggCCAIIAggCCAIIAggCCAIIAggAAgMCoAIeAALZAgICHwIEAgUCBgIHAggCCQI9AgsCDAINAggCCAIIAggCCAIIAggCCAIIAggCCAIIAggCCAIIAggCCAACAwKmAh4AAtkCAgI/AgQCBQIGAgcCCAIJAgoCCwIMAg0CCAIIAggCCAIIAggCCAIIAggCCAIIAggCCAIIAggCCAIIAAIDAtUCHgAC2QICAiMCBAIFAgYCBwIIAgkCqgILAgwCDQIIAggCCAIIAggCCAIIAggCCAIIAggCCAIIAggCCAIIAggAAgMCrAIeAALZAgICPAIEAgUCBgIHAggCCQI9AgsCDAINAggCCAIIAggCCAIIAggCCAIIAggCCAIIAggCCAIIAggCCAACAwLFAh4AAtkCAgInAgQCBQIGAgcCCAIJAgoCCwIMAg0CCAIIAggCCAIIAggCCAIIAggCCAIIAggCCAIIAggCCAIIAAIDAigCHgACegAABADZAgICLQIEAgUCBgIHAggCCQI9AgsCDAINAggCCAIIAggCCAIIAggCCAIIAggCCAIIAggCCAIIAggCCAACAwKaAh4AAtkCAgI1AgQCBQIGAgcCCAIJAj0CCwIMAg0CCAIIAggCCAIIAggCCAIIAggCCAIIAggCCAIIAggCCAIIAAIDAp4CHgAC2QICAikCBAIFAgYCBwIIAgkCPQILAgwCDQIIAggCCAIIAggCCAIIAggCCAIIAggCCAIIAggCCAIIAggAAgMCmwIeAALZAgICkgIEAgUCBgIHAggCCQKqAgsCDAINAggCCAIIAggCCAIIAggCCAIIAggCCAIIAggCCAIIAggCCAACAwJQAh4AAtkCAgI/AgQCBQIGAgcCCAIJAqoCCwIMAg0CCAIIAggCCAIIAggCCAIIAggCCAIIAggCCAIIAggCCAIIAAIDAtICHgAC2QICAmMCBAIFAgYCBwIIAgkCqgILAgwCDQIIAggCCAIIAggCCAIIAggCCAIIAggCCAIIAggCCAIIAggAAgMCqwIeAALZAgICTAIEAgUCBgIHAggCCQKqAgsCDAINAggCCAIIAggCCAIIAggCCAIIAggCCAIIAggCCAIIAggCCAACAwLRAh4AAtkCAgJjAgQCBQIGAgcCCAIJAgoCCwIMAg0CCAIIAggCCAIIAggCCAIIAggCCAIIAggCCAIIAggCCAIIAAIDAtQCHgAC2QICAh0CBAIFAgYCBwIIAgkCqgILAgwCDQIIAggCCAIIAggCCAIIAggCCAIIAggCCAIIAggCCAIIAggAAgMCUAIeAALZAgICRwIEAgUCBgIHAggCCQI9AgsCDAINAggCCAIIAggCCAIIAggCCAIIAggCCAIIAggCCAIIAggCCAACAwLPAh4AAtkCAgIjAgQCBQIGAgcCCAIJAgoCCwIMAg0CCAIIAggCCAIIAggCCAIIAggCCAIIAggCCAIIAggCCAIIAAIDAiQCHgAC2QICAicCBAIFAgYCBwIIAgkCqgILAgwCDQIIAggCCAIIAggCCAIIAggCCAIIAggCCAIIAggCCAIIAggAAgMCUAIeAALZAgICAwIEAgUCBgIHAggCCQIKAgsCDAINAggCCAIIAggCCAIIAggCCAIIAggCCAIIAggCCAIIAggCCAACAwIOAh4AAtkCAgIDAgQCBQIGAgcCCAIJAqoCCwIMAg0CCAIIAggCCAIIAggCCAIIAggCCAIIAggCCAIIAggCCAIIAAIDAtACHgAC2QICAkwCBAIFAgYCBwIIAgkCCgILAgwCDQIIAggCCAIIAggCCAIIAggCCAIIAggCCAIIAggCCAIIAggAAgMCyAIeAALZAgICegAABAAdAgQCBQIGAgcCCAIJAgoCCwIMAg0CCAIIAggCCAIIAggCCAIIAggCCAIIAggCCAIIAggCCAIIAAIDAh4CHgAC3AAJMzE2Nzg1MjgwAgICLwIEAgUCBgIHAggCCQI9AgsCOQINAggCCAIIAggCCAIIAggCCAIIAggCCAIIAggCCAIIAggCCAIgAgMCZQIeAALcAgICHQIEAgUCBgIHAggCCQI9AgsCOQINAggCCAIIAggCCAIIAggCCAIIAggCCAIIAggCCAIIAggCCAIgAgMCggIeAALcAgICKwIEAgUCBgIHAggCCQI9AgsCOQINAggCCAIIAggCCAIIAggCCAIIAggCCAIIAggCCAIIAggCCAIgAgMCdgIeAALcAgICAwIEAgUCBgIHAggCCQI9AgsCOQINAggCCAIIAggCCAIIAggCCAIIAggCCAIIAggCCAIIAggCCAIgAgMCSQIeAALcAgICIQIEAgUCBgIHAggCCQI9AgsCOQINAggCCAIIAggCCAIIAggCCAIIAggCCAIIAggCCAIIAggCCAIgAgMCbgIeAALcAgICJwIEAgUCBgIHAggCCQI9AgsCOQINAggCCAIIAggCCAIIAggCCAIIAggCCAIIAggCCAIIAggCCAIgAgMChwIeAALcAgICGwIEAgUCBgIHAggCCQI9AgsCOQINAggCCAIIAggCCAIIAggCCAIIAggCCAIIAggCCAIIAggCCAIgAgMCkwIeAALcAgICMwIEAgUCBgIHAggCCQI9AgsCOQINAggCCAIIAggCCAIIAggCCAIIAggCCAIIAggCCAIIAggCCAIgAgMCZgIeAALcAgICLQIEAgUCBgIHAggCCQI9AgsCOQINAggCCAIIAggCCAIIAggCCAIIAggCCAIIAggCCAIIAggCCAIgAgMCdwIeAALcAgICHwIEAgUCBgIHAggCCQI9AgsCOQINAggCCAIIAggCCAIIAggCCAIIAggCCAIIAggCCAIIAggCCAIgAgMCRgIeAALcAgICJQIEAgUCBgIHAggCCQI9AgsCOQINAggCCAIIAggCCAIIAggCCAIIAggCCAIIAggCCAIIAggCCAIgAgMCWgIeAALcAgICIwIEAgUCBgIHAggCCQI9AgsCOQINAggCCAIIAggCCAIIAggCCAIIAggCCAIIAggCCAIIAggCCAIgAgMChQIeAALcAgICNQIEAgUCBgIHAggCCQI9AgsCOQINAggCCAIIAggCCAIIAggCCAIIAggCCAIIAggCCAIIAggCCAIgAgMCVQIeAALcAgICMQIEAgUCBgIHAggCCQI9AgsCOQINAggCCAIIAggCCAIIAggCCAIIAggCCAIIAggCegAABAAIAggCCAIIAiACAwKNAh4AAtwCAgIpAgQCBQIGAgcCCAIJAj0CCwI5Ag0CCAIIAggCCAIIAggCCAIIAggCCAIIAggCCAIIAggCCAIIAiACAwJ0Ah4AAt0ACTMzMDU1OTM2MAICAicCBAIFAgYCBwIIAgkCOAILAjkCDQIIAggCCAIIAggCCAIIAggCCAIIAggCCAIIAggCCAIIAggCEAIDAlACHgAC3QICAj8CBAIFAgYCBwIIAgkCOAILAjkCDQIIAggCCAIIAggCCAIIAggCCAIIAggCCAIIAggCCAIIAggCEAIDAmcCHgAC3QICAmECBAIFAgYCBwIIAgkCCgILAjkCDQIIAggCCAIIAggCCAIIAggCCAIIAggCCAIIAggCCAIIAggCEAIDAoACHgAC3QICAmoCBAIFAgYCBwIIAgkCPQILAjkCDQIIAggCCAIIAggCCAIIAggCCAIIAggCCAIIAggCCAIIAggCEAIDAnoCHgAC3QICAi8CBAIFAgYCBwIIAgkCCgILAjkCDQIIAggCCAIIAggCCAIIAggCCAIIAggCCAIIAggCCAIIAggCEAIDAnkCHgAC3QICAt4ABjIwMTgwNQIEAgUCBgIHAggCCQI4AgsCOQINAggCCAIIAggCCAIIAggCCAIIAggCCAIIAggCCAIIAggCCAIQAgMCUAIeAALdAgICJQIEAgUCBgIHAggCCQI4AgsCOQINAggCCAIIAggCCAIIAggCCAIIAggCCAIIAggCCAIIAggCCAIQAgMCfgIeAALdAgICQwIEAgUCBgIHAggCCQIKAgsCOQINAggCCAIIAggCCAIIAggCCAIIAggCCAIIAggCCAIIAggCCAIQAgMCfwIeAALdAgICKwIEAgUCBgIHAggCCQI9AgsCOQINAggCCAIIAggCCAIIAggCCAIIAggCCAIIAggCCAIIAggCCAIQAgMCdgIeAALdAgICQQIEAgUCBgIHAggCCQI4AgsCOQINAggCCAIIAggCCAIIAggCCAIIAggCCAIIAggCCAIIAggCCAIQAgMCjAIeAALdAgICUwIEAgUCBgIHAggCCQI4AgsCOQINAggCCAIIAggCCAIIAggCCAIIAggCCAIIAggCCAIIAggCCAIQAgMCcAIeAALdAgICNQIEAgUCBgIHAggCCQI4AgsCOQINAggCCAIIAggCCAIIAggCCAIIAggCCAIIAggCCAIIAggCCAIQAgMCUAIeAALdAgICPAIEAgUCBgIHAggCCQIKAgsCOQINAggCCAIIAggCCAIIAggCCAIIAggCCAIIAggCCAIIAggCCAIQAgMCYAIeAALdAgICHwIEAgUCBgIHAggCCQIKAgsCegAABAA5Ag0CCAIIAggCCAIIAggCCAIIAggCCAIIAggCCAIIAggCCAIIAhACAwJYAh4AAt0CAgIdAgQCBQIGAgcCCAIJAj0CCwI5Ag0CCAIIAggCCAIIAggCCAIIAggCCAIIAggCCAIIAggCCAIIAhACAwKCAh4AAt0CAgJMAgQCBQIGAgcCCAIJAjgCCwI5Ag0CCAIIAggCCAIIAggCCAIIAggCCAIIAggCCAIIAggCCAIIAhACAwJZAh4AAt0CAgIDAgQCBQIGAgcCCAIJAjgCCwI5Ag0CCAIIAggCCAIIAggCCAIIAggCCAIIAggCCAIIAggCCAIIAhACAwJXAh4AAt0CAgIjAgQCBQIGAgcCCAIJAj0CCwI5Ag0CCAIIAggCCAIIAggCCAIIAggCCAIIAggCCAIIAggCCAIIAhACAwKFAh4AAt0CAgJjAgQCBQIGAgcCCAIJAj0CCwI5Ag0CCAIIAggCCAIIAggCCAIIAggCCAIIAggCCAIIAggCCAIIAhACAwKEAh4AAt0CAgJqAgQCBQIGAgcCCAIJAgoCCwI5Ag0CCAIIAggCCAIIAggCCAIIAggCCAIIAggCCAIIAggCCAIIAhACAwJrAh4AAt0CAgIrAgQCBQIGAgcCCAIJAgoCCwI5Ag0CCAIIAggCCAIIAggCCAIIAggCCAIIAggCCAIIAggCCAIIAhACAwJpAh4AAt0CAgJDAgQCBQIGAgcCCAIJAj0CCwI5Ag0CCAIIAggCCAIIAggCCAIIAggCCAIIAggCCAIIAggCCAIIAhACAwJEAh4AAt0CAgJBAgQCBQIGAgcCCAIJAgoCCwI5Ag0CCAIIAggCCAIIAggCCAIIAggCCAIIAggCCAIIAggCCAIIAhACAwJCAh4AAt0CAgJhAgQCBQIGAgcCCAIJAj0CCwI5Ag0CCAIIAggCCAIIAggCCAIIAggCCAIIAggCCAIIAggCCAIIAhACAwJiAh4AAt0CAgIvAgQCBQIGAgcCCAIJAj0CCwI5Ag0CCAIIAggCCAIIAggCCAIIAggCCAIIAggCCAIIAggCCAIIAhACAwJlAh4AAt0CAgIfAgQCBQIGAgcCCAIJAjgCCwI5Ag0CCAIIAggCCAIIAggCCAIIAggCCAIIAggCCAIIAggCCAIIAhACAwJ1Ah4AAt0CAgI8AgQCBQIGAgcCCAIJAjgCCwI5Ag0CCAIIAggCCAIIAggCCAIIAggCCAIIAggCCAIIAggCCAIIAhACAwJ4Ah4AAt0CAgJjAgQCBQIGAgcCCAIJAjgCCwI5Ag0CCAIIAggCCAIIAggCCAIIAggCCAIIAggCCAIIAggCCAIIAhACAwJkAh4AAt0CAgIpAgQCBQIGegAABAACBwIIAgkCCgILAjkCDQIIAggCCAIIAggCCAIIAggCCAIIAggCCAIIAggCCAIIAggCEAIDAmgCHgAC3QICAlMCBAIFAgYCBwIIAgkCCgILAjkCDQIIAggCCAIIAggCCAIIAggCCAIIAggCCAIIAggCCAIIAggCEAIDAlsCHgAC3QICApICBAIFAgYCBwIIAgkCOAILAjkCDQIIAggCCAIIAggCCAIIAggCCAIIAggCCAIIAggCCAIIAggCEAIDAlACHgAC3QICAkoCBAIFAgYCBwIIAgkCPQILAjkCDQIIAggCCAIIAggCCAIIAggCCAIIAggCCAIIAggCCAIIAggCEAIDAm0CHgAC3QICAi0CBAIFAgYCBwIIAgkCCgILAjkCDQIIAggCCAIIAggCCAIIAggCCAIIAggCCAIIAggCCAIIAggCEAIDAl4CHgAC3QICAjUCBAIFAgYCBwIIAgkCCgILAjkCDQIIAggCCAIIAggCCAIIAggCCAIIAggCCAIIAggCCAIIAggCEAIDAlwCHgAC3QICAiUCBAIFAgYCBwIIAgkCCgILAjkCDQIIAggCCAIIAggCCAIIAggCCAIIAggCCAIIAggCCAIIAggCEAIDAkUCHgAC3QICAt4CBAIFAgYCBwIIAgkCCgILAjkCDQIIAggCCAIIAggCCAIIAggCCAIIAggCCAIIAggCCAIIAggCEAIDApQCHgAC3QICAjECBAIFAgYCBwIIAgkCOAILAjkCDQIIAggCCAIIAggCCAIIAggCCAIIAggCCAIIAggCCAIIAggCEAIDAl0CHgAC3QICAkcCBAIFAgYCBwIIAgkCOAILAjkCDQIIAggCCAIIAggCCAIIAggCCAIIAggCCAIIAggCCAIIAggCEAIDAkgCHgAC3QICAhsCBAIFAgYCBwIIAgkCPQILAjkCDQIIAggCCAIIAggCCAIIAggCCAIIAggCCAIIAggCCAIIAggCEAIDApMCHgAC3QICAiECBAIFAgYCBwIIAgkCPQILAjkCDQIIAggCCAIIAggCCAIIAggCCAIIAggCCAIIAggCCAIIAggCEAIDAm4CHgAC3QICAisCBAIFAgYCBwIIAgkCOAILAjkCDQIIAggCCAIIAggCCAIIAggCCAIIAggCCAIIAggCCAIIAggCEAIDAnwCHgAC3QICAkECBAIFAgYCBwIIAgkCPQILAjkCDQIIAggCCAIIAggCCAIIAggCCAIIAggCCAIIAggCCAIIAggCEAIDAlYCHgAC3QICAiUCBAIFAgYCBwIIAgkCPQILAjkCDQIIAggCCAIIAggCCAIIAggCCAIIAggCCAIIAggCCAIIAggCEAIDAloCHgACegAABADdAgICagIEAgUCBgIHAggCCQI4AgsCOQINAggCCAIIAggCCAIIAggCCAIIAggCCAIIAggCCAIIAggCCAIQAgMChgIeAALdAgIC3gIEAgUCBgIHAggCCQI9AgsCOQINAggCCAIIAggCCAIIAggCCAIIAggCCAIIAggCCAIIAggCCAIQAgMClgIeAALdAgICIQIEAgUCBgIHAggCCQIKAgsCOQINAggCCAIIAggCCAIIAggCCAIIAggCCAIIAggCCAIIAggCCAIQAgMCfQIeAALdAgICPwIEAgUCBgIHAggCCQI9AgsCOQINAggCCAIIAggCCAIIAggCCAIIAggCCAIIAggCCAIIAggCCAIQAgMCgwIeAALdAgICHQIEAgUCBgIHAggCCQI4AgsCOQINAggCCAIIAggCCAIIAggCCAIIAggCCAIIAggCCAIIAggCCAIQAgMCUAIeAALdAgICMwIEAgUCBgIHAggCCQI9AgsCOQINAggCCAIIAggCCAIIAggCCAIIAggCCAIIAggCCAIIAggCCAIQAgMCZgIeAALdAgICAwIEAgUCBgIHAggCCQI9AgsCOQINAggCCAIIAggCCAIIAggCCAIIAggCCAIIAggCCAIIAggCCAIQAgMCSQIeAALdAgICkgIEAgUCBgIHAggCCQIKAgsCOQINAggCCAIIAggCCAIIAggCCAIIAggCCAIIAggCCAIIAggCCAIQAgMClAIeAALdAgICSgIEAgUCBgIHAggCCQI4AgsCOQINAggCCAIIAggCCAIIAggCCAIIAggCCAIIAggCCAIIAggCCAIQAgMCSwIeAALdAgICKQIEAgUCBgIHAggCCQI4AgsCOQINAggCCAIIAggCCAIIAggCCAIIAggCCAIIAggCCAIIAggCCAIQAgMCUAIeAALdAgICLQIEAgUCBgIHAggCCQI4AgsCOQINAggCCAIIAggCCAIIAggCCAIIAggCCAIIAggCCAIIAggCCAIQAgMCUQIeAALdAgICkgIEAgUCBgIHAggCCQI9AgsCOQINAggCCAIIAggCCAIIAggCCAIIAggCCAIIAggCCAIIAggCCAIQAgMClgIeAALdAgICIwIEAgUCBgIHAggCCQI4AgsCOQINAggCCAIIAggCCAIIAggCCAIIAggCCAIIAggCCAIIAggCCAIQAgMCXwIeAALdAgICUwIEAgUCBgIHAggCCQI9AgsCOQINAggCCAIIAggCCAIIAggCCAIIAggCCAIIAggCCAIIAggCCAIQAgMCVAIeAALdAgICSgIEAgUCBgIHAggCCQIKAgsCOQINAggCCAIIAggCCAIIAggCCAIIAggCCAIIAggCCAIIAggCegAABAAIAhACAwKJAh4AAt0CAgJMAgQCBQIGAgcCCAIJAj0CCwI5Ag0CCAIIAggCCAIIAggCCAIIAggCCAIIAggCCAIIAggCCAIIAhACAwJNAh4AAt0CAgIxAgQCBQIGAgcCCAIJAgoCCwI5Ag0CCAIIAggCCAIIAggCCAIIAggCCAIIAggCCAIIAggCCAIIAhACAwJOAh4AAt0CAgIzAgQCBQIGAgcCCAIJAgoCCwI5Ag0CCAIIAggCCAIIAggCCAIIAggCCAIIAggCCAIIAggCCAIIAhACAwJPAh4AAt0CAgJHAgQCBQIGAgcCCAIJAgoCCwI5Ag0CCAIIAggCCAIIAggCCAIIAggCCAIIAggCCAIIAggCCAIIAhACAwJSAh4AAt0CAgInAgQCBQIGAgcCCAIJAj0CCwI5Ag0CCAIIAggCCAIIAggCCAIIAggCCAIIAggCCAIIAggCCAIIAhACAwKHAh4AAt0CAgIbAgQCBQIGAgcCCAIJAgoCCwI5Ag0CCAIIAggCCAIIAggCCAIIAggCCAIIAggCCAIIAggCCAIIAhACAwKVAh4AAt0CAgInAgQCBQIGAgcCCAIJAgoCCwI5Ag0CCAIIAggCCAIIAggCCAIIAggCCAIIAggCCAIIAggCCAIIAhACAwI7Ah4AAt0CAgIdAgQCBQIGAgcCCAIJAgoCCwI5Ag0CCAIIAggCCAIIAggCCAIIAggCCAIIAggCCAIIAggCCAIIAhACAwJxAh4AAt0CAgIhAgQCBQIGAgcCCAIJAjgCCwI5Ag0CCAIIAggCCAIIAggCCAIIAggCCAIIAggCCAIIAggCCAIIAhACAwI6Ah4AAt0CAgI/AgQCBQIGAgcCCAIJAgoCCwI5Ag0CCAIIAggCCAIIAggCCAIIAggCCAIIAggCCAIIAggCCAIIAhACAwJAAh4AAt0CAgI8AgQCBQIGAgcCCAIJAj0CCwI5Ag0CCAIIAggCCAIIAggCCAIIAggCCAIIAggCCAIIAggCCAIIAhACAwI+Ah4AAt0CAgIbAgQCBQIGAgcCCAIJAjgCCwI5Ag0CCAIIAggCCAIIAggCCAIIAggCCAIIAggCCAIIAggCCAIIAhACAwJQAh4AAt0CAgIDAgQCBQIGAgcCCAIJAgoCCwI5Ag0CCAIIAggCCAIIAggCCAIIAggCCAIIAggCCAIIAggCCAIIAhACAwKLAh4AAt0CAgIpAgQCBQIGAgcCCAIJAj0CCwI5Ag0CCAIIAggCCAIIAggCCAIIAggCCAIIAggCCAIIAggCCAIIAhACAwJ0Ah4AAt0CAgI1AgQCBQIGAgcCCAIJAj0CCwI5Ag0CCAIIAggCCAIIAggCCAIIAggCCAIIegAABAACCAIIAggCCAIIAggCEAIDAlUCHgAC3QICAi0CBAIFAgYCBwIIAgkCPQILAjkCDQIIAggCCAIIAggCCAIIAggCCAIIAggCCAIIAggCCAIIAggCEAIDAncCHgAC3QICAkMCBAIFAgYCBwIIAgkCOAILAjkCDQIIAggCCAIIAggCCAIIAggCCAIIAggCCAIIAggCCAIIAggCEAIDAnsCHgAC3QICAmMCBAIFAgYCBwIIAgkCCgILAjkCDQIIAggCCAIIAggCCAIIAggCCAIIAggCCAIIAggCCAIIAggCEAIDAnMCHgAC3QICAiMCBAIFAgYCBwIIAgkCCgILAjkCDQIIAggCCAIIAggCCAIIAggCCAIIAggCCAIIAggCCAIIAggCEAIDAnICHgAC3QICAkcCBAIFAgYCBwIIAgkCPQILAjkCDQIIAggCCAIIAggCCAIIAggCCAIIAggCCAIIAggCCAIIAggCEAIDAogCHgAC3QICAjECBAIFAgYCBwIIAgkCPQILAjkCDQIIAggCCAIIAggCCAIIAggCCAIIAggCCAIIAggCCAIIAggCEAIDAo0CHgAC3QICAkwCBAIFAgYCBwIIAgkCCgILAjkCDQIIAggCCAIIAggCCAIIAggCCAIIAggCCAIIAggCCAIIAggCEAIDAooCHgAC3QICAi8CBAIFAgYCBwIIAgkCOAILAjkCDQIIAggCCAIIAggCCAIIAggCCAIIAggCCAIIAggCCAIIAggCEAIDAmwCHgAC3QICAh8CBAIFAgYCBwIIAgkCPQILAjkCDQIIAggCCAIIAggCCAIIAggCCAIIAggCCAIIAggCCAIIAggCEAIDAkYCHgAC3QICAjMCBAIFAgYCBwIIAgkCOAILAjkCDQIIAggCCAIIAggCCAIIAggCCAIIAggCCAIIAggCCAIIAggCEAIDAoECHgAC3QICAmECBAIFAgYCBwIIAgkCOAILAjkCDQIIAggCCAIIAggCCAIIAggCCAIIAggCCAIIAggCCAIIAggCEAIDAm8CHgAC3wAJMzMwNTYwNTIwAgICLwIEAgUCBgIHAggCCQKqAgsCDAINAggCCAIIAggCCAIIAggCCAIIAggCCAIIAggCCAIIAggCCAIRAgMCvQIeAALfAgICYQIEAgUCBgIHAggCCQKqAgsCDAINAggCCAIIAggCCAIIAggCCAIIAggCCAIIAggCCAIIAggCCAIRAgMCrgIeAALfAgICYwIEAgUCBgIHAggCCQIKAgsCDAINAggCCAIIAggCCAIIAggCCAIIAggCCAIIAggCCAIIAggCCAIRAgMC1AIeAALfAgICHQIEAgUCBgIHAggCCQI9AgsCDAINegAABAACCAIIAggCCAIIAggCCAIIAggCCAIIAggCCAIIAggCCAIIAhECAwKfAh4AAt8CAgIjAgQCBQIGAgcCCAIJAgoCCwIMAg0CCAIIAggCCAIIAggCCAIIAggCCAIIAggCCAIIAggCCAIIAhECAwIkAh4AAt8CAgJKAgQCBQIGAgcCCAIJAj0CCwIMAg0CCAIIAggCCAIIAggCCAIIAggCCAIIAggCCAIIAggCCAIIAhECAwKtAh4AAt8CAgJjAgQCBQIGAgcCCAIJAqoCCwIMAg0CCAIIAggCCAIIAggCCAIIAggCCAIIAggCCAIIAggCCAIIAhECAwKrAh4AAt8CAgIjAgQCBQIGAgcCCAIJAqoCCwIMAg0CCAIIAggCCAIIAggCCAIIAggCCAIIAggCCAIIAggCCAIIAhECAwKsAh4AAt8CAgJhAgQCBQIGAgcCCAIJAgoCCwIMAg0CCAIIAggCCAIIAggCCAIIAggCCAIIAggCCAIIAggCCAIIAhECAwK7Ah4AAt8CAgIvAgQCBQIGAgcCCAIJAgoCCwIMAg0CCAIIAggCCAIIAggCCAIIAggCCAIIAggCCAIIAggCCAIIAhECAwIwAh4AAt8CAgIpAgQCBQIGAgcCCAIJAj0CCwIMAg0CCAIIAggCCAIIAggCCAIIAggCCAIIAggCCAIIAggCCAIIAhECAwKbAh4AAt8CAgJqAgQCBQIGAgcCCAIJAj0CCwIMAg0CCAIIAggCCAIIAggCCAIIAggCCAIIAggCCAIIAggCCAIIAhECAwLTAh4AAt8CAgIrAgQCBQIGAgcCCAIJAj0CCwIMAg0CCAIIAggCCAIIAggCCAIIAggCCAIIAggCCAIIAggCCAIIAhECAwKiAh4AAt8CAgItAgQCBQIGAgcCCAIJAj0CCwIMAg0CCAIIAggCCAIIAggCCAIIAggCCAIIAggCCAIIAggCCAIIAhECAwKaAh4AAt8CAgJKAgQCBQIGAgcCCAIJAgoCCwIMAg0CCAIIAggCCAIIAggCCAIIAggCCAIIAggCCAIIAggCCAIIAhECAwK0Ah4AAt8CAgJMAgQCBQIGAgcCCAIJAqoCCwIMAg0CCAIIAggCCAIIAggCCAIIAggCCAIIAggCCAIIAggCCAIIAhECAwLRAh4AAt8CAgI/AgQCBQIGAgcCCAIJAqoCCwIMAg0CCAIIAggCCAIIAggCCAIIAggCCAIIAggCCAIIAggCCAIIAhECAwLSAh4AAt8CAgInAgQCBQIGAgcCCAIJAqoCCwIMAg0CCAIIAggCCAIIAggCCAIIAggCCAIIAggCCAIIAggCCAIIAhECAwJQAh4AAt8CAgIDAgQCBQIGAgcCegAABAAIAgkCqgILAgwCDQIIAggCCAIIAggCCAIIAggCCAIIAggCCAIIAggCCAIIAggCEQIDAtACHgAC3wICAkwCBAIFAgYCBwIIAgkCCgILAgwCDQIIAggCCAIIAggCCAIIAggCCAIIAggCCAIIAggCCAIIAggCEQIDAsgCHgAC3wICAmMCBAIFAgYCBwIIAgkCPQILAgwCDQIIAggCCAIIAggCCAIIAggCCAIIAggCCAIIAggCCAIIAggCEQIDArgCHgAC3wICAh0CBAIFAgYCBwIIAgkCqgILAgwCDQIIAggCCAIIAggCCAIIAggCCAIIAggCCAIIAggCCAIIAggCEQIDAlACHgAC3wICAh0CBAIFAgYCBwIIAgkCCgILAgwCDQIIAggCCAIIAggCCAIIAggCCAIIAggCCAIIAggCCAIIAggCEQIDAh4CHgAC3wICAiMCBAIFAgYCBwIIAgkCPQILAgwCDQIIAggCCAIIAggCCAIIAggCCAIIAggCCAIIAggCCAIIAggCEQIDApgCHgAC3wICAkMCBAIFAgYCBwIIAgkCCgILAgwCDQIIAggCCAIIAggCCAIIAggCCAIIAggCCAIIAggCCAIIAggCEQIDArYCHgAC3wICAiECBAIFAgYCBwIIAgkCCgILAgwCDQIIAggCCAIIAggCCAIIAggCCAIIAggCCAIIAggCCAIIAggCEQIDAiICHgAC3wICAkoCBAIFAgYCBwIIAgkCqgILAgwCDQIIAggCCAIIAggCCAIIAggCCAIIAggCCAIIAggCCAIIAggCEQIDArUCHgAC3wICAgMCBAIFAgYCBwIIAgkCCgILAgwCDQIIAggCCAIIAggCCAIIAggCCAIIAggCCAIIAggCCAIIAggCEQIDAg4CHgAC3wICApICBAIFAgYCBwIIAgkCPQILAgwCDQIIAggCCAIIAggCCAIIAggCCAIIAggCCAIIAggCCAIIAggCEQIDAtoCHgAC3wICAkMCBAIFAgYCBwIIAgkCqgILAgwCDQIIAggCCAIIAggCCAIIAggCCAIIAggCCAIIAggCCAIIAggCEQIDArMCHgAC3wICAkcCBAIFAgYCBwIIAgkCPQILAgwCDQIIAggCCAIIAggCCAIIAggCCAIIAggCCAIIAggCCAIIAggCEQIDAs8CHgAC3wICAjECBAIFAgYCBwIIAgkCPQILAgwCDQIIAggCCAIIAggCCAIIAggCCAIIAggCCAIIAggCCAIIAggCEQIDApwCHgAC3wICAjECBAIFAgYCBwIIAgkCCgILAgwCDQIIAggCCAIIAggCCAIIAggCCAIIAggCCAIIAggCCAIIAggCEQIDAjICHgAC3wICegAABAACTAIEAgUCBgIHAggCCQI9AgsCDAINAggCCAIIAggCCAIIAggCCAIIAggCCAIIAggCCAIIAggCCAIRAgMCvgIeAALfAgICRwIEAgUCBgIHAggCCQIKAgsCDAINAggCCAIIAggCCAIIAggCCAIIAggCCAIIAggCCAIIAggCCAIRAgMCxwIeAALfAgICGwIEAgUCBgIHAggCCQKqAgsCDAINAggCCAIIAggCCAIIAggCCAIIAggCCAIIAggCCAIIAggCCAIRAgMCUAIeAALfAgICIQIEAgUCBgIHAggCCQKqAgsCDAINAggCCAIIAggCCAIIAggCCAIIAggCCAIIAggCCAIIAggCCAIRAgMCzAIeAALfAgICRwIEAgUCBgIHAggCCQKqAgsCDAINAggCCAIIAggCCAIIAggCCAIIAggCCAIIAggCCAIIAggCCAIRAgMCyQIeAALfAgICPwIEAgUCBgIHAggCCQI9AgsCDAINAggCCAIIAggCCAIIAggCCAIIAggCCAIIAggCCAIIAggCCAIRAgMCywIeAALfAgICJwIEAgUCBgIHAggCCQI9AgsCDAINAggCCAIIAggCCAIIAggCCAIIAggCCAIIAggCCAIIAggCCAIRAgMCoAIeAALfAgICGwIEAgUCBgIHAggCCQIKAgsCDAINAggCCAIIAggCCAIIAggCCAIIAggCCAIIAggCCAIIAggCCAIRAgMCHAIeAALfAgICJQIEAgUCBgIHAggCCQI9AgsCDAINAggCCAIIAggCCAIIAggCCAIIAggCCAIIAggCCAIIAggCCAIRAgMCpAIeAALfAgICHwIEAgUCBgIHAggCCQI9AgsCDAINAggCCAIIAggCCAIIAggCCAIIAggCCAIIAggCCAIIAggCCAIRAgMCpgIeAALfAgICPAIEAgUCBgIHAggCCQI9AgsCDAINAggCCAIIAggCCAIIAggCCAIIAggCCAIIAggCCAIIAggCCAIRAgMCxQIeAALfAgICJwIEAgUCBgIHAggCCQIKAgsCDAINAggCCAIIAggCCAIIAggCCAIIAggCCAIIAggCCAIIAggCCAIRAgMCKAIeAALfAgICQQIEAgUCBgIHAggCCQIKAgsCDAINAggCCAIIAggCCAIIAggCCAIIAggCCAIIAggCCAIIAggCCAIRAgMCwgIeAALfAgICQQIEAgUCBgIHAggCCQKqAgsCDAINAggCCAIIAggCCAIIAggCCAIIAggCCAIIAggCCAIIAggCCAIRAgMCwQIeAALfAgICJQIEAgUCBgIHAggCCQIKAgsCDAINAggCCAIIAggCCAIIAggCCAIIAggCCAIIAggCCAIIAggCCAIRegAABAACAwImAh4AAt8CAgI/AgQCBQIGAgcCCAIJAgoCCwIMAg0CCAIIAggCCAIIAggCCAIIAggCCAIIAggCCAIIAggCCAIIAhECAwLVAh4AAt8CAgIlAgQCBQIGAgcCCAIJAqoCCwIMAg0CCAIIAggCCAIIAggCCAIIAggCCAIIAggCCAIIAggCCAIIAhECAwLAAh4AAt8CAgIzAgQCBQIGAgcCCAIJAqoCCwIMAg0CCAIIAggCCAIIAggCCAIIAggCCAIIAggCCAIIAggCCAIIAhECAwLDAh4AAt8CAgJTAgQCBQIGAgcCCAIJAj0CCwIMAg0CCAIIAggCCAIIAggCCAIIAggCCAIIAggCCAIIAggCCAIIAhECAwLEAh4AAt8CAgI1AgQCBQIGAgcCCAIJAj0CCwIMAg0CCAIIAggCCAIIAggCCAIIAggCCAIIAggCCAIIAggCCAIIAhECAwKeAh4AAt8CAgIxAgQCBQIGAgcCCAIJAqoCCwIMAg0CCAIIAggCCAIIAggCCAIIAggCCAIIAggCCAIIAggCCAIIAhECAwLGAh4AAt8CAgKSAgQCBQIGAgcCCAIJAqoCCwIMAg0CCAIIAggCCAIIAggCCAIIAggCCAIIAggCCAIIAggCCAIIAhECAwJQAh4AAt8CAgIzAgQCBQIGAgcCCAIJAgoCCwIMAg0CCAIIAggCCAIIAggCCAIIAggCCAIIAggCCAIIAggCCAIIAhECAwI0Ah4AAt8CAgIDAgQCBQIGAgcCCAIJAj0CCwIMAg0CCAIIAggCCAIIAggCCAIIAggCCAIIAggCCAIIAggCCAIIAhECAwKdAh4AAt8CAgKSAgQCBQIGAgcCCAIJAgoCCwIMAg0CCAIIAggCCAIIAggCCAIIAggCCAIIAggCCAIIAggCCAIIAhECAwLbAh4AAt8CAgJTAgQCBQIGAgcCCAIJAgoCCwIMAg0CCAIIAggCCAIIAggCCAIIAggCCAIIAggCCAIIAggCCAIIAhECAwK6Ah4AAt8CAgI1AgQCBQIGAgcCCAIJAgoCCwIMAg0CCAIIAggCCAIIAggCCAIIAggCCAIIAggCCAIIAggCCAIIAhECAwI2Ah4AAt8CAgJhAgQCBQIGAgcCCAIJAj0CCwIMAg0CCAIIAggCCAIIAggCCAIIAggCCAIIAggCCAIIAggCCAIIAhECAwLKAh4AAt8CAgItAgQCBQIGAgcCCAIJAgoCCwIMAg0CCAIIAggCCAIIAggCCAIIAggCCAIIAggCCAIIAggCCAIIAhECAwIuAh4AAt8CAgIrAgQCBQIGAgcCCAIJAqoCCwIMAg0CCAIIAggCCAIIAggCCAIIAggCCAIIAggCegAABAAIAggCCAIIAggCEQIDArECHgAC3wICAhsCBAIFAgYCBwIIAgkCPQILAgwCDQIIAggCCAIIAggCCAIIAggCCAIIAggCCAIIAggCCAIIAggCEQIDAqMCHgAC3wICAh8CBAIFAgYCBwIIAgkCCgILAgwCDQIIAggCCAIIAggCCAIIAggCCAIIAggCCAIIAggCCAIIAggCEQIDAiACHgAC3wICAkMCBAIFAgYCBwIIAgkCPQILAgwCDQIIAggCCAIIAggCCAIIAggCCAIIAggCCAIIAggCCAIIAggCEQIDAr8CHgAC3wICAlMCBAIFAgYCBwIIAgkCqgILAgwCDQIIAggCCAIIAggCCAIIAggCCAIIAggCCAIIAggCCAIIAggCEQIDArwCHgAC3wICAmoCBAIFAgYCBwIIAgkCqgILAgwCDQIIAggCCAIIAggCCAIIAggCCAIIAggCCAIIAggCCAIIAggCEQIDArACHgAC3wICAiECBAIFAgYCBwIIAgkCPQILAgwCDQIIAggCCAIIAggCCAIIAggCCAIIAggCCAIIAggCCAIIAggCEQIDAqUCHgAC3wICAjwCBAIFAgYCBwIIAgkCqgILAgwCDQIIAggCCAIIAggCCAIIAggCCAIIAggCCAIIAggCCAIIAggCEQIDArcCHgAC3wICAh8CBAIFAgYCBwIIAgkCqgILAgwCDQIIAggCCAIIAggCCAIIAggCCAIIAggCCAIIAggCCAIIAggCEQIDArICHgAC3wICAisCBAIFAgYCBwIIAgkCCgILAgwCDQIIAggCCAIIAggCCAIIAggCCAIIAggCCAIIAggCCAIIAggCEQIDAiwCHgAC3wICAkECBAIFAgYCBwIIAgkCPQILAgwCDQIIAggCCAIIAggCCAIIAggCCAIIAggCCAIIAggCCAIIAggCEQIDAs0CHgAC3wICAi0CBAIFAgYCBwIIAgkCqgILAgwCDQIIAggCCAIIAggCCAIIAggCCAIIAggCCAIIAggCCAIIAggCEQIDArkCHgAC3wICAmoCBAIFAgYCBwIIAgkCCgILAgwCDQIIAggCCAIIAggCCAIIAggCCAIIAggCCAIIAggCCAIIAggCEQIDAq8CHgAC3wICAjUCBAIFAgYCBwIIAgkCqgILAgwCDQIIAggCCAIIAggCCAIIAggCCAIIAggCCAIIAggCCAIIAggCEQIDAlACHgAC3wICAjwCBAIFAgYCBwIIAgkCCgILAgwCDQIIAggCCAIIAggCCAIIAggCCAIIAggCCAIIAggCCAIIAggCEQIDAs4CHgAC3wICAjMCBAIFAgYCBwIIAgkCPQILAgwCDQIIAggCCAIIAggCCAIId+kCCAIIAggCCAIIAggCCAIIAggCCAIRAgMCmQIeAALfAgICKQIEAgUCBgIHAggCCQKqAgsCDAINAggCCAIIAggCCAIIAggCCAIIAggCCAIIAggCCAIIAggCCAIRAgMCUAIeAALfAgICKQIEAgUCBgIHAggCCQIKAgsCDAINAggCCAIIAggCCAIIAggCCAIIAggCCAIIAggCCAIIAggCCAIRAgMCKgIeAALfAgICLwIEAgUCBgIHAggCCQI9AgsCDAINAggCCAIIAggCCAIIAggCCAIIAggCCAIIAggCCAIIAggCCAIRAgMCoQ==]]></xxe4awand>
</file>

<file path=customXml/item10.xml><?xml version="1.0" encoding="utf-8"?>
<xxe4awand xmlns="http://www.excel4apps.com"><![CDATA[rO0ABXfZCMCtii8CJgKWAh4AAERjb20uZXhjZWw0YXBwcy53YW5kLm9yYWNsZS5n
bHdhbmQuY2FsY3VsYXRpb25zLmdldGJhbGFuY2UuR2V0QmFsYW5jZQIBAAk1MjE3
OTc5MjgCAgABMAIDAAYyMDE2MTACBAADWVREAgUAA1VTRAIGAAVUb3RhbAIHAAFB
AggAAAIJAAMwMDECCgAGMTkxMDEwAgsAAkdEAgwAAklEAg0AAkRMAggCCAIIAggC
CAIIAggCCAIIAggCCAIIAggCCAIIAggCCAITAgMCDnNyAg8AFGphdmEubWF0aC5C
aWdEZWNpbWFsVMcVV/mBKE8DAAJJAhAABXNjYWxlTAIRAAZpbnRWYWx0ABZMamF2
YS9tYXRoL0JpZ0ludGVnZXI7eHICEgAQamF2YS5sYW5nLk51bWJlcoaslR0LlOCL
AgAAeHAAAAACc3ICEwAUamF2YS5tYXRoLkJpZ0ludGVnZXKM/J8fqTv7HQMABkkC
FAAIYml0Q291bnRJAhUACWJpdExlbmd0aEkCFgATZmlyc3ROb256ZXJvQnl0ZU51
bUkCFwAMbG93ZXN0U2V0Qml0SQIYAAZzaWdudW1bAhkACW1hZ25pdHVkZXQAAltC
eHEAfgAC///////////////+/////v////91cgIaAAJbQqzzF/gGCFTgAgAAeHAA
AAAENJhHI3h4d00CHgACAQICAhsABjIwMTcxMQIEAgUCBgIHAggCCQIKAgsCDAIN
AggCCAIIAggCCAIIAggCCAIIAggCCAIIAggCCAIIAggCCAITAgMCHHNxAH4AAAAA
AAJzcQB+AAT///////////////7////+/////3VxAH4ABwAAAAQcI3yQeHh3VQIeAAIBAgICHQAGMjAxNjAzAgQCBQIGAgcCCAIJAh4ABjE5MTAxNQILAgwCDQIIAggCCAIIAggCCAIIAggCCAIIAggCCAIIAggCCAIIAggCEwIDAh9zcQB+AAAAAAACc3EAfgAE///////////////+/////v////91cQB+AAcAAAADElupeHh3VQIeAAIBAgICIAAGMjAxNjA1AgQCBQIGAgcCCAIJAiEABjE5MTAwMAILAgwCDQIIAggCCAIIAggCCAIIAggCCAIIAggCCAIIAggCCAIIAggCEwIDAiJzcQB+AAAAAAACc3EAfgAE///////////////+/////v////91cQB+AAcAAAAEAc1Kd3h4d00CHgACAQICAiMABjIwMTgwNQIEAgUCBgIHAggCCQIeAgsCDAINAggCCAIIAggCCAIIAggCCAIIAggCCAIIAggCCAIIAggCCAITAgMCJHNxAH4AAAAAAAJzcQB+AAT///////////////7////+AAAAAHVxAH4ABwAAAAB4eHdFAh4AAgECAgIjAgQCBQIGAgcCCAIJAgoCCwIMAg0CCAIIAggCCAIIAggCCAIIAggCCAIIAggCCAIIAggCCAIIAhMCAwIlc3EAfgAAAAAAAnNxAH4ABP///////////////v////7/////dXEAfgAHAAAABC/+xlx4eHdNAh4AAgECAgImAAYyMDE3MDYCBAIFAgYCBwIIAgkCIQILAgwCDQIIAggCCAIIAggCCAIIAggCCAIIAggCCAIIAggCCAIIAggCEwIDAidzcQB+AAAAAAACc3EAfgAE///////////////+/////v////91cQB+AAcAAAAEAW1K0nh4d00CHgACAQICAigABjIwMTYwNAIEAgUCBgIHAggCCQIKAgsCDAINAggCCAIIAggCCAIIAggCCAIIAggCCAIIAggCCAIIAggCCAITAgMCKXNxAH4AAAAAAAJzcQB+AAT///////////////7////+/////3VxAH4ABwAAAAQjxnj9eHh3TQIeAAIBAgICKgAGMjAxNzA1AgQCBQIGAgcCCAIJAgoCCwIMAg0CCAIIAggCCAIIAggCCAIIAggCCAIIAggCCAIIAggCCAIIAhMCAwIrc3EAfgAAAAAAAnNxAH4ABP///////////////v////7/////dXEAfgAHAAAABComTwt4eHdNAh4AAgECAgIsAAYyMDE2MTECBAIFAgYCBwIIAgkCIQILAgwCDQIIAggCCAIIAggCCAIIAggCCAIIAggCCAIIAggCCAIIAggCEwIDAi1zcQB+AAAAAAACc3EAfgAE///////////////+/////v////91cQB+AAcAAAAEJZDR+3h4d00CHgACAQICAi4ABjIwMTYwNgIEAgUCBgIHAggCCQIhAgsCDAINAggCCAIIAggCCAIIAggCCAIIAggCCAIIAggCCAIIAggCCAITAgMCL3NxAH4AAAAAAAJzcQB+AAT///////////////7////+/////3VxAH4ABwAAAAQBZMryeHh3TQIeAAIBAgICMAAGMjAxNzEwAgQCBQIGAgcCCAIJAgoCCwIMAg0CCAIIAggCCAIIAggCCAIIAggCCAIIAggCCAIIAggCCAIIAhMCAwIxc3EAfgAAAAAAAnNxAH4ABP///////////////v////7/////dXEAfgAHAAAABENETeB4eHdFAh4AAgECAgIwAgQCBQIGAgcCCAIJAh4CCwIMAg0CCAIIAggCCAIIAggCCAIIAggCCAIIAggCCAIIAggCCAIIAhMCAwIyc3EAfgAAAAAAAnNxAH4ABP///////////////v////7/////dXEAfgAHAAAAAxKmonh4d00CHgACAQICAjMABjIwMTcwMwIEAgUCBgIHAggCCQIeAgsCDAINAggCCAIIAggCCAIIAggCCAIIAggCCAIIAggCCAIIAggCCAITAgMCNHNxAH4AAAAAAAJzcQB+AAT///////////////7////+/////3VxAH4ABwAAAAMSit94eHdNAh4AAgECAgI1AAYyMDE3MTICBAIFAgYCBwIIAgkCCgILAgwCDQIIAggCCAIIAggCCAIIAggCCAIIAggCCAIIAggCCAIIAggCEwIDAjZzcQB+AAAAAAACc3EAfgAE///////////////+/////v////91cQB+AAcAAAAEJDRt9Hh4d0UCHgACAQICAioCBAIFAgYCBwIIAgkCHgILAgwCDQIIAggCCAIIAggCCAIIAggCCAIIAggCCAIIAggCCAIIAggCEwIDAjdzcQB+AAAAAAACc3EAfgAE///////////////+/////v////91cQB+AAcAAAADEpLKeHh3TQIeAAIBAgICOAAGMjAxNzA3AgQCBQIGAgcCCAIJAiECCwIMAg0CCAIIAggCCAIIAggCCAIIAggCCAIIAggCCAIIAggCCAIIAhMCAwI5c3EAfgAAAAAAAnNxAH4ABP///////////////v////7/////dXEAfgAHAAAAA064Cnh4d0UCHgACAQICAhsCBAIFAgYCBwIIAgkCIQILAgwCDQIIAggCCAIIAggCCAIIAggCCAIIAggCCAIIAggCCAIIAggCEwIDAjpzcQB+AAAAAAACc3EAfgAE///////////////+/////v////91cQB+AAcAAAAEHsB0bHh4d0UCHgACAQICAgMCBAIFAgYCBwIIAgkCIQILAgwCDQIIAggCCAIIAggCCAIIAggCCAIIAggCCAIIAggCCAIIAggCEwIDAjtzcQB+AAAAAAACc3EAfgAE///////////////+/////gAAAAF1cQB+AAcAAAADuXJ8eHh3RQIeAAIBAgICJgIEAgUCBgIHAggCCQIKAgsCDAINAggCCAIIAggCCAIIAggCCAIIAggCCAIIAggCCAIIAggCCAITAgMCPHNxAH4AAAAAAAJzcQB+AAT///////////////7////+/////3VxAH4ABwAAAAQqC0YheHh3TQIeAAIBAgICPQAGMjAxNjA3AgQCBQIGAgcCCAIJAiECCwIMAg0CCAIIAggCCAIIAggCCAIIAggCCAIIAggCCAIIAggCCAIIAhMCAwI+c3EAfgAAAAAAAnNxAH4ABP///////////////v////7/////dXEAfgAHAAAABAEGlGB4eHdNAh4AAgECAgI/AAYyMDE2MTICBAIFAgYCBwIIAgkCCgILAgwCDQIIAggCCAIIAggCCAIIAggCCAIIAggCCAIIAggCCAIIAggCEwIDAkBzcQB+AAAAAAACc3EAfgAE///////////////+/////v////91cQB+AAcAAAAEFay1n3h4d0UCHgACAQICAiACBAIFAgYCBwIIAgkCCgILAgwCDQIIAggCCAIIAggCCAIIAggCCAIIAggCCAIIAggCCAIIAggCEwIDAkFzcQB+AAAAAAACc3EAfgAE///////////////+/////v////91cQB+AAcAAAAEJi8ywnh4d0UCHgACAQICAiYCBAIFAgYCBwIIAgkCHgILAgwCDQIIAggCCAIIAggCCAIIAggCCAIIAggCCAIIAggCCAIIAggCEwIDAkJzcQB+AAAAAAACc3EAfgAE///////////////+/////v////91cQB+AAcAAAADEpbAeHh3RQIeAAIBAgICIwIEAgUCBgIHAggCCQIhAgsCDAINAggCCAIIAggCCAIIAggCCAIIAggCCAIIAggCCAIIAggCCAITAgMCQ3NxAH4AAAAAAAJzcQB+AAT///////////////7////+AAAAAXVxAH4ABwAAAAM2pbZ4eHdFAh4AAgECAgIdAgQCBQIGAgcCCAIJAiECCwIMAg0CCAIIAggCCAIIAggCCAIIAggCCAIIAggCCAIIAggCCAIIAhMCAwJEc3EAfgAAAAAAAnNxAH4ABP///////////////v////7/////dXEAfgAHAAAABAL7S4t4eHdNAh4AAgECAgJFAAYyMDE3MDkCBAIFAgYCBwIIAgkCIQILAgwCDQIIAggCCAIIAggCCAIIAggCCAIIAggCCAIIAggCCAIIAggCEwIDAkZzcQB+AAAAAAACc3EAfgAE///////////////+/////gAAAAF1cQB+AAcAAAAEAloS0nh4d00CHgACAQICAkcABjIwMTcwNAIEAgUCBgIHAggCCQIhAgsCDAINAggCCAIIAggCCAIIAggCCAIIAggCCAIIAggCCAIIAggCCAITAgMCSHNxAH4AAAAAAAJzcQB+AAT///////////////7////+/////3VxAH4ABwAAAAQFBKNBeHh3TQIeAAIBAgICSQAGMjAxNjA4AgQCBQIGAgcCCAIJAiECCwIMAg0CCAIIAggCCAIIAggCCAIIAggCCAIIAggCCAIIAggCCAIIAhMCAwJKc3EAfgAAAAAAAnNxAH4ABP///////////////v////7/////dXEAfgAHAAAAA56yqnh4d0UCHgACAQICAjMCBAIFAgYCBwIIAgkCCgILAgwCDQIIAggCCAIIAggCCAIIAggCCAIIAggCCAIIAggCCAIIAggCEwIDAktzcQB+AAAAAAACc3EAfgAE///////////////+/////v////91cQB+AAcAAAAEJngfcXh4d0UCHgACAQICAigCBAIFAgYCBwIIAgkCHgILAgwCDQIIAggCCAIIAggCCAIIAggCCAIIAggCCAIIAggCCAIIAggCEwIDAkxzcQB+AAAAAAACc3EAfgAE///////////////+/////v////91cQB+AAcAAAADEl+UeHh3TQIeAAIBAgICTQAGMjAxNzA4AgQCBQIGAgcCCAIJAgoCCwIMAg0CCAIIAggCCAIIAggCCAIIAggCCAIIAggCCAIIAggCCAIIAhMCAwJOc3EAfgAAAAAAAnNxAH4ABP///////////////v////7/////dXEAfgAHAAAABDQ5VOh4eHdFAh4AAgECAgI1AgQCBQIGAgcCCAIJAiECCwIMAg0CCAIIAggCCAIIAggCCAIIAggCCAIIAggCCAIIAggCCAIIAhMCAwJPc3EAfgAAAAAAAnNxAH4ABP///////////////v////7/////dXEAfgAHAAAABBa3qKJ4eHdFAh4AAgECAgI9AgQCBQIGAgcCCAIJAh4CCwIMAg0CCAIIAggCCAIIAggCCAIIAggCCAIIAggCCAIIAggCCAIIAhMCAwJQc3EAfgAAAAAAAnNxAH4ABP///////////////v////7/////dXEAfgAHAAAAAxJrWHh4d0UCHgACAQICAgMCBAIFAgYCBwIIAgkCHgILAgwCDQIIAggCCAIIAggCCAIIAggCCAIIAggCCAIIAggCCAIIAggCEwIDAlFzcQB+AAAAAAACc3EAfgAE///////////////+/////v////91cQB+AAcAAAADEncleHh3RQIeAAIBAgICTQIEAgUCBgIHAggCCQIeAgsCDAINAggCCAIIAggCCAIIAggCCAIIAggCCAIIAggCCAIIAggCCAITAgMCUnNxAH4AAAAAAAJzcQB+AAT///////////////7////+/////3VxAH4ABwAAAAMSnq94eHeKAh4AAgECAgIbAgQCBQIGAgcCCAIJAh4CCwIMAg0CCAIIAggCCAIIAggCCAIIAggCCAIIAggCCAIIAggCCAIIAhMCAwIkAh4AAgECAgI9AgQCBQIGAgcCCAIJAgoCCwIMAg0CCAIIAggCCAIIAggCCAIIAggCCAIIAggCCAIIAggCCAIIAhMCAwJTc3EAfgAAAAAAAnNxAH4ABP///////////////v////7/////dXEAfgAHAAAABC794JJ4eHdFAh4AAgECAgJFAgQCBQIGAgcCCAIJAgoCCwIMAg0CCAIIAggCCAIIAggCCAIIAggCCAIIAggCCAIIAggCCAIIAhMCAwJUc3EAfgAAAAAAAnNxAH4ABP///////////////v////7/////dXEAfgAHAAAABDlFLv54eHdFAh4AAgECAgJJAgQCBQIGAgcCCAIJAgoCCwIMAg0CCAIIAggCCAIIAggCCAIIAggCCAIIAggCCAIIAggCCAIIAhMCAwJVc3EAfgAAAAAAAnNxAH4ABP///////////////v////7/////dXEAfgAHAAAABDHvtRl4eHdFAh4AAgECAgJJAgQCBQIGAgcCCAIJAh4CCwIMAg0CCAIIAggCCAIIAggCCAIIAggCCAIIAggCCAIIAggCCAIIAhMCAwJWc3EAfgAAAAAAAnNxAH4ABP///////////////v////7/////dXEAfgAHAAAAAxJvRnh4d0UCHgACAQICAkUCBAIFAgYCBwIIAgkCHgILAgwCDQIIAggCCAIIAggCCAIIAggCCAIIAggCCAIIAggCCAIIAggCEwIDAldzcQB+AAAAAAACc3EAfgAE///////////////+/////v////91cQB+AAcAAAADEqKoeHh3RQIeAAIBAgICMwIEAgUCBgIHAggCCQIhAgsCDAINAggCCAIIAggCCAIIAggCCAIIAggCCAIIAggCCAIIAggCCAITAgMCWHNxAH4AAAAAAAJzcQB+AAT///////////////7////+/////3VxAH4ABwAAAAQIvUgheHh3TQIeAAIBAgICWQAGMjAxNjA5AgQCBQIGAgcCCAIJAh4CCwIMAg0CCAIIAggCCAIIAggCCAIIAggCCAIIAggCCAIIAggCCAIIAhMCAwJac3EAfgAAAAAAAnNxAH4ABP///////////////v////7/////dXEAfgAHAAAAAxJzNXh4d0UCHgACAQICAj8CBAIFAgYCBwIIAgkCHgILAgwCDQIIAggCCAIIAggCCAIIAggCCAIIAggCCAIIAggCCAIIAggCEwIDAltzcQB+AAAAAAACc3EAfgAE///////////////+/////v////91cQB+AAcAAAADEn8GeHh3RQIeAAIBAgICWQIEAgUCBgIHAggCCQIKAgsCDAINAggCCAIIAggCCAIIAggCCAIIAggCCAIIAggCCAIIAggCCAITAgMCXHNxAH4AAAAAAAJzcQB+AAT///////////////7////+/////3VxAH4ABwAAAAQzvJaSeHh3RQIeAAIBAgICIAIEAgUCBgIHAggCCQIeAgsCDAINAggCCAIIAggCCAIIAggCCAIIAggCCAIIAggCCAIIAggCCAITAgMCXXNxAH4AAAAAAAJzcQB+AAT///////////////7////+/////3VxAH4ABwAAAAMSY394eHdFAh4AAgECAgIwAgQCBQIGAgcCCAIJAiECCwIMAg0CCAIIAggCCAIIAggCCAIIAggCCAIIAggCCAIIAggCCAIIAhMCAwJec3EAfgAAAAAAAnNxAH4ABP///////////////v////4AAAABdXEAfgAHAAAABAYbWmp4eHdFAh4AAgECAgJNAgQCBQIGAgcCCAIJAiECCwIMAg0CCAIIAggCCAIIAggCCAIIAggCCAIIAggCCAIIAggCCAIIAhMCAwJfc3EAfgAAAAAAAnNxAH4ABP///////////////v////4AAAABdXEAfgAHAAAAA/+JXnh4d4oCHgACAQICAjUCBAIFAgYCBwIIAgkCHgILAgwCDQIIAggCCAIIAggCCAIIAggCCAIIAggCCAIIAggCCAIIAggCEwIDAiQCHgACAQICAiwCBAIFAgYCBwIIAgkCHgILAgwCDQIIAggCCAIIAggCCAIIAggCCAIIAggCCAIIAggCCAIIAggCEwIDAmBzcQB+AAAAAAACc3EAfgAE///////////////+/////v////91cQB+AAcAAAADEnsVeHh3RQIeAAIBAgICLgIEAgUCBgIHAggCCQIeAgsCDAINAggCCAIIAggCCAIIAggCCAIIAggCCAIIAggCCAIIAggCCAITAgMCYXNxAH4AAAAAAAJzcQB+AAT///////////////7////+/////3VxAH4ABwAAAAMSZ2t4eHdFAh4AAgECAgI4AgQCBQIGAgcCCAIJAgoCCwIMAg0CCAIIAggCCAIIAggCCAIIAggCCAIIAggCCAIIAggCCAIIAhMCAwJic3EAfgAAAAAAAnNxAH4ABP///////////////v////7/////dXEAfgAHAAAABC6RhSt4eHdFAh4AAgECAgIuAgQCBQIGAgcCCAIJAgoCCwIMAg0CCAIIAggCCAIIAggCCAIIAggCCAIIAggCCAIIAggCCAIIAhMCAwJjc3EAfgAAAAAAAnNxAH4ABP///////////////v////7/////dXEAfgAHAAAABCsQC1F4eHdFAh4AAgECAgI4AgQCBQIGAgcCCAIJAh4CCwIMAg0CCAIIAggCCAIIAggCCAIIAggCCAIIAggCCAIIAggCCAIIAhMCAwJkc3EAfgAAAAAAAnNxAH4ABP///////////////v////7/////dXEAfgAHAAAAAxKat3h4d0UCHgACAQICAiwCBAIFAgYCBwIIAgkCCgILAgwCDQIIAggCCAIIAggCCAIIAggCCAIIAggCCAIIAggCCAIIAggCEwIDAmVzcQB+AAAAAAACc3EAfgAE///////////////+/////v////91cQB+AAcAAAAEC9ESdHh4d0UCHgACAQICAigCBAIFAgYCBwIIAgkCIQILAgwCDQIIAggCCAIIAggCCAIIAggCCAIIAggCCAIIAggCCAIIAggCEwIDAmZzcQB+AAAAAAACc3EAfgAE///////////////+/////v////91cQB+AAcAAAAEAlAe6Xh4d0UCHgACAQICAioCBAIFAgYCBwIIAgkCIQILAgwCDQIIAggCCAIIAggCCAIIAggCCAIIAggCCAIIAggCCAIIAggCEwIDAmdzcQB+AAAAAAACc3EAfgAE///////////////+/////v////91cQB+AAcAAAAEAtdnVHh4d0UCHgACAQICAkcCBAIFAgYCBwIIAgkCCgILAgwCDQIIAggCCAIIAggCCAIIAggCCAIIAggCCAIIAggCCAIIAggCEwIDAmhzcQB+AAAAAAACc3EAfgAE///////////////+/////v////91cQB+AAcAAAAEKeDlE3h4d0UCHgACAQICAlkCBAIFAgYCBwIIAgkCIQILAgwCDQIIAggCCAIIAggCCAIIAggCCAIIAggCCAIIAggCCAIIAggCEwIDAmlzcQB+AAAAAAACc3EAfgAE///////////////+/////v////91cQB+AAcAAAADMvcReHh3RQIeAAIBAgICPwIEAgUCBgIHAggCCQIhAgsCDAINAggCCAIIAggCCAIIAggCCAIIAggCCAIIAggCCAIIAggCCAITAgMCanNxAH4AAAAAAAJzcQB+AAT///////////////7////+/////3VxAH4ABwAAAAQdEKl0eHh3RQIeAAIBAgICRwIEAgUCBgIHAggCCQIeAgsCDAINAggCCAIIAggCCAIIAggCCAIIAggCCAIIAggCCAIIAggCCAITAgMCa3NxAH4AAAAAAAJzcQB+AAT///////////////7////+/////3VxAH4ABwAAAAMSjtR4eHdFAh4AAgECAgIdAgQCBQIGAgcCCAIJAgoCCwIMAg0CCAIIAggCCAIIAggCCAIIAggCCAIIAggCCAIIAggCCAIIAhMCAwJsc3EAfgAAAAAAAnNxAH4ABP///////////////v////7/////dXEAfgAHAAAABB6uCU94eHdUAh4AAm0ACTUyMTc5Njc2OAICAiwCBAIFAgYCBwIIAgkCCgILAm4AAldBAg0CCAIIAggCCAIIAggCCAIIAggCCAIIAggCCAIIAggCCAIIAhICAwJvc3EAfgAAAAAAAnNxAH4ABP///////////////v////7/////dXEAfgAHAAAABBJUFap4eHdFAh4AAm0CAgIgAgQCBQIGAgcCCAIJAgoCCwJuAg0CCAIIAggCCAIIAggCCAIIAggCCAIIAggCCAIIAggCCAIIAhICAwJwc3EAfgAAAAAAAnNxAH4ABP///////////////v////7/////dXEAfgAHAAAABEwrC4B4eHdFAh4AAm0CAgImAgQCBQIGAgcCCAIJAgoCCwJuAg0CCAIIAggCCAIIAggCCAIIAggCCAIIAggCCAIIAggCCAIIAhICAwJxc3EAfgAAAAAAAnNxAH4ABP///////////////v////7/////dXEAfgAHAAAABFgLByx4eHdFAh4AAm0CAgI1AgQCBQIGAgcCCAIJAgoCCwJuAg0CCAIIAggCCAIIAggCCAIIAggCCAIIAggCCAIIAggCCAIIAhICAwJyc3EAfgAAAAAAAnNxAH4ABP///////////////v////7/////dXEAfgAHAAAABEI0vHx4eHeaAh4AAm0CAgJzAAYyMDE4MDQCBAIFAgYCBwIIAgkCdAAGMTkxMDI1AgsCbgINAggCCAIIAggCCAIIAggCCAIIAggCCAIIAggCCAIIAggCCAISAgMCJAIeAAJtAgICTQIEAgUCBgIHAggCCQIhAgsCbgINAggCCAIIAggCCAIIAggCCAIIAggCCAIIAggCCAIIAggCCAISAgMCdXNxAH4AAAAAAAJzcQB+AAT///////////////7////+/////3VxAH4ABwAAAAMylNZ4eHdFAh4AAm0CAgIoAgQCBQIGAgcCCAIJAgoCCwJuAg0CCAIIAggCCAIIAggCCAIIAggCCAIIAggCCAIIAggCCAIIAhICAwJ2c3EAfgAAAAAAAnNxAH4ABP///////////////v////7/////dXEAfgAHAAAABEhweK94eHdFAh4AAm0CAgI9AgQCBQIGAgcCCAIJAiECCwJuAg0CCAIIAggCCAIIAggCCAIIAggCCAIIAggCCAIIAggCCAIIAhICAwJ3c3EAfgAAAAAAAnNxAH4ABP///////////////v////7/////dXEAfgAHAAAABAM2kpl4eHdNAh4AAm0CAgJ4AAYyMDE2MDICBAIFAgYCBwIIAgkCdAILAm4CDQIIAggCCAIIAggCCAIIAggCCAIIAggCCAIIAggCCAIIAggCEgIDAnlzcQB+AAAAAAACc3EAfgAE///////////////+/////v////91cQB+AAcAAAADEhXLeHh3RQIeAAJtAgICMwIEAgUCBgIHAggCCQJ0AgsCbgINAggCCAIIAggCCAIIAggCCAIIAggCCAIIAggCCAIIAggCCAISAgMCenNxAH4AAAAAAAJzcQB+AAT///////////////7////+/////3VxAH4ABwAAAAMEq5d4eHdFAh4AAm0CAgIwAgQCBQIGAgcCCAIJAnQCCwJuAg0CCAIIAggCCAIIAggCCAIIAggCCAIIAggCCAIIAggCCAIIAhICAwJ7c3EAfgAAAAAAAnNxAH4ABP///////////////v////7/////dXEAfgAHAAAAAwPcq3h4d0UCHgACbQICAgMCBAIFAgYCBwIIAgkCdAILAm4CDQIIAggCCAIIAggCCAIIAggCCAIIAggCCAIIAggCCAIIAggCEgIDAnxzcQB+AAAAAAACc3EAfgAE///////////////+/////v////91cQB+AAcAAAADBT+veHh3igIeAAJtAgICGwIEAgUCBgIHAggCCQJ0AgsCbgINAggCCAIIAggCCAIIAggCCAIIAggCCAIIAggCCAIIAggCCAISAgMCJAIeAAJtAgICPwIEAgUCBgIHAggCCQIKAgsCbgINAggCCAIIAggCCAIIAggCCAIIAggCCAIIAggCCAIIAggCCAISAgMCfXNxAH4AAAAAAAJzcQB+AAT///////////////7////+/////3VxAH4ABwAAAAQoo9pZeHh3kgIeAAJtAgICIwIEAgUCBgIHAggCCQJ0AgsCbgINAggCCAIIAggCCAIIAggCCAIIAggCCAIIAggCCAIIAggCCAISAgMCJAIeAAJtAgICfgAGMjAxODA2AgQCBQIGAgcCCAIJAgoCCwJuAg0CCAIIAggCCAIIAggCCAIIAggCCAIIAggCCAIIAggCCAIIAhICAwJ/c3EAfgAAAAAAAnNxAH4ABP///////////////v////7/////dXEAfgAHAAAABFzlwLB4eHdFAh4AAm0CAgIuAgQCBQIGAgcCCAIJAiECCwJuAg0CCAIIAggCCAIIAggCCAIIAggCCAIIAggCCAIIAggCCAIIAhICAwKAc3EAfgAAAAAAAnNxAH4ABP///////////////v////7/////dXEAfgAHAAAABAOri614eHdFAh4AAm0CAgIqAgQCBQIGAgcCCAIJAgoCCwJuAg0CCAIIAggCCAIIAggCCAIIAggCCAIIAggCCAIIAggCCAIIAhICAwKBc3EAfgAAAAAAAnNxAH4ABP///////////////v////7/////dXEAfgAHAAAABFn95fJ4eHdFAh4AAm0CAgJHAgQCBQIGAgcCCAIJAnQCCwJuAg0CCAIIAggCCAIIAggCCAIIAggCCAIIAggCCAIIAggCCAIIAhICAwKCc3EAfgAAAAAAAnNxAH4ABP///////////////v////7/////dXEAfgAHAAAAAwR0jXh4d0UCHgACbQICAh0CBAIFAgYCBwIIAgkCdAILAm4CDQIIAggCCAIIAggCCAIIAggCCAIIAggCCAIIAggCCAIIAggCEgIDAoNzcQB+AAAAAAACc3EAfgAE///////////////+/////v////91cQB+AAcAAAADDoPdeHh3RQIeAAJtAgICOAIEAgUCBgIHAggCCQIhAgsCbgINAggCCAIIAggCCAIIAggCCAIIAggCCAIIAggCCAIIAggCCAISAgMChHNxAH4AAAAAAAJzcQB+AAT///////////////7////+/////3VxAH4ABwAAAAQCCvb0eHh3RQIeAAJtAgICPQIEAgUCBgIHAggCCQIKAgsCbgINAggCCAIIAggCCAIIAggCCAIIAggCCAIIAggCCAIIAggCCAISAgMChXNxAH4AAAAAAAJzcQB+AAT///////////////7////+/////3VxAH4ABwAAAARaL7WteHh3RQIeAAJtAgICTQIEAgUCBgIHAggCCQIKAgsCbgINAggCCAIIAggCCAIIAggCCAIIAggCCAIIAggCCAIIAggCCAISAgMChnNxAH4AAAAAAAJzcQB+AAT///////////////7////+/////3VxAH4ABwAAAARlMUGreHh3RQIeAAJtAgICeAIEAgUCBgIHAggCCQIKAgsCbgINAggCCAIIAggCCAIIAggCCAIIAggCCAIIAggCCAIIAggCCAISAgMCh3NxAH4AAAAAAAJzcQB+AAT///////////////7////+/////3VxAH4ABwAAAAQ3OPVPeHh3RQIeAAJtAgICLAIEAgUCBgIHAggCCQIhAgsCbgINAggCCAIIAggCCAIIAggCCAIIAggCCAIIAggCCAIIAggCCAISAgMCiHNxAH4AAAAAAAJzcQB+AAT///////////////7////+/////3VxAH4ABwAAAARMQw4VeHh3RQIeAAJtAgICMwIEAgUCBgIHAggCCQIKAgsCbgINAggCCAIIAggCCAIIAggCCAIIAggCCAIIAggCCAIIAggCCAISAgMCiXNxAH4AAAAAAAJzcQB+AAT///////////////7////+/////3VxAH4ABwAAAARTY5smeHh3igIeAAJtAgICfgIEAgUCBgIHAggCCQJ0AgsCbgINAggCCAIIAggCCAIIAggCCAIIAggCCAIIAggCCAIIAggCCAISAgMCJAIeAAJtAgICKAIEAgUCBgIHAggCCQJ0AgsCbgINAggCCAIIAggCCAIIAggCCAIIAggCCAIIAggCCAIIAggCCAISAgMCinNxAH4AAAAAAAJzcQB+AAT///////////////7////+/////3VxAH4ABwAAAAMMxv54eHdFAh4AAm0CAgIqAgQCBQIGAgcCCAIJAnQCCwJuAg0CCAIIAggCCAIIAggCCAIIAggCCAIIAggCCAIIAggCCAIIAhICAwKLc3EAfgAAAAAAAnNxAH4ABP///////////////v////7/////dXEAfgAHAAAAAwRWK3h4d0UCHgACbQICAiYCBAIFAgYCBwIIAgkCIQILAm4CDQIIAggCCAIIAggCCAIIAggCCAIIAggCCAIIAggCCAIIAggCEgIDAoxzcQB+AAAAAAACc3EAfgAE///////////////+/////v////91cQB+AAcAAAAEA91NIHh4d0UCHgACbQICAiMCBAIFAgYCBwIIAgkCIQILAm4CDQIIAggCCAIIAggCCAIIAggCCAIIAggCCAIIAggCCAIIAggCEgIDAo1zcQB+AAAAAAACc3EAfgAE///////////////+/////v////91cQB+AAcAAAAEBEpBlXh4d0UCHgACbQICAgMCBAIFAgYCBwIIAgkCCgILAm4CDQIIAggCCAIIAggCCAIIAggCCAIIAggCCAIIAggCCAIIAggCEgIDAo5zcQB+AAAAAAACc3EAfgAE///////////////+/////v////91cQB+AAcAAAAEYo3LFnh4d0UCHgACbQICAhsCBAIFAgYCBwIIAgkCCgILAm4CDQIIAggCCAIIAggCCAIIAggCCAIIAggCCAIIAggCCAIIAggCEgIDAo9zcQB+AAAAAAACc3EAfgAE///////////////+/////v////91cQB+AAcAAAAEMNCqs3h4d00CHgACbQICApAABjIwMTgwMQIEAgUCBgIHAggCCQIKAgsCbgINAggCCAIIAggCCAIIAggCCAIIAggCCAIIAggCCAIIAggCCAISAgMCkXNxAH4AAAAAAAJzcQB+AAT///////////////7////+/////3VxAH4ABwAAAARO7ujaeHh3TQIeAAJtAgICkgAGMjAxNzAyAgQCBQIGAgcCCAIJAnQCCwJuAg0CCAIIAggCCAIIAggCCAIIAggCCAIIAggCCAIIAggCCAIIAhICAwKTc3EAfgAAAAAAAnNxAH4ABP///////////////v////7/////dXEAfgAHAAAAAwT7aHh4d0UCHgACbQICAiACBAIFAgYCBwIIAgkCIQILAm4CDQIIAggCCAIIAggCCAIIAggCCAIIAggCCAIIAggCCAIIAggCEgIDApRzcQB+AAAAAAACc3EAfgAE///////////////+/////v////91cQB+AAcAAAAEBDaJ43h4d0UCHgACbQICAkkCBAIFAgYCBwIIAgkCIQILAm4CDQIIAggCCAIIAggCCAIIAggCCAIIAggCCAIIAggCCAIIAggCEgIDApVzcQB+AAAAAAACc3EAfgAE///////////////+/////v////91cQB+AAcAAAAEAr0/pHh4d5oCHgACbQICApYABjIwMTgwMwIEAgUCBgIHAggCCQJ0AgsCbgINAggCCAIIAggCCAIIAggCCAIIAggCCAIIAggCCAIIAggCCAISAgMCJAIeAAJtAgIClwAGMjAxODAyAgQCBQIGAgcCCAIJAiECCwJuAg0CCAIIAggCCAIIAggCCAIIAggCCAIIAggCCAIIAggCCAIIAhICAwKYc3EAfgAAAAAAAnNxAH4ABP///////////////v////7/////dXEAfgAHAAAABBli52V4eHdFAh4AAm0CAgJzAgQCBQIGAgcCCAIJAgoCCwJuAg0CCAIIAggCCAIIAggCCAIIAggCCAIIAggCCAIIAggCCAIIAhICAwKZc3EAfgAAAAAAAnNxAH4ABP///////////////v////7/////dXEAfgAHAAAABFqpyF94eHdFAh4AAm0CAgI/AgQCBQIGAgcCCAIJAnQCCwJuAg0CCAIIAggCCAIIAggCCAIIAggCCAIIAggCCAIIAggCCAIIAhICAwKac3EAfgAAAAAAAnNxAH4ABP///////////////v////7/////dXEAfgAHAAAAAwbck3h4d0UCHgACbQICAkUCBAIFAgYCBwIIAgkCIQILAm4CDQIIAggCCAIIAggCCAIIAggCCAIIAggCCAIIAggCCAIIAggCEgIDAptzcQB+AAAAAAACc3EAfgAE///////////////+/////gAAAAF1cQB+AAcAAAAEAo6woHh4d0UCHgACbQICAjUCBAIFAgYCBwIIAgkCIQILAm4CDQIIAggCCAIIAggCCAIIAggCCAIIAggCCAIIAggCCAIIAggCEgIDApxzcQB+AAAAAAACc3EAfgAE///////////////+/////v////91cQB+AAcAAAAENEm+I3h4d00CHgACbQICAp0ABjIwMTcwMQIEAgUCBgIHAggCCQIhAgsCbgINAggCCAIIAggCCAIIAggCCAIIAggCCAIIAggCCAIIAggCCAISAgMCnnNxAH4AAAAAAAJzcQB+AAT///////////////7////+/////3VxAH4ABwAAAAQo6Ya2eHh3RQIeAAJtAgICWQIEAgUCBgIHAggCCQJ0AgsCbgINAggCCAIIAggCCAIIAggCCAIIAggCCAIIAggCCAIIAggCCAISAgMCn3NxAH4AAAAAAAJzcQB+AAT///////////////7////+/////3VxAH4ABwAAAAMHjdR4eHdFAh4AAm0CAgKXAgQCBQIGAgcCCAIJAgoCCwJuAg0CCAIIAggCCAIIAggCCAIIAggCCAIIAggCCAIIAggCCAIIAhICAwKgc3EAfgAAAAAAAnNxAH4ABP///////////////v////7/////dXEAfgAHAAAABE8qcfl4eHdFAh4AAm0CAgKdAgQCBQIGAgcCCAIJAgoCCwJuAg0CCAIIAggCCAIIAggCCAIIAggCCAIIAggCCAIIAggCCAIIAhICAwKhc3EAfgAAAAAAAnNxAH4ABP///////////////v////7/////dXEAfgAHAAAABD0VO3Z4eHdFAh4AAm0CAgJ4AgQCBQIGAgcCCAIJAiECCwJuAg0CCAIIAggCCAIIAggCCAIIAggCCAIIAggCCAIIAggCCAIIAhICAwKic3EAfgAAAAAAAnNxAH4ABP///////////////v////7/////dXEAfgAHAAAABAgl/7F4eHdFAh4AAm0CAgJzAgQCBQIGAgcCCAIJAiECCwJuAg0CCAIIAggCCAIIAggCCAIIAggCCAIIAggCCAIIAggCCAIIAhICAwKjc3EAfgAAAAAAAnNxAH4ABP///////////////v////7/////dXEAfgAHAAAABAcZP5l4eHdFAh4AAm0CAgJNAgQCBQIGAgcCCAIJAnQCCwJuAg0CCAIIAggCCAIIAggCCAIIAggCCAIIAggCCAIIAggCCAIIAhICAwKkc3EAfgAAAAAAAnNxAH4ABP///////////////v////7/////dXEAfgAHAAAAAwQlCXh4d0UCHgACbQICAlkCBAIFAgYCBwIIAgkCCgILAm4CDQIIAggCCAIIAggCCAIIAggCCAIIAggCCAIIAggCCAIIAggCEgIDAqVzcQB+AAAAAAACc3EAfgAE///////////////+/////v////91cQB+AAcAAAAEYTEIFHh4d0UCHgACbQICApYCBAIFAgYCBwIIAgkCIQILAm4CDQIIAggCCAIIAggCCAIIAggCCAIIAggCCAIIAggCCAIIAggCEgIDAqZzcQB+AAAAAAACc3EAfgAE///////////////+/////v////91cQB+AAcAAAAEDlPJjHh4d0UCHgACbQICAi4CBAIFAgYCBwIIAgkCdAILAm4CDQIIAggCCAIIAggCCAIIAggCCAIIAggCCAIIAggCCAIIAggCEgIDAqdzcQB+AAAAAAACc3EAfgAE///////////////+/////v////91cQB+AAcAAAADCoBUeHh3RQIeAAJtAgICkgIEAgUCBgIHAggCCQIhAgsCbgINAggCCAIIAggCCAIIAggCCAIIAggCCAIIAggCCAIIAggCCAISAgMCqHNxAH4AAAAAAAJzcQB+AAT///////////////7////+/////3VxAH4ABwAAAAQbRzHTeHh3RQIeAAJtAgICOAIEAgUCBgIHAggCCQJ0AgsCbgINAggCCAIIAggCCAIIAggCCAIIAggCCAIIAggCCAIIAggCCAISAgMCqXNxAH4AAAAAAAJzcQB+AAT///////////////7////+/////3VxAH4ABwAAAAMENDh4eHdFAh4AAm0CAgKWAgQCBQIGAgcCCAIJAgoCCwJuAg0CCAIIAggCCAIIAggCCAIIAggCCAIIAggCCAIIAggCCAIIAhICAwKqc3EAfgAAAAAAAnNxAH4ABP///////////////v////7/////dXEAfgAHAAAABFJ+oxp4eHdFAh4AAm0CAgJJAgQCBQIGAgcCCAIJAnQCCwJuAg0CCAIIAggCCAIIAggCCAIIAggCCAIIAggCCAIIAggCCAIIAhICAwKrc3EAfgAAAAAAAnNxAH4ABP///////////////v////7/////dXEAfgAHAAAAAwi2nHh4d0UCHgACbQICAkcCBAIFAgYCBwIIAgkCIQILAm4CDQIIAggCCAIIAggCCAIIAggCCAIIAggCCAIIAggCCAIIAggCEgIDAqxzcQB+AAAAAAACc3EAfgAE///////////////+/////v////91cQB+AAcAAAAECfBqRnh4d0UCHgACbQICAh0CBAIFAgYCBwIIAgkCIQILAm4CDQIIAggCCAIIAggCCAIIAggCCAIIAggCCAIIAggCCAIIAggCEgIDAq1zcQB+AAAAAAACc3EAfgAE///////////////+/////v////91cQB+AAcAAAAEBeiObnh4d0UCHgACbQICAkUCBAIFAgYCBwIIAgkCCgILAm4CDQIIAggCCAIIAggCCAIIAggCCAIIAggCCAIIAggCCAIIAggCEgIDAq5zcQB+AAAAAAACc3EAfgAE///////////////+/////v////91cQB+AAcAAAAEcQZZSXh4d0UCHgACbQICAkkCBAIFAgYCBwIIAgkCCgILAm4CDQIIAggCCAIIAggCCAIIAggCCAIIAggCCAIIAggCCAIIAggCEgIDAq9zcQB+AAAAAAACc3EAfgAE///////////////+/////v////91cQB+AAcAAAAEXVdQyXh4d0UCHgACbQICApICBAIFAgYCBwIIAgkCCgILAm4CDQIIAggCCAIIAggCCAIIAggCCAIIAggCCAIIAggCCAIIAggCEgIDArBzcQB+AAAAAAACc3EAfgAE///////////////+/////v////91cQB+AAcAAAAESYtTyXh4d4oCHgACbQICApACBAIFAgYCBwIIAgkCdAILAm4CDQIIAggCCAIIAggCCAIIAggCCAIIAggCCAIIAggCCAIIAggCEgIDAiQCHgACbQICAjACBAIFAgYCBwIIAgkCIQILAm4CDQIIAggCCAIIAggCCAIIAggCCAIIAggCCAIIAggCCAIIAggCEgIDArFzcQB+AAAAAAACc3EAfgAE///////////////+/////gAAAAF1cQB+AAcAAAAECQ0V/Xh4d0UCHgACbQICAj0CBAIFAgYCBwIIAgkCdAILAm4CDQIIAggCCAIIAggCCAIIAggCCAIIAggCCAIIAggCCAIIAggCEgIDArJzcQB+AAAAAAACc3EAfgAE///////////////+/////v////91cQB+AAcAAAADCZ5/eHh3RQIeAAJtAgICMwIEAgUCBgIHAggCCQIhAgsCbgINAggCCAIIAggCCAIIAggCCAIIAggCCAIIAggCCAIIAggCCAISAgMCs3NxAH4AAAAAAAJzcQB+AAT///////////////7////+/////3VxAH4ABwAAAAQQ/fIjeHh3RQIeAAJtAgICnQIEAgUCBgIHAggCCQJ0AgsCbgINAggCCAIIAggCCAIIAggCCAIIAggCCAIIAggCCAIIAggCCAISAgMCtHNxAH4AAAAAAAJzcQB+AAT///////////////7////+/////3VxAH4ABwAAAAMFZP94eHeKAh4AAm0CAgI1AgQCBQIGAgcCCAIJAnQCCwJuAg0CCAIIAggCCAIIAggCCAIIAggCCAIIAggCCAIIAggCCAIIAhICAwIkAh4AAm0CAgIsAgQCBQIGAgcCCAIJAnQCCwJuAg0CCAIIAggCCAIIAggCCAIIAggCCAIIAggCCAIIAggCCAIIAhICAwK1c3EAfgAAAAAAAnNxAH4ABP///////////////v////7/////dXEAfgAHAAAAAwZoK3h4d4oCHgACbQICAn4CBAIFAgYCBwIIAgkCIQILAm4CDQIIAggCCAIIAggCCAIIAggCCAIIAggCCAIIAggCCAIIAggCEgIDAo0CHgACbQICAigCBAIFAgYCBwIIAgkCIQILAm4CDQIIAggCCAIIAggCCAIIAggCCAIIAggCCAIIAggCCAIIAggCEgIDArZzcQB+AAAAAAACc3EAfgAE///////////////+/////v////91cQB+AAcAAAAEBOQwD3h4d0UCHgACbQICAlkCBAIFAgYCBwIIAgkCIQILAm4CDQIIAggCCAIIAggCCAIIAggCCAIIAggCCAIIAggCCAIIAggCEgIDArdzcQB+AAAAAAACc3EAfgAE///////////////+/////v////91cQB+AAcAAAAEAhunbnh4d0UCHgACbQICAjACBAIFAgYCBwIIAgkCCgILAm4CDQIIAggCCAIIAggCCAIIAggCCAIIAggCCAIIAggCCAIIAggCEgIDArhzcQB+AAAAAAACc3EAfgAE///////////////+/////v////91cQB+AAcAAAAEgtyI8Xh4d4oCHgACbQICApcCBAIFAgYCBwIIAgkCdAILAm4CDQIIAggCCAIIAggCCAIIAggCCAIIAggCCAIIAggCCAIIAggCEgIDAiQCHgACbQICApACBAIFAgYCBwIIAgkCIQILAm4CDQIIAggCCAIIAggCCAIIAggCCAIIAggCCAIIAggCCAIIAggCEgIDArlzcQB+AAAAAAACc3EAfgAE///////////////+/////v////91cQB+AAcAAAAEJnGjV3h4d4oCHgACbQICAiMCBAIFAgYCBwIIAgkCCgILAm4CDQIIAggCCAIIAggCCAIIAggCCAIIAggCCAIIAggCCAIIAggCEgIDAn8CHgACbQICAgMCBAIFAgYCBwIIAgkCIQILAm4CDQIIAggCCAIIAggCCAIIAggCCAIIAggCCAIIAggCCAIIAggCEgIDArpzcQB+AAAAAAACc3EAfgAE///////////////+/////v////91cQB+AAcAAAADvFyyeHh3RQIeAAJtAgICRwIEAgUCBgIHAggCCQIKAgsCbgINAggCCAIIAggCCAIIAggCCAIIAggCCAIIAggCCAIIAggCCAISAgMCu3NxAH4AAAAAAAJzcQB+AAT///////////////7////+/////3VxAH4ABwAAAARacNl3eHh3RQIeAAJtAgICGwIEAgUCBgIHAggCCQIhAgsCbgINAggCCAIIAggCCAIIAggCCAIIAggCCAIIAggCCAIIAggCCAISAgMCvHNxAH4AAAAAAAJzcQB+AAT///////////////7////+/////3VxAH4ABwAAAAREule8eHh3RQIeAAJtAgICRQIEAgUCBgIHAggCCQJ0AgsCbgINAggCCAIIAggCCAIIAggCCAIIAggCCAIIAggCCAIIAggCCAISAgMCvXNxAH4AAAAAAAJzcQB+AAT///////////////7////+/////3VxAH4ABwAAAAMEDq54eHdFAh4AAm0CAgIuAgQCBQIGAgcCCAIJAgoCCwJuAg0CCAIIAggCCAIIAggCCAIIAggCCAIIAggCCAIIAggCCAIIAhICAwK+c3EAfgAAAAAAAnNxAH4ABP///////////////v////7/////dXEAfgAHAAAABFSIS5t4eHdFAh4AAm0CAgI4AgQCBQIGAgcCCAIJAgoCCwJuAg0CCAIIAggCCAIIAggCCAIIAggCCAIIAggCCAIIAggCCAIIAhICAwK/c3EAfgAAAAAAAnNxAH4ABP///////////////v////7/////dXEAfgAHAAAABF7UYvh4eHdFAh4AAm0CAgI/AgQCBQIGAgcCCAIJAiECCwJuAg0CCAIIAggCCAIIAggCCAIIAggCCAIIAggCCAIIAggCCAIIAhICAwLAc3EAfgAAAAAAAnNxAH4ABP///////////////v////7/////dXEAfgAHAAAABDuLiL14eHdFAh4AAm0CAgIdAgQCBQIGAgcCCAIJAgoCCwJuAg0CCAIIAggCCAIIAggCCAIIAggCCAIIAggCCAIIAggCCAIIAhICAwLBc3EAfgAAAAAAAnNxAH4ABP///////////////v////7/////dXEAfgAHAAAABD37VuJ4eHdFAh4AAm0CAgImAgQCBQIGAgcCCAIJAnQCCwJuAg0CCAIIAggCCAIIAggCCAIIAggCCAIIAggCCAIIAggCCAIIAhICAwLCc3EAfgAAAAAAAnNxAH4ABP///////////////v////7/////dXEAfgAHAAAAAwRDenh4d0UCHgACbQICAiACBAIFAgYCBwIIAgkCdAILAm4CDQIIAggCCAIIAggCCAIIAggCCAIIAggCCAIIAggCCAIIAggCEgIDAsNzcQB+AAAAAAACc3EAfgAE///////////////+/////v////91cQB+AAcAAAADC4KteHh3RQIeAAJtAgICKgIEAgUCBgIHAggCCQIhAgsCbgINAggCCAIIAggCCAIIAggCCAIIAggCCAIIAggCCAIIAggCCAISAgMCxHNxAH4AAAAAAAJzcQB+AAT///////////////7////+/////3VxAH4ABwAAAAQGIRiFeHg=]]></xxe4awand>
</file>

<file path=customXml/item11.xml><?xml version="1.0" encoding="utf-8"?>
<xxe4awand xmlns="http://www.excel4apps.com"><![CDATA[rO0ABXfaCMCtii8CAQSdAwIeAABEY29tLmV4Y2VsNGFwcHMud2FuZC5vcmFjbGUu
Z2x3YW5kLmNhbGN1bGF0aW9ucy5nZXRiYWxhbmNlLkdldEJhbGFuY2UCAQAJMjE5
MDY3MDk2AgIAATACAwAGMjAxNzA1AgQAA1lURAIFAANVU0QCBgAFVG90YWwCBwAB
QQIIAAACCQADMDAxAgoABjE5MTAwMAILAAJHRAIMAAJXQQINAAJETAIIAggCCAII
AggCCAIIAggCCAIIAggCCAIIAggCCAIIAggCBAIDAg5zcgIPABRqYXZhLm1hdGgu
QmlnRGVjaW1hbFTHFVf5gShPAwACSQIQAAVzY2FsZUwCEQAGaW50VmFsdAAWTGph
dmEvbWF0aC9CaWdJbnRlZ2VyO3hyAhIAEGphdmEubGFuZy5OdW1iZXKGrJUdC5Tg
iwIAAHhwAAAAAnNyAhMAFGphdmEubWF0aC5CaWdJbnRlZ2VyjPyfH6k7+x0DAAZJ
AhQACGJpdENvdW50SQIVAAliaXRMZW5ndGhJAhYAE2ZpcnN0Tm9uemVyb0J5dGVO
dW1JAhcADGxvd2VzdFNldEJpdEkCGAAGc2lnbnVtWwIZAAltYWduaXR1ZGV0AAJb
QnhxAH4AAv///////////////v////7/////dXICGgACW0Ks8xf4BghU4AIAAHhwAAAABAYhGIV4eHdNAh4AAgECAgIbAAYyMDE3MDMCBAIFAgYCBwIIAgkCCgILAgwCDQIIAggCCAIIAggCCAIIAggCCAIIAggCCAIIAggCCAIIAggCBAIDAhxzcQB+AAAAAAACc3EAfgAE///////////////+/////v////91cQB+AAcAAAAEEP3yI3h4d00CHgACAQICAh0ABjIwMTcxMgIEAgUCBgIHAggCCQIKAgsCDAINAggCCAIIAggCCAIIAggCCAIIAggCCAIIAggCCAIIAggCCAIEAgMCHnNxAH4AAAAAAAJzcQB+AAT///////////////7////+/////3VxAH4ABwAAAAQ0Sb4jeHh3TQIeAAIBAgICHwAGMjAxNzA3AgQCBQIGAgcCCAIJAgoCCwIMAg0CCAIIAggCCAIIAggCCAIIAggCCAIIAggCCAIIAggCCAIIAgQCAwIgc3EAfgAAAAAAAnNxAH4ABP///////////////v////7/////dXEAfgAHAAAABAIK9vR4eHdNAh4AAgECAgIhAAYyMDE3MTECBAIFAgYCBwIIAgkCCgILAgwCDQIIAggCCAIIAggCCAIIAggCCAIIAggCCAIIAggCCAIIAggCBAIDAiJzcQB+AAAAAAACc3EAfgAE///////////////+/////v////91cQB+AAcAAAAERLpXvHh4d00CHgACAQICAiMABjIwMTgwMQIEAgUCBgIHAggCCQIKAgsCDAINAggCCAIIAggCCAIIAggCCAIIAggCCAIIAggCCAIIAggCCAIEAgMCJHNxAH4AAAAAAAJzcQB+AAT///////////////7////+/////3VxAH4ABwAAAAQmcaNXeHh3TQIeAAIBAgICJQAGMjAxODAzAgQCBQIGAgcCCAIJAgoCCwIMAg0CCAIIAggCCAIIAggCCAIIAggCCAIIAggCCAIIAggCCAIIAgQCAwImc3EAfgAAAAAAAnNxAH4ABP///////////////v////7/////dXEAfgAHAAAABA5TyYx4eHdNAh4AAgECAgInAAYyMDE3MDYCBAIFAgYCBwIIAgkCCgILAgwCDQIIAggCCAIIAggCCAIIAggCCAIIAggCCAIIAggCCAIIAggCBAIDAihzcQB+AAAAAAACc3EAfgAE///////////////+/////v////91cQB+AAcAAAAEA91NIHh4d00CHgACAQICAikABjIwMTcwMgIEAgUCBgIHAggCCQIKAgsCDAINAggCCAIIAggCCAIIAggCCAIIAggCCAIIAggCCAIIAggCCAIEAgMCKnNxAH4AAAAAAAJzcQB+AAT///////////////7////+/////3VxAH4ABwAAAAQbRzHTeHh3TQIeAAIBAgICKwAGMjAxNzA0AgQCBQIGAgcCCAIJAgoCCwIMAg0CCAIIAggCCAIIAggCCAIIAggCCAIIAggCCAIIAggCCAIIAgQCAwIsc3EAfgAAAAAAAnNxAH4ABP///////////////v////7/////dXEAfgAHAAAABAnwakZ4eHdNAh4AAgECAgItAAYyMDE3MTACBAIFAgYCBwIIAgkCCgILAgwCDQIIAggCCAIIAggCCAIIAggCCAIIAggCCAIIAggCCAIIAggCBAIDAi5zcQB+AAAAAAACc3EAfgAE///////////////+/////gAAAAF1cQB+AAcAAAAECQ0V/Xh4d00CHgACAQICAi8ABjIwMTcwOQIEAgUCBgIHAggCCQIKAgsCDAINAggCCAIIAggCCAIIAggCCAIIAggCCAIIAggCCAIIAggCCAIEAgMCMHNxAH4AAAAAAAJzcQB+AAT///////////////7////+AAAAAXVxAH4ABwAAAAQCjrCgeHh3TQIeAAIBAgICMQAGMjAxNzA4AgQCBQIGAgcCCAIJAgoCCwIMAg0CCAIIAggCCAIIAggCCAIIAggCCAIIAggCCAIIAggCCAIIAgQCAwIyc3EAfgAAAAAAAnNxAH4ABP///////////////v////7/////dXEAfgAHAAAAAzKU1nh4d00CHgACAQICAjMABjIwMTgwMgIEAgUCBgIHAggCCQIKAgsCDAINAggCCAIIAggCCAIIAggCCAIIAggCCAIIAggCCAIIAggCCAIEAgMCNHNxAH4AAAAAAAJzcQB+AAT///////////////7////+/////3VxAH4ABwAAAAQZYudleHh3TQIeAAIBAgICNQAGMjAxNzAxAgQCBQIGAgcCCAIJAgoCCwIMAg0CCAIIAggCCAIIAggCCAIIAggCCAIIAggCCAIIAggCCAIIAgQCAwI2c3EAfgAAAAAAAnNxAH4ABP///////////////v////7/////dXEAfgAHAAAABCjphrZ4eHdYAh4AAjcACTQzMTcwMzA1NgICAjECBAIFAgYCBwIIAgkCOAAGMTkxMDEwAgsCDAINAggCCAIIAggCCAIIAggCCAIIAggCCAIIAggCCAIIAggCCAICAgMCOXNxAH4AAAAAAAJzcQB+AAT///////////////7////+/////3VxAH4ABwAAAARlMUGreHh3RQIeAAI3AgICIQIEAgUCBgIHAggCCQI4AgsCDAINAggCCAIIAggCCAIIAggCCAIIAggCCAIIAggCCAIIAggCCAICAgMCOnNxAH4AAAAAAAJzcQB+AAT///////////////7////+/////3VxAH4ABwAAAAQw0KqzeHh3RQIeAAI3AgICIwIEAgUCBgIHAggCCQI4AgsCDAINAggCCAIIAggCCAIIAggCCAIIAggCCAIIAggCCAIIAggCCAICAgMCO3NxAH4AAAAAAAJzcQB+AAT///////////////7////+/////3VxAH4ABwAAAARO7ujaeHh3RQIeAAI3AgICJQIEAgUCBgIHAggCCQI4AgsCDAINAggCCAIIAggCCAIIAggCCAIIAggCCAIIAggCCAIIAggCCAICAgMCPHNxAH4AAAAAAAJzcQB+AAT///////////////7////+/////3VxAH4ABwAAAARSfqMaeHh3RQIeAAI3AgICKQIEAgUCBgIHAggCCQI4AgsCDAINAggCCAIIAggCCAIIAggCCAIIAggCCAIIAggCCAIIAggCCAICAgMCPXNxAH4AAAAAAAJzcQB+AAT///////////////7////+/////3VxAH4ABwAAAARJi1PJeHh3RQIeAAI3AgICJwIEAgUCBgIHAggCCQI4AgsCDAINAggCCAIIAggCCAIIAggCCAIIAggCCAIIAggCCAIIAggCCAICAgMCPnNxAH4AAAAAAAJzcQB+AAT///////////////7////+/////3VxAH4ABwAAAARYCwcseHh3RQIeAAI3AgICKwIEAgUCBgIHAggCCQI4AgsCDAINAggCCAIIAggCCAIIAggCCAIIAggCCAIIAggCCAIIAggCCAICAgMCP3NxAH4AAAAAAAJzcQB+AAT///////////////7////+/////3VxAH4ABwAAAARacNl3eHh3RQIeAAI3AgICLQIEAgUCBgIHAggCCQI4AgsCDAINAggCCAIIAggCCAIIAggCCAIIAggCCAIIAggCCAIIAggCCAICAgMCQHNxAH4AAAAAAAJzcQB+AAT///////////////7////+/////3VxAH4ABwAAAASC3IjxeHh3RQIeAAI3AgICMwIEAgUCBgIHAggCCQI4AgsCDAINAggCCAIIAggCCAIIAggCCAIIAggCCAIIAggCCAIIAggCCAICAgMCQXNxAH4AAAAAAAJzcQB+AAT///////////////7////+/////3VxAH4ABwAAAARPKnH5eHh3RQIeAAI3AgICHQIEAgUCBgIHAggCCQI4AgsCDAINAggCCAIIAggCCAIIAggCCAIIAggCCAIIAggCCAIIAggCCAICAgMCQnNxAH4AAAAAAAJzcQB+AAT///////////////7////+/////3VxAH4ABwAAAARCNLx8eHh3RQIeAAI3AgICLwIEAgUCBgIHAggCCQI4AgsCDAINAggCCAIIAggCCAIIAggCCAIIAggCCAIIAggCCAIIAggCCAICAgMCQ3NxAH4AAAAAAAJzcQB+AAT///////////////7////+/////3VxAH4ABwAAAARxBllJeHh3RQIeAAI3AgICAwIEAgUCBgIHAggCCQI4AgsCDAINAggCCAIIAggCCAIIAggCCAIIAggCCAIIAggCCAIIAggCCAICAgMCRHNxAH4AAAAAAAJzcQB+AAT///////////////7////+/////3VxAH4ABwAAAARZ/eXyeHh3RQIeAAI3AgICNQIEAgUCBgIHAggCCQI4AgsCDAINAggCCAIIAggCCAIIAggCCAIIAggCCAIIAggCCAIIAggCCAICAgMCRXNxAH4AAAAAAAJzcQB+AAT///////////////7////+/////3VxAH4ABwAAAAQ9FTt2eHh3RQIeAAI3AgICGwIEAgUCBgIHAggCCQI4AgsCDAINAggCCAIIAggCCAIIAggCCAIIAggCCAIIAggCCAIIAggCCAICAgMCRnNxAH4AAAAAAAJzcQB+AAT///////////////7////+/////3VxAH4ABwAAAARTY5smeHh3RQIeAAI3AgICHwIEAgUCBgIHAggCCQI4AgsCDAINAggCCAIIAggCCAIIAggCCAIIAggCCAIIAggCCAIIAggCCAICAgMCR3NxAH4AAAAAAAJzcQB+AAT///////////////7////+/////3VxAH4ABwAAAARe1GL4eHh3VAIeAAJIAAk0MTcwMTU5MDQCAgItAgQCBQIGAgcCCAIJAjgCCwJJAAJJRAINAggCCAIIAggCCAIIAggCCAIIAggCCAIIAggCCAIIAggCCAITAgMCSnNxAH4AAAAAAAJzcQB+AAT///////////////7////+/////3VxAH4ABwAAAARDRE3geHh3VQIeAAJIAgICSwAGMjAxNjAyAgQCBQIGAgcCCAIJAkwABjE5MTAxNQILAkkCDQIIAggCCAIIAggCCAIIAggCCAIIAggCCAIIAggCCAIIAggCEwIDAk1zcQB+AAAAAAACc3EAfgAE///////////////+/////v////91cQB+AAcAAAADEle/eHh3RQIeAAJIAgICGwIEAgUCBgIHAggCCQJMAgsCSQINAggCCAIIAggCCAIIAggCCAIIAggCCAIIAggCCAIIAggCCAITAgMCTnNxAH4AAAAAAAJzcQB+AAT///////////////7////+/////3VxAH4ABwAAAAMSit94eHdNAh4AAkgCAgJPAAYyMDE4MDQCBAIFAgYCBwIIAgkCTAILAkkCDQIIAggCCAIIAggCCAIIAggCCAIIAggCCAIIAggCCAIIAggCEwIDAlBzcQB+AAAAAAACc3EAfgAE///////////////+/////gAAAAB1cQB+AAcAAAAAeHh3RQIeAAJIAgICHQIEAgUCBgIHAggCCQIKAgsCSQINAggCCAIIAggCCAIIAggCCAIIAggCCAIIAggCCAIIAggCCAITAgMCUXNxAH4AAAAAAAJzcQB+AAT///////////////7////+/////3VxAH4ABwAAAAQWt6iieHh3RQIeAAJIAgICGwIEAgUCBgIHAggCCQI4AgsCSQINAggCCAIIAggCCAIIAggCCAIIAggCCAIIAggCCAIIAggCCAITAgMCUnNxAH4AAAAAAAJzcQB+AAT///////////////7////+/////3VxAH4ABwAAAAQmeB9xeHh3TQIeAAJIAgICUwAGMjAxNjA0AgQCBQIGAgcCCAIJAgoCCwJJAg0CCAIIAggCCAIIAggCCAIIAggCCAIIAggCCAIIAggCCAIIAhMCAwJUc3EAfgAAAAAAAnNxAH4ABP///////////////v////7/////dXEAfgAHAAAABAJQHul4eHdFAh4AAkgCAgIrAgQCBQIGAgcCCAIJAjgCCwJJAg0CCAIIAggCCAIIAggCCAIIAggCCAIIAggCCAIIAggCCAIIAhMCAwJVc3EAfgAAAAAAAnNxAH4ABP///////////////v////7/////dXEAfgAHAAAABCng5RN4eHdNAh4AAkgCAgJWAAYyMDE2MTECBAIFAgYCBwIIAgkCCgILAkkCDQIIAggCCAIIAggCCAIIAggCCAIIAggCCAIIAggCCAIIAggCEwIDAldzcQB+AAAAAAACc3EAfgAE///////////////+/////v////91cQB+AAcAAAAEJZDR+3h4d0UCHgACSAICAk8CBAIFAgYCBwIIAgkCOAILAkkCDQIIAggCCAIIAggCCAIIAggCCAIIAggCCAIIAggCCAIIAggCEwIDAlhzcQB+AAAAAAACc3EAfgAE///////////////+/////v////91cQB+AAcAAAAELvQU/3h4d00CHgACSAICAlkABjIwMTYwMwIEAgUCBgIHAggCCQI4AgsCSQINAggCCAIIAggCCAIIAggCCAIIAggCCAIIAggCCAIIAggCCAITAgMCWnNxAH4AAAAAAAJzcQB+AAT///////////////7////+/////3VxAH4ABwAAAAQerglPeHh3RQIeAAJIAgICAwIEAgUCBgIHAggCCQIKAgsCSQINAggCCAIIAggCCAIIAggCCAIIAggCCAIIAggCCAIIAggCCAITAgMCW3NxAH4AAAAAAAJzcQB+AAT///////////////7////+/////3VxAH4ABwAAAAQC12dUeHh3RQIeAAJIAgICKwIEAgUCBgIHAggCCQIKAgsCSQINAggCCAIIAggCCAIIAggCCAIIAggCCAIIAggCCAIIAggCCAITAgMCXHNxAH4AAAAAAAJzcQB+AAT///////////////7////+/////3VxAH4ABwAAAAQFBKNBeHh3igIeAAJIAgICJQIEAgUCBgIHAggCCQJMAgsCSQINAggCCAIIAggCCAIIAggCCAIIAggCCAIIAggCCAIIAggCCAITAgMCUAIeAAJIAgICKQIEAgUCBgIHAggCCQJMAgsCSQINAggCCAIIAggCCAIIAggCCAIIAggCCAIIAggCCAIIAggCCAITAgMCXXNxAH4AAAAAAAJzcQB+AAT///////////////7////+/////3VxAH4ABwAAAAMShut4eHdFAh4AAkgCAgIpAgQCBQIGAgcCCAIJAjgCCwJJAg0CCAIIAggCCAIIAggCCAIIAggCCAIIAggCCAIIAggCCAIIAhMCAwJec3EAfgAAAAAAAnNxAH4ABP///////////////v////7/////dXEAfgAHAAAABCIKrDF4eHdNAh4AAkgCAgJfAAYyMDE2MTACBAIFAgYCBwIIAgkCCgILAkkCDQIIAggCCAIIAggCCAIIAggCCAIIAggCCAIIAggCCAIIAggCEwIDAmBzcQB+AAAAAAACc3EAfgAE///////////////+/////gAAAAF1cQB+AAcAAAADuXJ8eHh3RQIeAAJIAgICWQIEAgUCBgIHAggCCQIKAgsCSQINAggCCAIIAggCCAIIAggCCAIIAggCCAIIAggCCAIIAggCCAITAgMCYXNxAH4AAAAAAAJzcQB+AAT///////////////7////+/////3VxAH4ABwAAAAQC+0uLeHh3RQIeAAJIAgICLQIEAgUCBgIHAggCCQJMAgsCSQINAggCCAIIAggCCAIIAggCCAIIAggCCAIIAggCCAIIAggCCAITAgMCYnNxAH4AAAAAAAJzcQB+AAT///////////////7////+/////3VxAH4ABwAAAAMSpqJ4eHdFAh4AAkgCAgIlAgQCBQIGAgcCCAIJAjgCCwJJAg0CCAIIAggCCAIIAggCCAIIAggCCAIIAggCCAIIAggCCAIIAhMCAwJjc3EAfgAAAAAAAnNxAH4ABP///////////////v////7/////dXEAfgAHAAAABCrCsfh4eHdFAh4AAkgCAgJLAgQCBQIGAgcCCAIJAjgCCwJJAg0CCAIIAggCCAIIAggCCAIIAggCCAIIAggCCAIIAggCCAIIAhMCAwJkc3EAfgAAAAAAAnNxAH4ABP///////////////v////7/////dXEAfgAHAAAABBuzHlx4eHdFAh4AAkgCAgIhAgQCBQIGAgcCCAIJAgoCCwJJAg0CCAIIAggCCAIIAggCCAIIAggCCAIIAggCCAIIAggCCAIIAhMCAwJlc3EAfgAAAAAAAnNxAH4ABP///////////////v////7/////dXEAfgAHAAAABB7AdGx4eHdNAh4AAkgCAgJmAAYyMDE4MDUCBAIFAgYCBwIIAgkCCgILAkkCDQIIAggCCAIIAggCCAIIAggCCAIIAggCCAIIAggCCAIIAggCEwIDAmdzcQB+AAAAAAACc3EAfgAE///////////////+/////gAAAAF1cQB+AAcAAAADNqW2eHh3RQIeAAJIAgICMwIEAgUCBgIHAggCCQI4AgsCSQINAggCCAIIAggCCAIIAggCCAIIAggCCAIIAggCCAIIAggCCAITAgMCaHNxAH4AAAAAAAJzcQB+AAT///////////////7////+/////3VxAH4ABwAAAAQpRoS2eHh3TQIeAAJIAgICaQAGMjAxNjA1AgQCBQIGAgcCCAIJAjgCCwJJAg0CCAIIAggCCAIIAggCCAIIAggCCAIIAggCCAIIAggCCAIIAhMCAwJqc3EAfgAAAAAAAnNxAH4ABP///////////////v////7/////dXEAfgAHAAAABCYvMsJ4eHdFAh4AAkgCAgIdAgQCBQIGAgcCCAIJAjgCCwJJAg0CCAIIAggCCAIIAggCCAIIAggCCAIIAggCCAIIAggCCAIIAhMCAwJrc3EAfgAAAAAAAnNxAH4ABP///////////////v////7/////dXEAfgAHAAAABCQ0bfR4eHeKAh4AAkgCAgIdAgQCBQIGAgcCCAIJAkwCCwJJAg0CCAIIAggCCAIIAggCCAIIAggCCAIIAggCCAIIAggCCAIIAhMCAwJQAh4AAkgCAgI1AgQCBQIGAgcCCAIJAkwCCwJJAg0CCAIIAggCCAIIAggCCAIIAggCCAIIAggCCAIIAggCCAIIAhMCAwJsc3EAfgAAAAAAAnNxAH4ABP///////////////v////7/////dXEAfgAHAAAAAxKC+Hh4d0UCHgACSAICAicCBAIFAgYCBwIIAgkCOAILAkkCDQIIAggCCAIIAggCCAIIAggCCAIIAggCCAIIAggCCAIIAggCEwIDAm1zcQB+AAAAAAACc3EAfgAE///////////////+/////v////91cQB+AAcAAAAEKgtGIXh4d0UCHgACSAICAjUCBAIFAgYCBwIIAgkCOAILAkkCDQIIAggCCAIIAggCCAIIAggCCAIIAggCCAIIAggCCAIIAggCEwIDAm5zcQB+AAAAAAACc3EAfgAE///////////////+/////v////91cQB+AAcAAAAEHbH6THh4d0UCHgACSAICAh8CBAIFAgYCBwIIAgkCCgILAkkCDQIIAggCCAIIAggCCAIIAggCCAIIAggCCAIIAggCCAIIAggCEwIDAm9zcQB+AAAAAAACc3EAfgAE///////////////+/////v////91cQB+AAcAAAADTrgKeHh3igIeAAJIAgICMwIEAgUCBgIHAggCCQJMAgsCSQINAggCCAIIAggCCAIIAggCCAIIAggCCAIIAggCCAIIAggCCAITAgMCUAIeAAJIAgICLQIEAgUCBgIHAggCCQIKAgsCSQINAggCCAIIAggCCAIIAggCCAIIAggCCAIIAggCCAIIAggCCAITAgMCcHNxAH4AAAAAAAJzcQB+AAT///////////////7////+AAAAAXVxAH4ABwAAAAQGG1pqeHh3RQIeAAJIAgICaQIEAgUCBgIHAggCCQJMAgsCSQINAggCCAIIAggCCAIIAggCCAIIAggCCAIIAggCCAIIAggCCAITAgMCcXNxAH4AAAAAAAJzcQB+AAT///////////////7////+/////3VxAH4ABwAAAAMSY394eHeKAh4AAkgCAgJmAgQCBQIGAgcCCAIJAkwCCwJJAg0CCAIIAggCCAIIAggCCAIIAggCCAIIAggCCAIIAggCCAIIAhMCAwJQAh4AAkgCAgJZAgQCBQIGAgcCCAIJAkwCCwJJAg0CCAIIAggCCAIIAggCCAIIAggCCAIIAggCCAIIAggCCAIIAhMCAwJyc3EAfgAAAAAAAnNxAH4ABP///////////////v////7/////dXEAfgAHAAAAAxJbqXh4d0UCHgACSAICAisCBAIFAgYCBwIIAgkCTAILAkkCDQIIAggCCAIIAggCCAIIAggCCAIIAggCCAIIAggCCAIIAggCEwIDAnNzcQB+AAAAAAACc3EAfgAE///////////////+/////v////91cQB+AAcAAAADEo7UeHh3RQIeAAJIAgICKQIEAgUCBgIHAggCCQIKAgsCSQINAggCCAIIAggCCAIIAggCCAIIAggCCAIIAggCCAIIAggCCAITAgMCdHNxAH4AAAAAAAJzcQB+AAT///////////////7////+/////3VxAH4ABwAAAAQOCxxKeHh3TQIeAAJIAgICdQAGMjAxNjA4AgQCBQIGAgcCCAIJAjgCCwJJAg0CCAIIAggCCAIIAggCCAIIAggCCAIIAggCCAIIAggCCAIIAhMCAwJ2c3EAfgAAAAAAAnNxAH4ABP///////////////v////7/////dXEAfgAHAAAABDHvtRl4eHdFAh4AAkgCAgIvAgQCBQIGAgcCCAIJAkwCCwJJAg0CCAIIAggCCAIIAggCCAIIAggCCAIIAggCCAIIAggCCAIIAhMCAwJ3c3EAfgAAAAAAAnNxAH4ABP///////////////v////7/////dXEAfgAHAAAAAxKiqHh4d00CHgACSAICAngABjIwMTYwNgIEAgUCBgIHAggCCQIKAgsCSQINAggCCAIIAggCCAIIAggCCAIIAggCCAIIAggCCAIIAggCCAITAgMCeXNxAH4AAAAAAAJzcQB+AAT///////////////7////+/////3VxAH4ABwAAAAQBZMryeHh3RQIeAAJIAgICLwIEAgUCBgIHAggCCQI4AgsCSQINAggCCAIIAggCCAIIAggCCAIIAggCCAIIAggCCAIIAggCCAITAgMCenNxAH4AAAAAAAJzcQB+AAT///////////////7////+/////3VxAH4ABwAAAAQ5RS7+eHh3TQIeAAJIAgICewAGMjAxNjEyAgQCBQIGAgcCCAIJAgoCCwJJAg0CCAIIAggCCAIIAggCCAIIAggCCAIIAggCCAIIAggCCAIIAhMCAwJ8c3EAfgAAAAAAAnNxAH4ABP///////////////v////7/////dXEAfgAHAAAABB0QqXR4eHdFAh4AAkgCAgJmAgQCBQIGAgcCCAIJAjgCCwJJAg0CCAIIAggCCAIIAggCCAIIAggCCAIIAggCCAIIAggCCAIIAhMCAwJ9c3EAfgAAAAAAAnNxAH4ABP///////////////v////7/////dXEAfgAHAAAABC/+xlx4eHdFAh4AAkgCAgJWAgQCBQIGAgcCCAIJAjgCCwJJAg0CCAIIAggCCAIIAggCCAIIAggCCAIIAggCCAIIAggCCAIIAhMCAwJ+c3EAfgAAAAAAAnNxAH4ABP///////////////v////7/////dXEAfgAHAAAABAvREnR4eHdFAh4AAkgCAgJWAgQCBQIGAgcCCAIJAkwCCwJJAg0CCAIIAggCCAIIAggCCAIIAggCCAIIAggCCAIIAggCCAIIAhMCAwJ/c3EAfgAAAAAAAnNxAH4ABP///////////////v////7/////dXEAfgAHAAAAAxJ7FXh4d0UCHgACSAICAnUCBAIFAgYCBwIIAgkCTAILAkkCDQIIAggCCAIIAggCCAIIAggCCAIIAggCCAIIAggCCAIIAggCEwIDAoBzcQB+AAAAAAACc3EAfgAE///////////////+/////v////91cQB+AAcAAAADEm9GeHh3RQIeAAJIAgICJQIEAgUCBgIHAggCCQIKAgsCSQINAggCCAIIAggCCAIIAggCCAIIAggCCAIIAggCCAIIAggCCAITAgMCgXNxAH4AAAAAAAJzcQB+AAT///////////////7////+/////3VxAH4ABwAAAAQE4d6ZeHh3TQIeAAJIAgICggAGMjAxNjA3AgQCBQIGAgcCCAIJAjgCCwJJAg0CCAIIAggCCAIIAggCCAIIAggCCAIIAggCCAIIAggCCAIIAhMCAwKDc3EAfgAAAAAAAnNxAH4ABP///////////////v////7/////dXEAfgAHAAAABC794JJ4eHdFAh4AAkgCAgIxAgQCBQIGAgcCCAIJAjgCCwJJAg0CCAIIAggCCAIIAggCCAIIAggCCAIIAggCCAIIAggCCAIIAhMCAwKEc3EAfgAAAAAAAnNxAH4ABP///////////////v////7/////dXEAfgAHAAAABDQ5VOh4eHdNAh4AAkgCAgKFAAYyMDE2MDkCBAIFAgYCBwIIAgkCCgILAkkCDQIIAggCCAIIAggCCAIIAggCCAIIAggCCAIIAggCCAIIAggCEwIDAoZzcQB+AAAAAAACc3EAfgAE///////////////+/////v////91cQB+AAcAAAADMvcReHh3RQIeAAJIAgICMQIEAgUCBgIHAggCCQJMAgsCSQINAggCCAIIAggCCAIIAggCCAIIAggCCAIIAggCCAIIAggCCAITAgMCh3NxAH4AAAAAAAJzcQB+AAT///////////////7////+/////3VxAH4ABwAAAAMSnq94eHdFAh4AAkgCAgKCAgQCBQIGAgcCCAIJAkwCCwJJAg0CCAIIAggCCAIIAggCCAIIAggCCAIIAggCCAIIAggCCAIIAhMCAwKIc3EAfgAAAAAAAnNxAH4ABP///////////////v////7/////dXEAfgAHAAAAAxJrWHh4d0UCHgACSAICAi8CBAIFAgYCBwIIAgkCCgILAkkCDQIIAggCCAIIAggCCAIIAggCCAIIAggCCAIIAggCCAIIAggCEwIDAolzcQB+AAAAAAACc3EAfgAE///////////////+/////gAAAAF1cQB+AAcAAAAEAloS0nh4d0UCHgACSAICAjUCBAIFAgYCBwIIAgkCCgILAkkCDQIIAggCCAIIAggCCAIIAggCCAIIAggCCAIIAggCCAIIAggCEwIDAopzcQB+AAAAAAACc3EAfgAE///////////////+/////v////91cQB+AAcAAAAEFDr3g3h4d0UCHgACSAICAjMCBAIFAgYCBwIIAgkCCgILAkkCDQIIAggCCAIIAggCCAIIAggCCAIIAggCCAIIAggCCAIIAggCEwIDAotzcQB+AAAAAAACc3EAfgAE///////////////+/////v////91cQB+AAcAAAAECivT53h4d0UCHgACSAICAnsCBAIFAgYCBwIIAgkCTAILAkkCDQIIAggCCAIIAggCCAIIAggCCAIIAggCCAIIAggCCAIIAggCEwIDAoxzcQB+AAAAAAACc3EAfgAE///////////////+/////v////91cQB+AAcAAAADEn8GeHh3RQIeAAJIAgICeAIEAgUCBgIHAggCCQI4AgsCSQINAggCCAIIAggCCAIIAggCCAIIAggCCAIIAggCCAIIAggCCAITAgMCjXNxAH4AAAAAAAJzcQB+AAT///////////////7////+/////3VxAH4ABwAAAAQrEAtReHh3RQIeAAJIAgICJwIEAgUCBgIHAggCCQJMAgsCSQINAggCCAIIAggCCAIIAggCCAIIAggCCAIIAggCCAIIAggCCAITAgMCjnNxAH4AAAAAAAJzcQB+AAT///////////////7////+/////3VxAH4ABwAAAAMSlsB4eHdFAh4AAkgCAgIfAgQCBQIGAgcCCAIJAjgCCwJJAg0CCAIIAggCCAIIAggCCAIIAggCCAIIAggCCAIIAggCCAIIAhMCAwKPc3EAfgAAAAAAAnNxAH4ABP///////////////v////7/////dXEAfgAHAAAABC6RhSt4eHdFAh4AAkgCAgJ1AgQCBQIGAgcCCAIJAgoCCwJJAg0CCAIIAggCCAIIAggCCAIIAggCCAIIAggCCAIIAggCCAIIAhMCAwKQc3EAfgAAAAAAAnNxAH4ABP///////////////v////7/////dXEAfgAHAAAAA56yqnh4d0UCHgACSAICAngCBAIFAgYCBwIIAgkCTAILAkkCDQIIAggCCAIIAggCCAIIAggCCAIIAggCCAIIAggCCAIIAggCEwIDApFzcQB+AAAAAAACc3EAfgAE///////////////+/////v////91cQB+AAcAAAADEmdreHh3RQIeAAJIAgICHwIEAgUCBgIHAggCCQJMAgsCSQINAggCCAIIAggCCAIIAggCCAIIAggCCAIIAggCCAIIAggCCAITAgMCknNxAH4AAAAAAAJzcQB+AAT///////////////7////+/////3VxAH4ABwAAAAMSmrd4eHdFAh4AAkgCAgIxAgQCBQIGAgcCCAIJAgoCCwJJAg0CCAIIAggCCAIIAggCCAIIAggCCAIIAggCCAIIAggCCAIIAhMCAwKTc3EAfgAAAAAAAnNxAH4ABP///////////////v////4AAAABdXEAfgAHAAAAA/+JXnh4d0UCHgACSAICAiMCBAIFAgYCBwIIAgkCCgILAkkCDQIIAggCCAIIAggCCAIIAggCCAIIAggCCAIIAggCCAIIAggCEwIDApRzcQB+AAAAAAACc3EAfgAE///////////////+/////v////91cQB+AAcAAAAEEKaLJHh4d0UCHgACSAICAk8CBAIFAgYCBwIIAgkCCgILAkkCDQIIAggCCAIIAggCCAIIAggCCAIIAggCCAIIAggCCAIIAggCEwIDApVzcQB+AAAAAAACc3EAfgAE///////////////+/////v////91cQB+AAcAAAAEATJrz3h4d0UCHgACSAICAksCBAIFAgYCBwIIAgkCCgILAkkCDQIIAggCCAIIAggCCAIIAggCCAIIAggCCAIIAggCCAIIAggCEwIDApZzcQB+AAAAAAACc3EAfgAE///////////////+/////v////91cQB+AAcAAAAEBFuSEHh4d0UCHgACSAICAhsCBAIFAgYCBwIIAgkCCgILAkkCDQIIAggCCAIIAggCCAIIAggCCAIIAggCCAIIAggCCAIIAggCEwIDApdzcQB+AAAAAAACc3EAfgAE///////////////+/////v////91cQB+AAcAAAAECL1IIXh4d0UCHgACSAICAgMCBAIFAgYCBwIIAgkCTAILAkkCDQIIAggCCAIIAggCCAIIAggCCAIIAggCCAIIAggCCAIIAggCEwIDAphzcQB+AAAAAAACc3EAfgAE///////////////+/////v////91cQB+AAcAAAADEpLKeHh3RQIeAAJIAgICggIEAgUCBgIHAggCCQIKAgsCSQINAggCCAIIAggCCAIIAggCCAIIAggCCAIIAggCCAIIAggCCAITAgMCmXNxAH4AAAAAAAJzcQB+AAT///////////////7////+/////3VxAH4ABwAAAAQBBpRgeHh3RQIeAAJIAgICewIEAgUCBgIHAggCCQI4AgsCSQINAggCCAIIAggCCAIIAggCCAIIAggCCAIIAggCCAIIAggCCAITAgMCmnNxAH4AAAAAAAJzcQB+AAT///////////////7////+/////3VxAH4ABwAAAAQVrLWfeHh3igIeAAJIAgICIQIEAgUCBgIHAggCCQJMAgsCSQINAggCCAIIAggCCAIIAggCCAIIAggCCAIIAggCCAIIAggCCAITAgMCUAIeAAJIAgIChQIEAgUCBgIHAggCCQI4AgsCSQINAggCCAIIAggCCAIIAggCCAIIAggCCAIIAggCCAIIAggCCAITAgMCm3NxAH4AAAAAAAJzcQB+AAT///////////////7////+/////3VxAH4ABwAAAAQzvJaSeHh3RQIeAAJIAgIChQIEAgUCBgIHAggCCQJMAgsCSQINAggCCAIIAggCCAIIAggCCAIIAggCCAIIAggCCAIIAggCCAITAgMCnHNxAH4AAAAAAAJzcQB+AAT///////////////7////+/////3VxAH4ABwAAAAMSczV4eHdFAh4AAkgCAgJfAgQCBQIGAgcCCAIJAkwCCwJJAg0CCAIIAggCCAIIAggCCAIIAggCCAIIAggCCAIIAggCCAIIAhMCAwKdc3EAfgAAAAAAAnNxAH4ABP///////////////v////7/////dXEAfgAHAAAAAxJ3JXh4d0UCHgACSAICAl8CBAIFAgYCBwIIAgkCOAILAkkCDQIIAggCCAIIAggCCAIIAggCCAIIAggCCAIIAggCCAIIAggCEwIDAp5zcQB+AAAAAAACc3EAfgAE///////////////+/////v////91cQB+AAcAAAAENJhHI3h4d0UCHgACSAICAiMCBAIFAgYCBwIIAgkCOAILAkkCDQIIAggCCAIIAggCCAIIAggCCAIIAggCCAIIAggCCAIIAggCEwIDAp9zcQB+AAAAAAACc3EAfgAE///////////////+/////v////91cQB+AAcAAAAEKSCPhXh4d0UCHgACSAICAiECBAIFAgYCBwIIAgkCOAILAkkCDQIIAggCCAIIAggCCAIIAggCCAIIAggCCAIIAggCCAIIAggCEwIDAqBzcQB+AAAAAAACc3EAfgAE///////////////+/////v////91cQB+AAcAAAAEHCN8kHh4d0UCHgACSAICAgMCBAIFAgYCBwIIAgkCOAILAkkCDQIIAggCCAIIAggCCAIIAggCCAIIAggCCAIIAggCCAIIAggCEwIDAqFzcQB+AAAAAAACc3EAfgAE///////////////+/////v////91cQB+AAcAAAAEKiZPC3h4d0UCHgACSAICAmkCBAIFAgYCBwIIAgkCCgILAkkCDQIIAggCCAIIAggCCAIIAggCCAIIAggCCAIIAggCCAIIAggCEwIDAqJzcQB+AAAAAAACc3EAfgAE///////////////+/////v////91cQB+AAcAAAAEAc1Kd3h4d4oCHgACSAICAiMCBAIFAgYCBwIIAgkCTAILAkkCDQIIAggCCAIIAggCCAIIAggCCAIIAggCCAIIAggCCAIIAggCEwIDAlACHgACSAICAicCBAIFAgYCBwIIAgkCCgILAkkCDQIIAggCCAIIAggCCAIIAggCCAIIAggCCAIIAggCCAIIAggCEwIDAqNzcQB+AAAAAAACc3EAfgAE///////////////+/////v////91cQB+AAcAAAAEAW1K0nh4d0UCHgACSAICAlMCBAIFAgYCBwIIAgkCOAILAkkCDQIIAggCCAIIAggCCAIIAggCCAIIAggCCAIIAggCCAIIAggCEwIDAqRzcQB+AAAAAAACc3EAfgAE///////////////+/////v////91cQB+AAcAAAAEI8Z4/Xh4d0UCHgACSAICAlMCBAIFAgYCBwIIAgkCTAILAkkCDQIIAggCCAIIAggCCAIIAggCCAIIAggCCAIIAggCCAIIAggCEwIDAqVzcQB+AAAAAAACc3EAfgAE///////////////+/////v////91cQB+AAcAAAADEl+UeHh6AAAEAAIeAAKmAAkyMTkwNjgyNTYCAgInAgQCBQIGAgcCCAIJAgoCCwJJAg0CCAIIAggCCAIIAggCCAIIAggCCAIIAggCCAIIAggCCAIIAgUCAwKjAh4AAqYCAgIdAgQCBQIGAgcCCAIJAgoCCwJJAg0CCAIIAggCCAIIAggCCAIIAggCCAIIAggCCAIIAggCCAIIAgUCAwJRAh4AAqYCAgIvAgQCBQIGAgcCCAIJAgoCCwJJAg0CCAIIAggCCAIIAggCCAIIAggCCAIIAggCCAIIAggCCAIIAgUCAwKJAh4AAqYCAgI1AgQCBQIGAgcCCAIJAgoCCwJJAg0CCAIIAggCCAIIAggCCAIIAggCCAIIAggCCAIIAggCCAIIAgUCAwKKAh4AAqYCAgIzAgQCBQIGAgcCCAIJAgoCCwJJAg0CCAIIAggCCAIIAggCCAIIAggCCAIIAggCCAIIAggCCAIIAgUCAwKLAh4AAqYCAgItAgQCBQIGAgcCCAIJAgoCCwJJAg0CCAIIAggCCAIIAggCCAIIAggCCAIIAggCCAIIAggCCAIIAgUCAwJwAh4AAqYCAgIfAgQCBQIGAgcCCAIJAgoCCwJJAg0CCAIIAggCCAIIAggCCAIIAggCCAIIAggCCAIIAggCCAIIAgUCAwJvAh4AAqYCAgIbAgQCBQIGAgcCCAIJAgoCCwJJAg0CCAIIAggCCAIIAggCCAIIAggCCAIIAggCCAIIAggCCAIIAgUCAwKXAh4AAqYCAgIDAgQCBQIGAgcCCAIJAgoCCwJJAg0CCAIIAggCCAIIAggCCAIIAggCCAIIAggCCAIIAggCCAIIAgUCAwJbAh4AAqYCAgIjAgQCBQIGAgcCCAIJAgoCCwJJAg0CCAIIAggCCAIIAggCCAIIAggCCAIIAggCCAIIAggCCAIIAgUCAwKUAh4AAqYCAgIpAgQCBQIGAgcCCAIJAgoCCwJJAg0CCAIIAggCCAIIAggCCAIIAggCCAIIAggCCAIIAggCCAIIAgUCAwJ0Ah4AAqYCAgIlAgQCBQIGAgcCCAIJAgoCCwJJAg0CCAIIAggCCAIIAggCCAIIAggCCAIIAggCCAIIAggCCAIIAgUCAwKBAh4AAqYCAgIxAgQCBQIGAgcCCAIJAgoCCwJJAg0CCAIIAggCCAIIAggCCAIIAggCCAIIAggCCAIIAggCCAIIAgUCAwKTAh4AAqYCAgIrAgQCBQIGAgcCCAIJAgoCCwJJAg0CCAIIAggCCAIIAggCCAIIAggCCAIIAggCCAIIAggCCAIIAgUCAwJcAh4AAqYCAgIhAgQCBQIGAgcCCAIJAgoCCwJJAg0CCAIIAggCCAIIAggCCAIIAgh3dgIIAggCCAIIAggCCAIIAggCBQIDAmUCHgACpwAJNDk0MDE2MTA0AgICqAAGMjAxMzEyAgQCBQIGAgcCCAIJAqkABjE5MTAyNQILAgwCDQIIAggCCAIIAggCCAIIAggCCAIIAggCCAIIAggCCAIIAggCIgIDAqpzcQB+AAAAAAACc3EAfgAE///////////////+/////v////91cQB+AAcAAAADFOXkeHh6AAAEAAIeAAKrAAk0MzA5ODQzMTICAgIvAgQCBQIGAgcCCAIJAkwCCwJJAg0CCAIIAggCCAIIAggCCAIIAggCCAIIAggCCAIIAggCCAIIAhkCAwJ3Ah4AAqsCAgJ1AgQCBQIGAgcCCAIJAkwCCwJJAg0CCAIIAggCCAIIAggCCAIIAggCCAIIAggCCAIIAggCCAIIAhkCAwKAAh4AAqsCAgKFAgQCBQIGAgcCCAIJAjgCCwJJAg0CCAIIAggCCAIIAggCCAIIAggCCAIIAggCCAIIAggCCAIIAhkCAwKbAh4AAqsCAgIzAgQCBQIGAgcCCAIJAjgCCwJJAg0CCAIIAggCCAIIAggCCAIIAggCCAIIAggCCAIIAggCCAIIAhkCAwJoAh4AAqsCAgI1AgQCBQIGAgcCCAIJAjgCCwJJAg0CCAIIAggCCAIIAggCCAIIAggCCAIIAggCCAIIAggCCAIIAhkCAwJuAh4AAqsCAgJLAgQCBQIGAgcCCAIJAgoCCwJJAg0CCAIIAggCCAIIAggCCAIIAggCCAIIAggCCAIIAggCCAIIAhkCAwKWAh4AAqsCAgIvAgQCBQIGAgcCCAIJAjgCCwJJAg0CCAIIAggCCAIIAggCCAIIAggCCAIIAggCCAIIAggCCAIIAhkCAwJ6Ah4AAqsCAgIbAgQCBQIGAgcCCAIJAgoCCwJJAg0CCAIIAggCCAIIAggCCAIIAggCCAIIAggCCAIIAggCCAIIAhkCAwKXAh4AAqsCAgKFAgQCBQIGAgcCCAIJAkwCCwJJAg0CCAIIAggCCAIIAggCCAIIAggCCAIIAggCCAIIAggCCAIIAhkCAwKcAh4AAqsCAgIrAgQCBQIGAgcCCAIJAgoCCwJJAg0CCAIIAggCCAIIAggCCAIIAggCCAIIAggCCAIIAggCCAIIAhkCAwJcAh4AAqsCAgJZAgQCBQIGAgcCCAIJAgoCCwJJAg0CCAIIAggCCAIIAggCCAIIAggCCAIIAggCCAIIAggCCAIIAhkCAwJhAh4AAqsCAgIpAgQCBQIGAgcCCAIJAjgCCwJJAg0CCAIIAggCCAIIAggCCAIIAggCCAIIAggCCAIIAggCCAIIAhkCAwJeAh4AAqsCAgIhAgQCBQIGAgcCCAIJAgoCCwJJAg0CCAIIAggCCAIIAggCCAIIAggCCAIIAggCCAIIAggCCAIIAhkCAwJlAh4AAqsCAgIjAgQCBQIGAgcCCAIJAgoCCwJJAg0CCAIIAggCCAIIAggCCAIIAggCCAIIAggCCAIIAggCCAIIAhkCAwKUAh4AAqsCAgIfAgQCBQIGAgcCCAIJAkwCCwJJAg0CCAIIAggCCAIIAggCCAIIAgh6AAAEAAIIAggCCAIIAggCCAIIAggCGQIDApICHgACqwICAngCBAIFAgYCBwIIAgkCTAILAkkCDQIIAggCCAIIAggCCAIIAggCCAIIAggCCAIIAggCCAIIAggCGQIDApECHgACqwICAngCBAIFAgYCBwIIAgkCOAILAkkCDQIIAggCCAIIAggCCAIIAggCCAIIAggCCAIIAggCCAIIAggCGQIDAo0CHgACqwICAlMCBAIFAgYCBwIIAgkCCgILAkkCDQIIAggCCAIIAggCCAIIAggCCAIIAggCCAIIAggCCAIIAggCGQIDAlQCHgACqwICAi0CBAIFAgYCBwIIAgkCOAILAkkCDQIIAggCCAIIAggCCAIIAggCCAIIAggCCAIIAggCCAIIAggCGQIDAkoCHgACqwICAh8CBAIFAgYCBwIIAgkCOAILAkkCDQIIAggCCAIIAggCCAIIAggCCAIIAggCCAIIAggCCAIIAggCGQIDAo8CHgACqwICAi0CBAIFAgYCBwIIAgkCCgILAkkCDQIIAggCCAIIAggCCAIIAggCCAIIAggCCAIIAggCCAIIAggCGQIDAnACHgACqwICAgMCBAIFAgYCBwIIAgkCCgILAkkCDQIIAggCCAIIAggCCAIIAggCCAIIAggCCAIIAggCCAIIAggCGQIDAlsCHgACqwICAjMCBAIFAgYCBwIIAgkCTAILAkkCDQIIAggCCAIIAggCCAIIAggCCAIIAggCCAIIAggCCAIIAggCGQIDAlACHgACqwICAjUCBAIFAgYCBwIIAgkCTAILAkkCDQIIAggCCAIIAggCCAIIAggCCAIIAggCCAIIAggCCAIIAggCGQIDAmwCHgACqwICAh0CBAIFAgYCBwIIAgkCTAILAkkCDQIIAggCCAIIAggCCAIIAggCCAIIAggCCAIIAggCCAIIAggCGQIDAlACHgACqwICAlYCBAIFAgYCBwIIAgkCTAILAkkCDQIIAggCCAIIAggCCAIIAggCCAIIAggCCAIIAggCCAIIAggCGQIDAn8CHgACqwICAisCBAIFAgYCBwIIAgkCOAILAkkCDQIIAggCCAIIAggCCAIIAggCCAIIAggCCAIIAggCCAIIAggCGQIDAlUCHgACqwICAlkCBAIFAgYCBwIIAgkCOAILAkkCDQIIAggCCAIIAggCCAIIAggCCAIIAggCCAIIAggCCAIIAggCGQIDAloCHgACqwICAnUCBAIFAgYCBwIIAgkCOAILAkkCDQIIAggCCAIIAggCCAIIAggCCAIIAggCCAIIAggCCAIIAggCGQIDAnYCHgACqwICAisCBAIFAgYCBwIIAgkCTAILAkkCDQIIAggCCAJ6AAAEAAgCCAIIAggCCAIIAggCCAIIAggCCAIIAggCCAIZAgMCcwIeAAKrAgICewIEAgUCBgIHAggCCQIKAgsCSQINAggCCAIIAggCCAIIAggCCAIIAggCCAIIAggCCAIIAggCCAIZAgMCfAIeAAKrAgICKQIEAgUCBgIHAggCCQIKAgsCSQINAggCCAIIAggCCAIIAggCCAIIAggCCAIIAggCCAIIAggCCAIZAgMCdAIeAAKrAgIChQIEAgUCBgIHAggCCQIKAgsCSQINAggCCAIIAggCCAIIAggCCAIIAggCCAIIAggCCAIIAggCCAIZAgMChgIeAAKrAgICAwIEAgUCBgIHAggCCQI4AgsCSQINAggCCAIIAggCCAIIAggCCAIIAggCCAIIAggCCAIIAggCCAIZAgMCoQIeAAKrAgICXwIEAgUCBgIHAggCCQJMAgsCSQINAggCCAIIAggCCAIIAggCCAIIAggCCAIIAggCCAIIAggCCAIZAgMCnQIeAAKrAgICIQIEAgUCBgIHAggCCQJMAgsCSQINAggCCAIIAggCCAIIAggCCAIIAggCCAIIAggCCAIIAggCCAIZAgMCUAIeAAKrAgICeAIEAgUCBgIHAggCCQIKAgsCSQINAggCCAIIAggCCAIIAggCCAIIAggCCAIIAggCCAIIAggCCAIZAgMCeQIeAAKrAgICWQIEAgUCBgIHAggCCQJMAgsCSQINAggCCAIIAggCCAIIAggCCAIIAggCCAIIAggCCAIIAggCCAIZAgMCcgIeAAKrAgICVgIEAgUCBgIHAggCCQI4AgsCSQINAggCCAIIAggCCAIIAggCCAIIAggCCAIIAggCCAIIAggCCAIZAgMCfgIeAAKrAgICXwIEAgUCBgIHAggCCQI4AgsCSQINAggCCAIIAggCCAIIAggCCAIIAggCCAIIAggCCAIIAggCCAIZAgMCngIeAAKrAgICUwIEAgUCBgIHAggCCQI4AgsCSQINAggCCAIIAggCCAIIAggCCAIIAggCCAIIAggCCAIIAggCCAIZAgMCpAIeAAKrAgICAwIEAgUCBgIHAggCCQJMAgsCSQINAggCCAIIAggCCAIIAggCCAIIAggCCAIIAggCCAIIAggCCAIZAgMCmAIeAAKrAgICHQIEAgUCBgIHAggCCQI4AgsCSQINAggCCAIIAggCCAIIAggCCAIIAggCCAIIAggCCAIIAggCCAIZAgMCawIeAAKrAgICHwIEAgUCBgIHAggCCQIKAgsCSQINAggCCAIIAggCCAIIAggCCAIIAggCCAIIAggCCAIIAggCCAIZAgMCbwIeAAKrAgICMQIEAgUCBgIHAggCCQIKAgt6AAAEAAJJAg0CCAIIAggCCAIIAggCCAIIAggCCAIIAggCCAIIAggCCAIIAhkCAwKTAh4AAqsCAgKCAgQCBQIGAgcCCAIJAgoCCwJJAg0CCAIIAggCCAIIAggCCAIIAggCCAIIAggCCAIIAggCCAIIAhkCAwKZAh4AAqsCAgInAgQCBQIGAgcCCAIJAjgCCwJJAg0CCAIIAggCCAIIAggCCAIIAggCCAIIAggCCAIIAggCCAIIAhkCAwJtAh4AAqsCAgJWAgQCBQIGAgcCCAIJAgoCCwJJAg0CCAIIAggCCAIIAggCCAIIAggCCAIIAggCCAIIAggCCAIIAhkCAwJXAh4AAqsCAgJLAgQCBQIGAgcCCAIJAkwCCwJJAg0CCAIIAggCCAIIAggCCAIIAggCCAIIAggCCAIIAggCCAIIAhkCAwJNAh4AAqsCAgJ7AgQCBQIGAgcCCAIJAjgCCwJJAg0CCAIIAggCCAIIAggCCAIIAggCCAIIAggCCAIIAggCCAIIAhkCAwKaAh4AAqsCAgIbAgQCBQIGAgcCCAIJAkwCCwJJAg0CCAIIAggCCAIIAggCCAIIAggCCAIIAggCCAIIAggCCAIIAhkCAwJOAh4AAqsCAgItAgQCBQIGAgcCCAIJAkwCCwJJAg0CCAIIAggCCAIIAggCCAIIAggCCAIIAggCCAIIAggCCAIIAhkCAwJiAh4AAqsCAgJpAgQCBQIGAgcCCAIJAkwCCwJJAg0CCAIIAggCCAIIAggCCAIIAggCCAIIAggCCAIIAggCCAIIAhkCAwJxAh4AAqsCAgJpAgQCBQIGAgcCCAIJAjgCCwJJAg0CCAIIAggCCAIIAggCCAIIAggCCAIIAggCCAIIAggCCAIIAhkCAwJqAh4AAqsCAgInAgQCBQIGAgcCCAIJAkwCCwJJAg0CCAIIAggCCAIIAggCCAIIAggCCAIIAggCCAIIAggCCAIIAhkCAwKOAh4AAqsCAgIpAgQCBQIGAgcCCAIJAkwCCwJJAg0CCAIIAggCCAIIAggCCAIIAggCCAIIAggCCAIIAggCCAIIAhkCAwJdAh4AAqsCAgJ1AgQCBQIGAgcCCAIJAgoCCwJJAg0CCAIIAggCCAIIAggCCAIIAggCCAIIAggCCAIIAggCCAIIAhkCAwKQAh4AAqsCAgJfAgQCBQIGAgcCCAIJAgoCCwJJAg0CCAIIAggCCAIIAggCCAIIAggCCAIIAggCCAIIAggCCAIIAhkCAwJgAh4AAqsCAgJ7AgQCBQIGAgcCCAIJAkwCCwJJAg0CCAIIAggCCAIIAggCCAIIAggCCAIIAggCCAIIAggCCAIIAhkCAwKMAh4AAqsCAgJLAgQCBQJ6AAAEAAYCBwIIAgkCOAILAkkCDQIIAggCCAIIAggCCAIIAggCCAIIAggCCAIIAggCCAIIAggCGQIDAmQCHgACqwICAhsCBAIFAgYCBwIIAgkCOAILAkkCDQIIAggCCAIIAggCCAIIAggCCAIIAggCCAIIAggCCAIIAggCGQIDAlICHgACqwICAi8CBAIFAgYCBwIIAgkCCgILAkkCDQIIAggCCAIIAggCCAIIAggCCAIIAggCCAIIAggCCAIIAggCGQIDAokCHgACqwICAjUCBAIFAgYCBwIIAgkCCgILAkkCDQIIAggCCAIIAggCCAIIAggCCAIIAggCCAIIAggCCAIIAggCGQIDAooCHgACqwICAh0CBAIFAgYCBwIIAgkCCgILAkkCDQIIAggCCAIIAggCCAIIAggCCAIIAggCCAIIAggCCAIIAggCGQIDAlECHgACqwICAoICBAIFAgYCBwIIAgkCTAILAkkCDQIIAggCCAIIAggCCAIIAggCCAIIAggCCAIIAggCCAIIAggCGQIDAogCHgACqwICAjMCBAIFAgYCBwIIAgkCCgILAkkCDQIIAggCCAIIAggCCAIIAggCCAIIAggCCAIIAggCCAIIAggCGQIDAosCHgACqwICAjECBAIFAgYCBwIIAgkCTAILAkkCDQIIAggCCAIIAggCCAIIAggCCAIIAggCCAIIAggCCAIIAggCGQIDAocCHgACqwICAoICBAIFAgYCBwIIAgkCOAILAkkCDQIIAggCCAIIAggCCAIIAggCCAIIAggCCAIIAggCCAIIAggCGQIDAoMCHgACqwICAlMCBAIFAgYCBwIIAgkCTAILAkkCDQIIAggCCAIIAggCCAIIAggCCAIIAggCCAIIAggCCAIIAggCGQIDAqUCHgACqwICAjECBAIFAgYCBwIIAgkCOAILAkkCDQIIAggCCAIIAggCCAIIAggCCAIIAggCCAIIAggCCAIIAggCGQIDAoQCHgACqwICAiECBAIFAgYCBwIIAgkCOAILAkkCDQIIAggCCAIIAggCCAIIAggCCAIIAggCCAIIAggCCAIIAggCGQIDAqACHgACqwICAicCBAIFAgYCBwIIAgkCCgILAkkCDQIIAggCCAIIAggCCAIIAggCCAIIAggCCAIIAggCCAIIAggCGQIDAqMCHgACqwICAmkCBAIFAgYCBwIIAgkCCgILAkkCDQIIAggCCAIIAggCCAIIAggCCAIIAggCCAIIAggCCAIIAggCGQIDAqICHgACqwICAiMCBAIFAgYCBwIIAgkCOAILAkkCDQIIAggCCAIIAggCCAIIAggCCAIIAggCCAIIAggCCAIIAggCGQIDAp8CHgB6AAAEAAKrAgICIwIEAgUCBgIHAggCCQJMAgsCSQINAggCCAIIAggCCAIIAggCCAIIAggCCAIIAggCCAIIAggCCAIZAgMCUAIeAAKsAAk0MzA5ODY2MzICAgKCAgQCBQIGAgcCCAIJAkwCCwJJAg0CCAIIAggCCAIIAggCCAIIAggCCAIIAggCCAIIAggCCAIIAhsCAwKIAh4AAqwCAgKFAgQCBQIGAgcCCAIJAgoCCwJJAg0CCAIIAggCCAIIAggCCAIIAggCCAIIAggCCAIIAggCCAIIAhsCAwKGAh4AAqwCAgIxAgQCBQIGAgcCCAIJAkwCCwJJAg0CCAIIAggCCAIIAggCCAIIAggCCAIIAggCCAIIAggCCAIIAhsCAwKHAh4AAqwCAgIjAgQCBQIGAgcCCAIJAjgCCwJJAg0CCAIIAggCCAIIAggCCAIIAggCCAIIAggCCAIIAggCCAIIAhsCAwKfAh4AAqwCAgIxAgQCBQIGAgcCCAIJAjgCCwJJAg0CCAIIAggCCAIIAggCCAIIAggCCAIIAggCCAIIAggCCAIIAhsCAwKEAh4AAqwCAgJ1AgQCBQIGAgcCCAIJAjgCCwJJAg0CCAIIAggCCAIIAggCCAIIAggCCAIIAggCCAIIAggCCAIIAhsCAwJ2Ah4AAqwCAgIpAgQCBQIGAgcCCAIJAgoCCwJJAg0CCAIIAggCCAIIAggCCAIIAggCCAIIAggCCAIIAggCCAIIAhsCAwJ0Ah4AAqwCAgJ1AgQCBQIGAgcCCAIJAkwCCwJJAg0CCAIIAggCCAIIAggCCAIIAggCCAIIAggCCAIIAggCCAIIAhsCAwKAAh4AAqwCAgKFAgQCBQIGAgcCCAIJAjgCCwJJAg0CCAIIAggCCAIIAggCCAIIAggCCAIIAggCCAIIAggCCAIIAhsCAwKbAh4AAqwCAgIvAgQCBQIGAgcCCAIJAkwCCwJJAg0CCAIIAggCCAIIAggCCAIIAggCCAIIAggCCAIIAggCCAIIAhsCAwJ3Ah4AAqwCAgJLAgQCBQIGAgcCCAIJAgoCCwJJAg0CCAIIAggCCAIIAggCCAIIAggCCAIIAggCCAIIAggCCAIIAhsCAwKWAh4AAqwCAgIvAgQCBQIGAgcCCAIJAjgCCwJJAg0CCAIIAggCCAIIAggCCAIIAggCCAIIAggCCAIIAggCCAIIAhsCAwJ6Ah4AAqwCAgI1AgQCBQIGAgcCCAIJAjgCCwJJAg0CCAIIAggCCAIIAggCCAIIAggCCAIIAggCCAIIAggCCAIIAhsCAwJuAh4AAqwCAgJpAgQCBQIGAgcCCAIJAkwCCwJJAg0CCAIIAggCCAIIAggCCAIIAggCCAJ6AAAEAAgCCAIIAggCCAIIAggCGwIDAnECHgACrAICAnsCBAIFAgYCBwIIAgkCTAILAkkCDQIIAggCCAIIAggCCAIIAggCCAIIAggCCAIIAggCCAIIAggCGwIDAowCHgACrAICAhsCBAIFAgYCBwIIAgkCCgILAkkCDQIIAggCCAIIAggCCAIIAggCCAIIAggCCAIIAggCCAIIAggCGwIDApcCHgACrAICAicCBAIFAgYCBwIIAgkCOAILAkkCDQIIAggCCAIIAggCCAIIAggCCAIIAggCCAIIAggCCAIIAggCGwIDAm0CHgACrAICAmkCBAIFAgYCBwIIAgkCOAILAkkCDQIIAggCCAIIAggCCAIIAggCCAIIAggCCAIIAggCCAIIAggCGwIDAmoCHgACrAICAicCBAIFAgYCBwIIAgkCTAILAkkCDQIIAggCCAIIAggCCAIIAggCCAIIAggCCAIIAggCCAIIAggCGwIDAo4CHgACrAICAisCBAIFAgYCBwIIAgkCCgILAkkCDQIIAggCCAIIAggCCAIIAggCCAIIAggCCAIIAggCCAIIAggCGwIDAlwCHgACrAICAlkCBAIFAgYCBwIIAgkCCgILAkkCDQIIAggCCAIIAggCCAIIAggCCAIIAggCCAIIAggCCAIIAggCGwIDAmECHgACrAICAlMCBAIFAgYCBwIIAgkCTAILAkkCDQIIAggCCAIIAggCCAIIAggCCAIIAggCCAIIAggCCAIIAggCGwIDAqUCHgACrAICAl8CBAIFAgYCBwIIAgkCTAILAkkCDQIIAggCCAIIAggCCAIIAggCCAIIAggCCAIIAggCCAIIAggCGwIDAp0CHgACrAICAiECBAIFAgYCBwIIAgkCTAILAkkCDQIIAggCCAIIAggCCAIIAggCCAIIAggCCAIIAggCCAIIAggCGwIDAlACHgACrAICAiMCBAIFAgYCBwIIAgkCTAILAkkCDQIIAggCCAIIAggCCAIIAggCCAIIAggCCAIIAggCCAIIAggCGwIDAlACHgACrAICAhsCBAIFAgYCBwIIAgkCOAILAkkCDQIIAggCCAIIAggCCAIIAggCCAIIAggCCAIIAggCCAIIAggCGwIDAlICHgACrAICAksCBAIFAgYCBwIIAgkCOAILAkkCDQIIAggCCAIIAggCCAIIAggCCAIIAggCCAIIAggCCAIIAggCGwIDAmQCHgACrAICAnUCBAIFAgYCBwIIAgkCCgILAkkCDQIIAggCCAIIAggCCAIIAggCCAIIAggCCAIIAggCCAIIAggCGwIDApACHgACrAICAoICBAIFAgYCBwIIAgkCOAILAkkCDQIIAggCCAIIAgh6AAAEAAIIAggCCAIIAggCCAIIAggCCAIIAggCCAIbAgMCgwIeAAKsAgICXwIEAgUCBgIHAggCCQI4AgsCSQINAggCCAIIAggCCAIIAggCCAIIAggCCAIIAggCCAIIAggCCAIbAgMCngIeAAKsAgICLwIEAgUCBgIHAggCCQIKAgsCSQINAggCCAIIAggCCAIIAggCCAIIAggCCAIIAggCCAIIAggCCAIbAgMCiQIeAAKsAgICHQIEAgUCBgIHAggCCQIKAgsCSQINAggCCAIIAggCCAIIAggCCAIIAggCCAIIAggCCAIIAggCCAIbAgMCUQIeAAKsAgICNQIEAgUCBgIHAggCCQIKAgsCSQINAggCCAIIAggCCAIIAggCCAIIAggCCAIIAggCCAIIAggCCAIbAgMCigIeAAKsAgICWQIEAgUCBgIHAggCCQI4AgsCSQINAggCCAIIAggCCAIIAggCCAIIAggCCAIIAggCCAIIAggCCAIbAgMCWgIeAAKsAgICKwIEAgUCBgIHAggCCQI4AgsCSQINAggCCAIIAggCCAIIAggCCAIIAggCCAIIAggCCAIIAggCCAIbAgMCVQIeAAKsAgICVgIEAgUCBgIHAggCCQIKAgsCSQINAggCCAIIAggCCAIIAggCCAIIAggCCAIIAggCCAIIAggCCAIbAgMCVwIeAAKsAgICaQIEAgUCBgIHAggCCQIKAgsCSQINAggCCAIIAggCCAIIAggCCAIIAggCCAIIAggCCAIIAggCCAIbAgMCogIeAAKsAgICLQIEAgUCBgIHAggCCQI4AgsCSQINAggCCAIIAggCCAIIAggCCAIIAggCCAIIAggCCAIIAggCCAIbAgMCSgIeAAKsAgICLQIEAgUCBgIHAggCCQJMAgsCSQINAggCCAIIAggCCAIIAggCCAIIAggCCAIIAggCCAIIAggCCAIbAgMCYgIeAAKsAgICGwIEAgUCBgIHAggCCQJMAgsCSQINAggCCAIIAggCCAIIAggCCAIIAggCCAIIAggCCAIIAggCCAIbAgMCTgIeAAKsAgICIQIEAgUCBgIHAggCCQI4AgsCSQINAggCCAIIAggCCAIIAggCCAIIAggCCAIIAggCCAIIAggCCAIbAgMCoAIeAAKsAgICSwIEAgUCBgIHAggCCQJMAgsCSQINAggCCAIIAggCCAIIAggCCAIIAggCCAIIAggCCAIIAggCCAIbAgMCTQIeAAKsAgICJwIEAgUCBgIHAggCCQIKAgsCSQINAggCCAIIAggCCAIIAggCCAIIAggCCAIIAggCCAIIAggCCAIbAgMCowIeAAKsAgICeAIEAgUCBgIHAggCCQIKAgsCSQJ6AAAEAA0CCAIIAggCCAIIAggCCAIIAggCCAIIAggCCAIIAggCCAIIAhsCAwJ5Ah4AAqwCAgIDAgQCBQIGAgcCCAIJAjgCCwJJAg0CCAIIAggCCAIIAggCCAIIAggCCAIIAggCCAIIAggCCAIIAhsCAwKhAh4AAqwCAgJTAgQCBQIGAgcCCAIJAjgCCwJJAg0CCAIIAggCCAIIAggCCAIIAggCCAIIAggCCAIIAggCCAIIAhsCAwKkAh4AAqwCAgIhAgQCBQIGAgcCCAIJAgoCCwJJAg0CCAIIAggCCAIIAggCCAIIAggCCAIIAggCCAIIAggCCAIIAhsCAwJlAh4AAqwCAgJfAgQCBQIGAgcCCAIJAgoCCwJJAg0CCAIIAggCCAIIAggCCAIIAggCCAIIAggCCAIIAggCCAIIAhsCAwJgAh4AAqwCAgIdAgQCBQIGAgcCCAIJAjgCCwJJAg0CCAIIAggCCAIIAggCCAIIAggCCAIIAggCCAIIAggCCAIIAhsCAwJrAh4AAqwCAgIpAgQCBQIGAgcCCAIJAkwCCwJJAg0CCAIIAggCCAIIAggCCAIIAggCCAIIAggCCAIIAggCCAIIAhsCAwJdAh4AAqwCAgIDAgQCBQIGAgcCCAIJAkwCCwJJAg0CCAIIAggCCAIIAggCCAIIAggCCAIIAggCCAIIAggCCAIIAhsCAwKYAh4AAqwCAgIfAgQCBQIGAgcCCAIJAgoCCwJJAg0CCAIIAggCCAIIAggCCAIIAggCCAIIAggCCAIIAggCCAIIAhsCAwJvAh4AAqwCAgItAgQCBQIGAgcCCAIJAgoCCwJJAg0CCAIIAggCCAIIAggCCAIIAggCCAIIAggCCAIIAggCCAIIAhsCAwJwAh4AAqwCAgIxAgQCBQIGAgcCCAIJAgoCCwJJAg0CCAIIAggCCAIIAggCCAIIAggCCAIIAggCCAIIAggCCAIIAhsCAwKTAh4AAqwCAgKCAgQCBQIGAgcCCAIJAgoCCwJJAg0CCAIIAggCCAIIAggCCAIIAggCCAIIAggCCAIIAggCCAIIAhsCAwKZAh4AAqwCAgJWAgQCBQIGAgcCCAIJAkwCCwJJAg0CCAIIAggCCAIIAggCCAIIAggCCAIIAggCCAIIAggCCAIIAhsCAwJ/Ah4AAqwCAgKFAgQCBQIGAgcCCAIJAkwCCwJJAg0CCAIIAggCCAIIAggCCAIIAggCCAIIAggCCAIIAggCCAIIAhsCAwKcAh4AAqwCAgJ7AgQCBQIGAgcCCAIJAjgCCwJJAg0CCAIIAggCCAIIAggCCAIIAggCCAIIAggCCAIIAggCCAIIAhsCAwKaAh4AAqwCAgIpAgQCBQIGAgd6AAAEAAIIAgkCOAILAkkCDQIIAggCCAIIAggCCAIIAggCCAIIAggCCAIIAggCCAIIAggCGwIDAl4CHgACrAICAh0CBAIFAgYCBwIIAgkCTAILAkkCDQIIAggCCAIIAggCCAIIAggCCAIIAggCCAIIAggCCAIIAggCGwIDAlACHgACrAICAjUCBAIFAgYCBwIIAgkCTAILAkkCDQIIAggCCAIIAggCCAIIAggCCAIIAggCCAIIAggCCAIIAggCGwIDAmwCHgACrAICAlYCBAIFAgYCBwIIAgkCOAILAkkCDQIIAggCCAIIAggCCAIIAggCCAIIAggCCAIIAggCCAIIAggCGwIDAn4CHgACrAICAngCBAIFAgYCBwIIAgkCOAILAkkCDQIIAggCCAIIAggCCAIIAggCCAIIAggCCAIIAggCCAIIAggCGwIDAo0CHgACrAICAiMCBAIFAgYCBwIIAgkCCgILAkkCDQIIAggCCAIIAggCCAIIAggCCAIIAggCCAIIAggCCAIIAggCGwIDApQCHgACrAICAngCBAIFAgYCBwIIAgkCTAILAkkCDQIIAggCCAIIAggCCAIIAggCCAIIAggCCAIIAggCCAIIAggCGwIDApECHgACrAICAh8CBAIFAgYCBwIIAgkCOAILAkkCDQIIAggCCAIIAggCCAIIAggCCAIIAggCCAIIAggCCAIIAggCGwIDAo8CHgACrAICAlMCBAIFAgYCBwIIAgkCCgILAkkCDQIIAggCCAIIAggCCAIIAggCCAIIAggCCAIIAggCCAIIAggCGwIDAlQCHgACrAICAnsCBAIFAgYCBwIIAgkCCgILAkkCDQIIAggCCAIIAggCCAIIAggCCAIIAggCCAIIAggCCAIIAggCGwIDAnwCHgACrAICAh8CBAIFAgYCBwIIAgkCTAILAkkCDQIIAggCCAIIAggCCAIIAggCCAIIAggCCAIIAggCCAIIAggCGwIDApICHgACrAICAisCBAIFAgYCBwIIAgkCTAILAkkCDQIIAggCCAIIAggCCAIIAggCCAIIAggCCAIIAggCCAIIAggCGwIDAnMCHgACrAICAlkCBAIFAgYCBwIIAgkCTAILAkkCDQIIAggCCAIIAggCCAIIAggCCAIIAggCCAIIAggCCAIIAggCGwIDAnICHgACrAICAgMCBAIFAgYCBwIIAgkCCgILAkkCDQIIAggCCAIIAggCCAIIAggCCAIIAggCCAIIAggCCAIIAggCGwIDAlsCHgACrQAJNDE3MDIxNzA0AgICLwIEAgUCBgIHAggCCQKpAgsCDAINAggCCAIIAggCCAIIAggCCAIIAggCCAIIAggCCAIIAggCCAJ3BRgCAwKuc3EAfgAAAAAAAnNxAH4ABP///////////////v////7/////dXEAfgAHAAAAAwQOrnh4d0UCHgACrQICAlkCBAIFAgYCBwIIAgkCCgILAgwCDQIIAggCCAIIAggCCAIIAggCCAIIAggCCAIIAggCCAIIAggCGAIDAq9zcQB+AAAAAAACc3EAfgAE///////////////+/////v////91cQB+AAcAAAAEBeiObnh4d4oCHgACrQICAisCBAIFAgYCBwIIAgkCCgILAgwCDQIIAggCCAIIAggCCAIIAggCCAIIAggCCAIIAggCCAIIAggCGAIDAiwCHgACrQICAnUCBAIFAgYCBwIIAgkCqQILAgwCDQIIAggCCAIIAggCCAIIAggCCAIIAggCCAIIAggCCAIIAggCGAIDArBzcQB+AAAAAAACc3EAfgAE///////////////+/////v////91cQB+AAcAAAADCLaceHh3zwIeAAKtAgICIQIEAgUCBgIHAggCCQIKAgsCDAINAggCCAIIAggCCAIIAggCCAIIAggCCAIIAggCCAIIAggCCAIYAgMCIgIeAAKtAgICKQIEAgUCBgIHAggCCQI4AgsCDAINAggCCAIIAggCCAIIAggCCAIIAggCCAIIAggCCAIIAggCCAIYAgMCPQIeAAKtAgICXwIEAgUCBgIHAggCCQIKAgsCDAINAggCCAIIAggCCAIIAggCCAIIAggCCAIIAggCCAIIAggCCAIYAgMCsXNxAH4AAAAAAAJzcQB+AAT///////////////7////+/////3VxAH4ABwAAAAO8XLJ4eHfPAh4AAq0CAgIjAgQCBQIGAgcCCAIJAqkCCwIMAg0CCAIIAggCCAIIAggCCAIIAggCCAIIAggCCAIIAggCCAIIAhgCAwJQAh4AAq0CAgIzAgQCBQIGAgcCCAIJAqkCCwIMAg0CCAIIAggCCAIIAggCCAIIAggCCAIIAggCCAIIAggCCAIIAhgCAwJQAh4AAq0CAgI1AgQCBQIGAgcCCAIJAqkCCwIMAg0CCAIIAggCCAIIAggCCAIIAggCCAIIAggCCAIIAggCCAIIAhgCAwKyc3EAfgAAAAAAAnNxAH4ABP///////////////v////7/////dXEAfgAHAAAAAwVk/3h4d88CHgACrQICAh0CBAIFAgYCBwIIAgkCCgILAgwCDQIIAggCCAIIAggCCAIIAggCCAIIAggCCAIIAggCCAIIAggCGAIDAh4CHgACrQICAgMCBAIFAgYCBwIIAgkCCgILAgwCDQIIAggCCAIIAggCCAIIAggCCAIIAggCCAIIAggCCAIIAggCGAIDAg4CHgACrQICAoUCBAIFAgYCBwIIAgkCqQILAgwCDQIIAggCCAIIAggCCAIIAggCCAIIAggCCAIIAggCCAIIAggCGAIDArNzcQB+AAAAAAACc3EAfgAE///////////////+/////v////91cQB+AAcAAAADB43UeHh3RQIeAAKtAgICSwIEAgUCBgIHAggCCQI4AgsCDAINAggCCAIIAggCCAIIAggCCAIIAggCCAIIAggCCAIIAggCCAIYAgMCtHNxAH4AAAAAAAJzcQB+AAT///////////////7////+/////3VxAH4ABwAAAAQ3OPVPeHh3RQIeAAKtAgICVgIEAgUCBgIHAggCCQIKAgsCDAINAggCCAIIAggCCAIIAggCCAIIAggCCAIIAggCCAIIAggCCAIYAgMCtXNxAH4AAAAAAAJzcQB+AAT///////////////7////+/////3VxAH4ABwAAAARMQw4VeHh3RQIeAAKtAgICUwIEAgUCBgIHAggCCQIKAgsCDAINAggCCAIIAggCCAIIAggCCAIIAggCCAIIAggCCAIIAggCCAIYAgMCtnNxAH4AAAAAAAJzcQB+AAT///////////////7////+/////3VxAH4ABwAAAAQE5DAPeHh3zwIeAAKtAgICGwIEAgUCBgIHAggCCQI4AgsCDAINAggCCAIIAggCCAIIAggCCAIIAggCCAIIAggCCAIIAggCCAIYAgMCRgIeAAKtAgICLQIEAgUCBgIHAggCCQI4AgsCDAINAggCCAIIAggCCAIIAggCCAIIAggCCAIIAggCCAIIAggCCAIYAgMCQAIeAAKtAgICdQIEAgUCBgIHAggCCQI4AgsCDAINAggCCAIIAggCCAIIAggCCAIIAggCCAIIAggCCAIIAggCCAIYAgMCt3NxAH4AAAAAAAJzcQB+AAT///////////////7////+/////3VxAH4ABwAAAARdV1DJeHh3igIeAAKtAgICKQIEAgUCBgIHAggCCQIKAgsCDAINAggCCAIIAggCCAIIAggCCAIIAggCCAIIAggCCAIIAggCCAIYAgMCKgIeAAKtAgICWQIEAgUCBgIHAggCCQI4AgsCDAINAggCCAIIAggCCAIIAggCCAIIAggCCAIIAggCCAIIAggCCAIYAgMCuHNxAH4AAAAAAAJzcQB+AAT///////////////7////+/////3VxAH4ABwAAAAQ9+1bieHh3igIeAAKtAgICKwIEAgUCBgIHAggCCQI4AgsCDAINAggCCAIIAggCCAIIAggCCAIIAggCCAIIAggCCAIIAggCCAIYAgMCPwIeAAKtAgICJwIEAgUCBgIHAggCCQKpAgsCDAINAggCCAIIAggCCAIIAggCCAIIAggCCAIIAggCCAIIAggCCAIYAgMCuXNxAH4AAAAAAAJzcQB+AAT///////////////7////+/////3VxAH4ABwAAAAMEQ3p4eHdFAh4AAq0CAgJ7AgQCBQIGAgcCCAIJAgoCCwIMAg0CCAIIAggCCAIIAggCCAIIAggCCAIIAggCCAIIAggCCAIIAhgCAwK6c3EAfgAAAAAAAnNxAH4ABP///////////////v////7/////dXEAfgAHAAAABDuLiL14eHdFAh4AAq0CAgKFAgQCBQIGAgcCCAIJAgoCCwIMAg0CCAIIAggCCAIIAggCCAIIAggCCAIIAggCCAIIAggCCAIIAhgCAwK7c3EAfgAAAAAAAnNxAH4ABP///////////////v////7/////dXEAfgAHAAAABAIbp254eHdFAh4AAq0CAgKCAgQCBQIGAgcCCAIJAqkCCwIMAg0CCAIIAggCCAIIAggCCAIIAggCCAIIAggCCAIIAggCCAIIAhgCAwK8c3EAfgAAAAAAAnNxAH4ABP///////////////v////7/////dXEAfgAHAAAAAwmef3h4d4oCHgACrQICAjMCBAIFAgYCBwIIAgkCOAILAgwCDQIIAggCCAIIAggCCAIIAggCCAIIAggCCAIIAggCCAIIAggCGAIDAkECHgACrQICAjECBAIFAgYCBwIIAgkCqQILAgwCDQIIAggCCAIIAggCCAIIAggCCAIIAggCCAIIAggCCAIIAggCGAIDAr1zcQB+AAAAAAACc3EAfgAE///////////////+/////v////91cQB+AAcAAAADBCUJeHh3RQIeAAKtAgICVgIEAgUCBgIHAggCCQI4AgsCDAINAggCCAIIAggCCAIIAggCCAIIAggCCAIIAggCCAIIAggCCAIYAgMCvnNxAH4AAAAAAAJzcQB+AAT///////////////7////+/////3VxAH4ABwAAAAQSVBWqeHh3RQIeAAKtAgICGwIEAgUCBgIHAggCCQKpAgsCDAINAggCCAIIAggCCAIIAggCCAIIAggCCAIIAggCCAIIAggCCAIYAgMCv3NxAH4AAAAAAAJzcQB+AAT///////////////7////+/////3VxAH4ABwAAAAMEq5d4eHdFAh4AAq0CAgJLAgQCBQIGAgcCCAIJAqkCCwIMAg0CCAIIAggCCAIIAggCCAIIAggCCAIIAggCCAIIAggCCAIIAhgCAwLAc3EAfgAAAAAAAnNxAH4ABP///////////////v////7/////dXEAfgAHAAAAAxIVy3h4d4oCHgACrQICAi0CBAIFAgYCBwIIAgkCCgILAgwCDQIIAggCCAIIAggCCAIIAggCCAIIAggCCAIIAggCCAIIAggCGAIDAi4CHgACrQICAngCBAIFAgYCBwIIAgkCCgILAgwCDQIIAggCCAIIAggCCAIIAggCCAIIAggCCAIIAggCCAIIAggCGAIDAsFzcQB+AAAAAAACc3EAfgAE///////////////+/////v////91cQB+AAcAAAAEA6uLrXh4egAAAZ4CHgACrQICAh8CBAIFAgYCBwIIAgkCCgILAgwCDQIIAggCCAIIAggCCAIIAggCCAIIAggCCAIIAggCCAIIAggCGAIDAiACHgACrQICAi8CBAIFAgYCBwIIAgkCOAILAgwCDQIIAggCCAIIAggCCAIIAggCCAIIAggCCAIIAggCCAIIAggCGAIDAkMCHgACrQICAjUCBAIFAgYCBwIIAgkCOAILAgwCDQIIAggCCAIIAggCCAIIAggCCAIIAggCCAIIAggCCAIIAggCGAIDAkUCHgACrQICAh0CBAIFAgYCBwIIAgkCOAILAgwCDQIIAggCCAIIAggCCAIIAggCCAIIAggCCAIIAggCCAIIAggCGAIDAkICHgACrQICAiECBAIFAgYCBwIIAgkCqQILAgwCDQIIAggCCAIIAggCCAIIAggCCAIIAggCCAIIAggCCAIIAggCGAIDAlACHgACrQICAl8CBAIFAgYCBwIIAgkCqQILAgwCDQIIAggCCAIIAggCCAIIAggCCAIIAggCCAIIAggCCAIIAggCGAIDAsJzcQB+AAAAAAACc3EAfgAE///////////////+/////v////91cQB+AAcAAAADBT+veHh3RQIeAAKtAgICeAIEAgUCBgIHAggCCQI4AgsCDAINAggCCAIIAggCCAIIAggCCAIIAggCCAIIAggCCAIIAggCCAIYAgMCw3NxAH4AAAAAAAJzcQB+AAT///////////////7////+/////3VxAH4ABwAAAARUiEubeHh3igIeAAKtAgICLwIEAgUCBgIHAggCCQIKAgsCDAINAggCCAIIAggCCAIIAggCCAIIAggCCAIIAggCCAIIAggCCAIYAgMCMAIeAAKtAgICUwIEAgUCBgIHAggCCQKpAgsCDAINAggCCAIIAggCCAIIAggCCAIIAggCCAIIAggCCAIIAggCCAIYAgMCxHNxAH4AAAAAAAJzcQB+AAT///////////////7////+/////3VxAH4ABwAAAAMMxv54eHeKAh4AAq0CAgIxAgQCBQIGAgcCCAIJAgoCCwIMAg0CCAIIAggCCAIIAggCCAIIAggCCAIIAggCCAIIAggCCAIIAhgCAwIyAh4AAq0CAgIrAgQCBQIGAgcCCAIJAqkCCwIMAg0CCAIIAggCCAIIAggCCAIIAggCCAIIAggCCAIIAggCCAIIAhgCAwLFc3EAfgAAAAAAAnNxAH4ABP///////////////v////7/////dXEAfgAHAAAAAwR0jXh4d0UCHgACrQICAnsCBAIFAgYCBwIIAgkCOAILAgwCDQIIAggCCAIIAggCCAIIAggCCAIIAggCCAIIAggCCAIIAggCGAIDAsZzcQB+AAAAAAACc3EAfgAE///////////////+/////v////91cQB+AAcAAAAEKKPaWXh4d0UCHgACrQICAmkCBAIFAgYCBwIIAgkCOAILAgwCDQIIAggCCAIIAggCCAIIAggCCAIIAggCCAIIAggCCAIIAggCGAIDAsdzcQB+AAAAAAACc3EAfgAE///////////////+/////v////91cQB+AAcAAAAETCsLgHh4d4oCHgACrQICAicCBAIFAgYCBwIIAgkCOAILAgwCDQIIAggCCAIIAggCCAIIAggCCAIIAggCCAIIAggCCAIIAggCGAIDAj4CHgACrQICAoICBAIFAgYCBwIIAgkCCgILAgwCDQIIAggCCAIIAggCCAIIAggCCAIIAggCCAIIAggCCAIIAggCGAIDAshzcQB+AAAAAAACc3EAfgAE///////////////+/////v////91cQB+AAcAAAAEAzaSmXh4d0UCHgACrQICAoICBAIFAgYCBwIIAgkCOAILAgwCDQIIAggCCAIIAggCCAIIAggCCAIIAggCCAIIAggCCAIIAggCGAIDAslzcQB+AAAAAAACc3EAfgAE///////////////+/////v////91cQB+AAcAAAAEWi+1rXh4d0UCHgACrQICAlYCBAIFAgYCBwIIAgkCqQILAgwCDQIIAggCCAIIAggCCAIIAggCCAIIAggCCAIIAggCCAIIAggCGAIDAspzcQB+AAAAAAACc3EAfgAE///////////////+/////v////91cQB+AAcAAAADBmgreHh6AAABFAIeAAKtAgICHQIEAgUCBgIHAggCCQKpAgsCDAINAggCCAIIAggCCAIIAggCCAIIAggCCAIIAggCCAIIAggCCAIYAgMCUAIeAAKtAgICMwIEAgUCBgIHAggCCQIKAgsCDAINAggCCAIIAggCCAIIAggCCAIIAggCCAIIAggCCAIIAggCCAIYAgMCNAIeAAKtAgICNQIEAgUCBgIHAggCCQIKAgsCDAINAggCCAIIAggCCAIIAggCCAIIAggCCAIIAggCCAIIAggCCAIYAgMCNgIeAAKtAgICaQIEAgUCBgIHAggCCQKpAgsCDAINAggCCAIIAggCCAIIAggCCAIIAggCCAIIAggCCAIIAggCCAIYAgMCy3NxAH4AAAAAAAJzcQB+AAT///////////////7////+/////3VxAH4ABwAAAAMLgq14eHdFAh4AAq0CAgIDAgQCBQIGAgcCCAIJAqkCCwIMAg0CCAIIAggCCAIIAggCCAIIAggCCAIIAggCCAIIAggCCAIIAhgCAwLMc3EAfgAAAAAAAnNxAH4ABP///////////////v////7/////dXEAfgAHAAAAAwRWK3h4d4oCHgACrQICAiMCBAIFAgYCBwIIAgkCCgILAgwCDQIIAggCCAIIAggCCAIIAggCCAIIAggCCAIIAggCCAIIAggCGAIDAiQCHgACrQICAnUCBAIFAgYCBwIIAgkCCgILAgwCDQIIAggCCAIIAggCCAIIAggCCAIIAggCCAIIAggCCAIIAggCGAIDAs1zcQB+AAAAAAACc3EAfgAE///////////////+/////v////91cQB+AAcAAAAEAr0/pHh4d88CHgACrQICAh8CBAIFAgYCBwIIAgkCOAILAgwCDQIIAggCCAIIAggCCAIIAggCCAIIAggCCAIIAggCCAIIAggCGAIDAkcCHgACrQICAiMCBAIFAgYCBwIIAgkCOAILAgwCDQIIAggCCAIIAggCCAIIAggCCAIIAggCCAIIAggCCAIIAggCGAIDAjsCHgACrQICAikCBAIFAgYCBwIIAgkCqQILAgwCDQIIAggCCAIIAggCCAIIAggCCAIIAggCCAIIAggCCAIIAggCGAIDAs5zcQB+AAAAAAACc3EAfgAE///////////////+/////v////91cQB+AAcAAAADBPtoeHh3RQIeAAKtAgICXwIEAgUCBgIHAggCCQI4AgsCDAINAggCCAIIAggCCAIIAggCCAIIAggCCAIIAggCCAIIAggCCAIYAgMCz3NxAH4AAAAAAAJzcQB+AAT///////////////7////+/////3VxAH4ABwAAAARijcsWeHh3RQIeAAKtAgICHwIEAgUCBgIHAggCCQKpAgsCDAINAggCCAIIAggCCAIIAggCCAIIAggCCAIIAggCCAIIAggCCAIYAgMC0HNxAH4AAAAAAAJzcQB+AAT///////////////7////+/////3VxAH4ABwAAAAMENDh4eHdFAh4AAq0CAgJ7AgQCBQIGAgcCCAIJAqkCCwIMAg0CCAIIAggCCAIIAggCCAIIAggCCAIIAggCCAIIAggCCAIIAhgCAwLRc3EAfgAAAAAAAnNxAH4ABP///////////////v////7/////dXEAfgAHAAAAAwbck3h4d4oCHgACrQICAicCBAIFAgYCBwIIAgkCCgILAgwCDQIIAggCCAIIAggCCAIIAggCCAIIAggCCAIIAggCCAIIAggCGAIDAigCHgACrQICAngCBAIFAgYCBwIIAgkCqQILAgwCDQIIAggCCAIIAggCCAIIAggCCAIIAggCCAIIAggCCAIIAggCGAIDAtJzcQB+AAAAAAACc3EAfgAE///////////////+/////v////91cQB+AAcAAAADCoBUeHh3RQIeAAKtAgIChQIEAgUCBgIHAggCCQI4AgsCDAINAggCCAIIAggCCAIIAggCCAIIAggCCAIIAggCCAIIAggCCAIYAgMC03NxAH4AAAAAAAJzcQB+AAT///////////////7////+/////3VxAH4ABwAAAARhMQgUeHh3RQIeAAKtAgICaQIEAgUCBgIHAggCCQIKAgsCDAINAggCCAIIAggCCAIIAggCCAIIAggCCAIIAggCCAIIAggCCAIYAgMC1HNxAH4AAAAAAAJzcQB+AAT///////////////7////+/////3VxAH4ABwAAAAQENonjeHh3zwIeAAKtAgICIQIEAgUCBgIHAggCCQI4AgsCDAINAggCCAIIAggCCAIIAggCCAIIAggCCAIIAggCCAIIAggCCAIYAgMCOgIeAAKtAgICMQIEAgUCBgIHAggCCQI4AgsCDAINAggCCAIIAggCCAIIAggCCAIIAggCCAIIAggCCAIIAggCCAIYAgMCOQIeAAKtAgICSwIEAgUCBgIHAggCCQIKAgsCDAINAggCCAIIAggCCAIIAggCCAIIAggCCAIIAggCCAIIAggCCAIYAgMC1XNxAH4AAAAAAAJzcQB+AAT///////////////7////+/////3VxAH4ABwAAAAQIJf+xeHh3igIeAAKtAgICGwIEAgUCBgIHAggCCQIKAgsCDAINAggCCAIIAggCCAIIAggCCAIIAggCCAIIAggCCAIIAggCCAIYAgMCHAIeAAKtAgICLQIEAgUCBgIHAggCCQKpAgsCDAINAggCCAIIAggCCAIIAggCCAIIAggCCAIIAggCCAIIAggCCAIYAgMC1nNxAH4AAAAAAAJzcQB+AAT///////////////7////+/////3VxAH4ABwAAAAMD3Kt4eHdFAh4AAq0CAgJZAgQCBQIGAgcCCAIJAqkCCwIMAg0CCAIIAggCCAIIAggCCAIIAggCCAIIAggCCAIIAggCCAIIAhgCAwLXc3EAfgAAAAAAAnNxAH4ABP///////////////v////7/////dXEAfgAHAAAAAw6D3Xh4d0UCHgACrQICAlMCBAIFAgYCBwIIAgkCOAILAgwCDQIIAggCCAIIAggCCAIIAggCCAIIAggCCAIIAggCCAIIAggCGAIDAthzcQB+AAAAAAACc3EAfgAE///////////////+/////v////91cQB+AAcAAAAESHB4r3h4egAABAACHgACrQICAgMCBAIFAgYCBwIIAgkCOAILAgwCDQIIAggCCAIIAggCCAIIAggCCAIIAggCCAIIAggCCAIIAggCGAIDAkQCHgAC2QAJNDE3MDE0NzQ0AgICewIEAgUCBgIHAggCCQIKAgsCDAINAggCCAIIAggCCAIIAggCCAIIAggCCAIIAggCCAIIAggCCAISAgMCugIeAALZAgICXwIEAgUCBgIHAggCCQI4AgsCDAINAggCCAIIAggCCAIIAggCCAIIAggCCAIIAggCCAIIAggCCAISAgMCzwIeAALZAgICUwIEAgUCBgIHAggCCQI4AgsCDAINAggCCAIIAggCCAIIAggCCAIIAggCCAIIAggCCAIIAggCCAISAgMC2AIeAALZAgICKQIEAgUCBgIHAggCCQKpAgsCDAINAggCCAIIAggCCAIIAggCCAIIAggCCAIIAggCCAIIAggCCAISAgMCzgIeAALZAgICHwIEAgUCBgIHAggCCQIKAgsCDAINAggCCAIIAggCCAIIAggCCAIIAggCCAIIAggCCAIIAggCCAISAgMCIAIeAALZAgICTwIEAgUCBgIHAggCCQKpAgsCDAINAggCCAIIAggCCAIIAggCCAIIAggCCAIIAggCCAIIAggCCAISAgMCUAIeAALZAgICAwIEAgUCBgIHAggCCQI4AgsCDAINAggCCAIIAggCCAIIAggCCAIIAggCCAIIAggCCAIIAggCCAISAgMCRAIeAALZAgICHQIEAgUCBgIHAggCCQI4AgsCDAINAggCCAIIAggCCAIIAggCCAIIAggCCAIIAggCCAIIAggCCAISAgMCQgIeAALZAgICeAIEAgUCBgIHAggCCQIKAgsCDAINAggCCAIIAggCCAIIAggCCAIIAggCCAIIAggCCAIIAggCCAISAgMCwQIeAALZAgICVgIEAgUCBgIHAggCCQIKAgsCDAINAggCCAIIAggCCAIIAggCCAIIAggCCAIIAggCCAIIAggCCAISAgMCtQIeAALZAgICaQIEAgUCBgIHAggCCQI4AgsCDAINAggCCAIIAggCCAIIAggCCAIIAggCCAIIAggCCAIIAggCCAISAgMCxwIeAALZAgICLQIEAgUCBgIHAggCCQI4AgsCDAINAggCCAIIAggCCAIIAggCCAIIAggCCAIIAggCCAIIAggCCAISAgMCQAIeAALZAgICMwIEAgUCBgIHAggCCQKpAgsCDAINAggCCAIIAggCCAIIAggCCAIIAggCCAIIAggCCAIIAggCCAISAgMCUAIeAALZAgICNQIEAgUCBgIHAggCCQKpAgsCDAINAggCCAIIAggCCAIIAggCCAIIegAABAACCAIIAggCCAIIAggCCAIIAhICAwKyAh4AAtkCAgIrAgQCBQIGAgcCCAIJAqkCCwIMAg0CCAIIAggCCAIIAggCCAIIAggCCAIIAggCCAIIAggCCAIIAhICAwLFAh4AAtkCAgJ7AgQCBQIGAgcCCAIJAjgCCwIMAg0CCAIIAggCCAIIAggCCAIIAggCCAIIAggCCAIIAggCCAIIAhICAwLGAh4AAtkCAgJmAgQCBQIGAgcCCAIJAqkCCwIMAg0CCAIIAggCCAIIAggCCAIIAggCCAIIAggCCAIIAggCCAIIAhICAwJQAh4AAtkCAgIxAgQCBQIGAgcCCAIJAgoCCwIMAg0CCAIIAggCCAIIAggCCAIIAggCCAIIAggCCAIIAggCCAIIAhICAwIyAh4AAtkCAgKCAgQCBQIGAgcCCAIJAgoCCwIMAg0CCAIIAggCCAIIAggCCAIIAggCCAIIAggCCAIIAggCCAIIAhICAwLIAh4AAtkCAgIhAgQCBQIGAgcCCAIJAgoCCwIMAg0CCAIIAggCCAIIAggCCAIIAggCCAIIAggCCAIIAggCCAIIAhICAwIiAh4AAtkCAgJfAgQCBQIGAgcCCAIJAgoCCwIMAg0CCAIIAggCCAIIAggCCAIIAggCCAIIAggCCAIIAggCCAIIAhICAwKxAh4AAtkCAgInAgQCBQIGAgcCCAIJAjgCCwIMAg0CCAIIAggCCAIIAggCCAIIAggCCAIIAggCCAIIAggCCAIIAhICAwI+Ah4AAtkCAgIfAgQCBQIGAgcCCAIJAjgCCwIMAg0CCAIIAggCCAIIAggCCAIIAggCCAIIAggCCAIIAggCCAIIAhICAwJHAh4AAtkCAgJ4AgQCBQIGAgcCCAIJAjgCCwIMAg0CCAIIAggCCAIIAggCCAIIAggCCAIIAggCCAIIAggCCAIIAhICAwLDAh4AAtkCAgJfAgQCBQIGAgcCCAIJAqkCCwIMAg0CCAIIAggCCAIIAggCCAIIAggCCAIIAggCCAIIAggCCAIIAhICAwLCAh4AAtkCAgIjAgQCBQIGAgcCCAIJAqkCCwIMAg0CCAIIAggCCAIIAggCCAIIAggCCAIIAggCCAIIAggCCAIIAhICAwJQAh4AAtkCAgJ1AgQCBQIGAgcCCAIJAqkCCwIMAg0CCAIIAggCCAIIAggCCAIIAggCCAIIAggCCAIIAggCCAIIAhICAwKwAh4AAtkCAgIhAgQCBQIGAgcCCAIJAqkCCwIMAg0CCAIIAggCCAIIAggCCAIIAggCCAIIAggCCAIIAggCCAIIAhICAwJQAh4AAtkCAgIjAgQCBQIGAgcCCAIJAgoCCwIMAg0CCAIIAggCegAAAxgIAggCCAIIAggCCAIIAggCCAIIAggCCAIIAggCEgIDAiQCHgAC2QICAi8CBAIFAgYCBwIIAgkCqQILAgwCDQIIAggCCAIIAggCCAIIAggCCAIIAggCCAIIAggCCAIIAggCEgIDAq4CHgAC2QICAi0CBAIFAgYCBwIIAgkCCgILAgwCDQIIAggCCAIIAggCCAIIAggCCAIIAggCCAIIAggCCAIIAggCEgIDAi4CHgAC2QICAgMCBAIFAgYCBwIIAgkCCgILAgwCDQIIAggCCAIIAggCCAIIAggCCAIIAggCCAIIAggCCAIIAggCEgIDAg4CHgAC2QICAlMCBAIFAgYCBwIIAgkCCgILAgwCDQIIAggCCAIIAggCCAIIAggCCAIIAggCCAIIAggCCAIIAggCEgIDArYCHgAC2QICAoUCBAIFAgYCBwIIAgkCCgILAgwCDQIIAggCCAIIAggCCAIIAggCCAIIAggCCAIIAggCCAIIAggCEgIDArsCHgAC2QICAmkCBAIFAgYCBwIIAgkCqQILAgwCDQIIAggCCAIIAggCCAIIAggCCAIIAggCCAIIAggCCAIIAggCEgIDAssCHgAC2QICAlkCBAIFAgYCBwIIAgkCOAILAgwCDQIIAggCCAIIAggCCAIIAggCCAIIAggCCAIIAggCCAIIAggCEgIDArgCHgAC2QICAlYCBAIFAgYCBwIIAgkCOAILAgwCDQIIAggCCAIIAggCCAIIAggCCAIIAggCCAIIAggCCAIIAggCEgIDAr4CHgAC2QICAhsCBAIFAgYCBwIIAgkCqQILAgwCDQIIAggCCAIIAggCCAIIAggCCAIIAggCCAIIAggCCAIIAggCEgIDAr8CHgAC2QICAicCBAIFAgYCBwIIAgkCqQILAgwCDQIIAggCCAIIAggCCAIIAggCCAIIAggCCAIIAggCCAIIAggCEgIDArkCHgAC2QICAmYCBAIFAgYCBwIIAgkCOAILAgwCDQIIAggCCAIIAggCCAIIAggCCAIIAggCCAIIAggCCAIIAggCEgIDAtpzcQB+AAAAAAACc3EAfgAE///////////////+/////v////91cQB+AAcAAAAEXOXAsHh4egAABAACHgAC2QICAksCBAIFAgYCBwIIAgkCqQILAgwCDQIIAggCCAIIAggCCAIIAggCCAIIAggCCAIIAggCCAIIAggCEgIDAsACHgAC2QICAisCBAIFAgYCBwIIAgkCOAILAgwCDQIIAggCCAIIAggCCAIIAggCCAIIAggCCAIIAggCCAIIAggCEgIDAj8CHgAC2QICAikCBAIFAgYCBwIIAgkCCgILAgwCDQIIAggCCAIIAggCCAIIAggCCAIIAggCCAIIAggCCAIIAggCEgIDAioCHgAC2QICAiMCBAIFAgYCBwIIAgkCOAILAgwCDQIIAggCCAIIAggCCAIIAggCCAIIAggCCAIIAggCCAIIAggCEgIDAjsCHgAC2QICAngCBAIFAgYCBwIIAgkCqQILAgwCDQIIAggCCAIIAggCCAIIAggCCAIIAggCCAIIAggCCAIIAggCEgIDAtICHgAC2QICAnUCBAIFAgYCBwIIAgkCOAILAgwCDQIIAggCCAIIAggCCAIIAggCCAIIAggCCAIIAggCCAIIAggCEgIDArcCHgAC2QICAh8CBAIFAgYCBwIIAgkCqQILAgwCDQIIAggCCAIIAggCCAIIAggCCAIIAggCCAIIAggCCAIIAggCEgIDAtACHgAC2QICAiUCBAIFAgYCBwIIAgkCCgILAgwCDQIIAggCCAIIAggCCAIIAggCCAIIAggCCAIIAggCCAIIAggCEgIDAiYCHgAC2QICAnsCBAIFAgYCBwIIAgkCqQILAgwCDQIIAggCCAIIAggCCAIIAggCCAIIAggCCAIIAggCCAIIAggCEgIDAtECHgAC2QICAjUCBAIFAgYCBwIIAgkCOAILAgwCDQIIAggCCAIIAggCCAIIAggCCAIIAggCCAIIAggCCAIIAggCEgIDAkUCHgAC2QICAjMCBAIFAgYCBwIIAgkCOAILAgwCDQIIAggCCAIIAggCCAIIAggCCAIIAggCCAIIAggCCAIIAggCEgIDAkECHgAC2QICAi8CBAIFAgYCBwIIAgkCOAILAgwCDQIIAggCCAIIAggCCAIIAggCCAIIAggCCAIIAggCCAIIAggCEgIDAkMCHgAC2QICAksCBAIFAgYCBwIIAgkCCgILAgwCDQIIAggCCAIIAggCCAIIAggCCAIIAggCCAIIAggCCAIIAggCEgIDAtUCHgAC2QICAhsCBAIFAgYCBwIIAgkCCgILAgwCDQIIAggCCAIIAggCCAIIAggCCAIIAggCCAIIAggCCAIIAggCEgIDAhwCHgAC2QICAoICBAIFAgYCBwIIAgkCqQILAgwCDQIIAggCCAIIAggCCAIIAggCCAIIAggCCAIIAggCd5UIAggCCAISAgMCvAIeAALZAgICHQIEAgUCBgIHAggCCQKpAgsCDAINAggCCAIIAggCCAIIAggCCAIIAggCCAIIAggCCAIIAggCCAISAgMCUAIeAALZAgICTwIEAgUCBgIHAggCCQIKAgsCDAINAggCCAIIAggCCAIIAggCCAIIAggCCAIIAggCCAIIAggCCAISAgMC23NxAH4AAAAAAAJzcQB+AAT///////////////7////+/////3VxAH4ABwAAAAQHGT+ZeHh6AAACsgIeAALZAgICMQIEAgUCBgIHAggCCQKpAgsCDAINAggCCAIIAggCCAIIAggCCAIIAggCCAIIAggCCAIIAggCCAISAgMCvQIeAALZAgIChQIEAgUCBgIHAggCCQI4AgsCDAINAggCCAIIAggCCAIIAggCCAIIAggCCAIIAggCCAIIAggCCAISAgMC0wIeAALZAgICJQIEAgUCBgIHAggCCQI4AgsCDAINAggCCAIIAggCCAIIAggCCAIIAggCCAIIAggCCAIIAggCCAISAgMCPAIeAALZAgICUwIEAgUCBgIHAggCCQKpAgsCDAINAggCCAIIAggCCAIIAggCCAIIAggCCAIIAggCCAIIAggCCAISAgMCxAIeAALZAgICVgIEAgUCBgIHAggCCQKpAgsCDAINAggCCAIIAggCCAIIAggCCAIIAggCCAIIAggCCAIIAggCCAISAgMCygIeAALZAgICWQIEAgUCBgIHAggCCQIKAgsCDAINAggCCAIIAggCCAIIAggCCAIIAggCCAIIAggCCAIIAggCCAISAgMCrwIeAALZAgICKwIEAgUCBgIHAggCCQIKAgsCDAINAggCCAIIAggCCAIIAggCCAIIAggCCAIIAggCCAIIAggCCAISAgMCLAIeAALZAgICKQIEAgUCBgIHAggCCQI4AgsCDAINAggCCAIIAggCCAIIAggCCAIIAggCCAIIAggCCAIIAggCCAISAgMCPQIeAALZAgICLwIEAgUCBgIHAggCCQIKAgsCDAINAggCCAIIAggCCAIIAggCCAIIAggCCAIIAggCCAIIAggCCAISAgMCMAIeAALZAgICZgIEAgUCBgIHAggCCQIKAgsCDAINAggCCAIIAggCCAIIAggCCAIIAggCCAIIAggCCAIIAggCCAISAgMC3HNxAH4AAAAAAAJzcQB+AAT///////////////7////+/////3VxAH4ABwAAAAQESkGVeHh3igIeAALZAgICAwIEAgUCBgIHAggCCQKpAgsCDAINAggCCAIIAggCCAIIAggCCAIIAggCCAIIAggCCAIIAggCCAISAgMCzAIeAALZAgICTwIEAgUCBgIHAggCCQI4AgsCDAINAggCCAIIAggCCAIIAggCCAIIAggCCAIIAggCCAIIAggCCAISAgMC3XNxAH4AAAAAAAJzcQB+AAT///////////////7////+/////3VxAH4ABwAAAARaqchfeHh6AAAEAAIeAALZAgICGwIEAgUCBgIHAggCCQI4AgsCDAINAggCCAIIAggCCAIIAggCCAIIAggCCAIIAggCCAIIAggCCAISAgMCRgIeAALZAgICSwIEAgUCBgIHAggCCQI4AgsCDAINAggCCAIIAggCCAIIAggCCAIIAggCCAIIAggCCAIIAggCCAISAgMCtAIeAALZAgICWQIEAgUCBgIHAggCCQKpAgsCDAINAggCCAIIAggCCAIIAggCCAIIAggCCAIIAggCCAIIAggCCAISAgMC1wIeAALZAgIChQIEAgUCBgIHAggCCQKpAgsCDAINAggCCAIIAggCCAIIAggCCAIIAggCCAIIAggCCAIIAggCCAISAgMCswIeAALZAgICdQIEAgUCBgIHAggCCQIKAgsCDAINAggCCAIIAggCCAIIAggCCAIIAggCCAIIAggCCAIIAggCCAISAgMCzQIeAALZAgICLQIEAgUCBgIHAggCCQKpAgsCDAINAggCCAIIAggCCAIIAggCCAIIAggCCAIIAggCCAIIAggCCAISAgMC1gIeAALZAgICHQIEAgUCBgIHAggCCQIKAgsCDAINAggCCAIIAggCCAIIAggCCAIIAggCCAIIAggCCAIIAggCCAISAgMCHgIeAALZAgICNQIEAgUCBgIHAggCCQIKAgsCDAINAggCCAIIAggCCAIIAggCCAIIAggCCAIIAggCCAIIAggCCAISAgMCNgIeAALZAgICggIEAgUCBgIHAggCCQI4AgsCDAINAggCCAIIAggCCAIIAggCCAIIAggCCAIIAggCCAIIAggCCAISAgMCyQIeAALZAgICMwIEAgUCBgIHAggCCQIKAgsCDAINAggCCAIIAggCCAIIAggCCAIIAggCCAIIAggCCAIIAggCCAISAgMCNAIeAALZAgICJwIEAgUCBgIHAggCCQIKAgsCDAINAggCCAIIAggCCAIIAggCCAIIAggCCAIIAggCCAIIAggCCAISAgMCKAIeAALZAgICaQIEAgUCBgIHAggCCQIKAgsCDAINAggCCAIIAggCCAIIAggCCAIIAggCCAIIAggCCAIIAggCCAISAgMC1AIeAALZAgICJQIEAgUCBgIHAggCCQKpAgsCDAINAggCCAIIAggCCAIIAggCCAIIAggCCAIIAggCCAIIAggCCAISAgMCUAIeAALZAgICMQIEAgUCBgIHAggCCQI4AgsCDAINAggCCAIIAggCCAIIAggCCAIIAggCCAIIAggCCAIIAggCCAISAgMCOQIeAALZAgICIQIEAgUCBgIHAggCCQI4AgsCDAINAggCCAIIAggCCAIIAggCCAIIAggCCAIIAggCCAJ6AAAEAAgCCAIIAhICAwI6Ah4AAt4ACTQyNTQzMzIxNgICAl8CBAIFAgYCBwIIAgkCOAILAgwCDQIIAggCCAIIAggCCAIIAggCCAIIAggCCAIIAggCCAIIAggAAgMCzwIeAALeAgICAwIEAgUCBgIHAggCCQI4AgsCDAINAggCCAIIAggCCAIIAggCCAIIAggCCAIIAggCCAIIAggCCAACAwJEAh4AAt4CAgJpAgQCBQIGAgcCCAIJAgoCCwIMAg0CCAIIAggCCAIIAggCCAIIAggCCAIIAggCCAIIAggCCAIIAAIDAtQCHgAC3gICAiUCBAIFAgYCBwIIAgkCqQILAgwCDQIIAggCCAIIAggCCAIIAggCCAIIAggCCAIIAggCCAIIAggAAgMCUAIeAALeAgICIQIEAgUCBgIHAggCCQI4AgsCDAINAggCCAIIAggCCAIIAggCCAIIAggCCAIIAggCCAIIAggCCAACAwI6Ah4AAt4CAgJ7AgQCBQIGAgcCCAIJAgoCCwIMAg0CCAIIAggCCAIIAggCCAIIAggCCAIIAggCCAIIAggCCAIIAAIDAroCHgAC3gICAh8CBAIFAgYCBwIIAgkCCgILAgwCDQIIAggCCAIIAggCCAIIAggCCAIIAggCCAIIAggCCAIIAggAAgMCIAIeAALeAgICeAIEAgUCBgIHAggCCQIKAgsCDAINAggCCAIIAggCCAIIAggCCAIIAggCCAIIAggCCAIIAggCCAACAwLBAh4AAt4CAgJZAgQCBQIGAgcCCAIJAjgCCwIMAg0CCAIIAggCCAIIAggCCAIIAggCCAIIAggCCAIIAggCCAIIAAIDArgCHgAC3gICAh0CBAIFAgYCBwIIAgkCCgILAgwCDQIIAggCCAIIAggCCAIIAggCCAIIAggCCAIIAggCCAIIAggAAgMCHgIeAALeAgICKQIEAgUCBgIHAggCCQKpAgsCDAINAggCCAIIAggCCAIIAggCCAIIAggCCAIIAggCCAIIAggCCAACAwLOAh4AAt4CAgIzAgQCBQIGAgcCCAIJAqkCCwIMAg0CCAIIAggCCAIIAggCCAIIAggCCAIIAggCCAIIAggCCAIIAAIDAlACHgAC3gICAjUCBAIFAgYCBwIIAgkCqQILAgwCDQIIAggCCAIIAggCCAIIAggCCAIIAggCCAIIAggCCAIIAggAAgMCsgIeAALeAgICaQIEAgUCBgIHAggCCQI4AgsCDAINAggCCAIIAggCCAIIAggCCAIIAggCCAIIAggCCAIIAggCCAACAwLHAh4AAt4CAgInAgQCBQIGAgcCCAIJAjgCCwIMAg0CCAIIAggCCAIIAggCCAIIAggCCAJ6AAAEAAgCCAIIAggCCAIIAggAAgMCPgIeAALeAgICUwIEAgUCBgIHAggCCQIKAgsCDAINAggCCAIIAggCCAIIAggCCAIIAggCCAIIAggCCAIIAggCCAACAwK2Ah4AAt4CAgIbAgQCBQIGAgcCCAIJAjgCCwIMAg0CCAIIAggCCAIIAggCCAIIAggCCAIIAggCCAIIAggCCAIIAAIDAkYCHgAC3gICAoICBAIFAgYCBwIIAgkCCgILAgwCDQIIAggCCAIIAggCCAIIAggCCAIIAggCCAIIAggCCAIIAggAAgMCyAIeAALeAgICVgIEAgUCBgIHAggCCQIKAgsCDAINAggCCAIIAggCCAIIAggCCAIIAggCCAIIAggCCAIIAggCCAACAwK1Ah4AAt4CAgItAgQCBQIGAgcCCAIJAjgCCwIMAg0CCAIIAggCCAIIAggCCAIIAggCCAIIAggCCAIIAggCCAIIAAIDAkACHgAC3gICAiECBAIFAgYCBwIIAgkCCgILAgwCDQIIAggCCAIIAggCCAIIAggCCAIIAggCCAIIAggCCAIIAggAAgMCIgIeAALeAgICMQIEAgUCBgIHAggCCQIKAgsCDAINAggCCAIIAggCCAIIAggCCAIIAggCCAIIAggCCAIIAggCCAACAwIyAh4AAt4CAgJLAgQCBQIGAgcCCAIJAjgCCwIMAg0CCAIIAggCCAIIAggCCAIIAggCCAIIAggCCAIIAggCCAIIAAIDArQCHgAC3gICAmYCBAIFAgYCBwIIAgkCCgILAgwCDQIIAggCCAIIAggCCAIIAggCCAIIAggCCAIIAggCCAIIAggAAgMC3AIeAALeAgICdQIEAgUCBgIHAggCCQKpAgsCDAINAggCCAIIAggCCAIIAggCCAIIAggCCAIIAggCCAIIAggCCAACAwKwAh4AAt4CAgIpAgQCBQIGAgcCCAIJAjgCCwIMAg0CCAIIAggCCAIIAggCCAIIAggCCAIIAggCCAIIAggCCAIIAAIDAj0CHgAC3gICAnUCBAIFAgYCBwIIAgkCCgILAgwCDQIIAggCCAIIAggCCAIIAggCCAIIAggCCAIIAggCCAIIAggAAgMCzQIeAALeAgICXwIEAgUCBgIHAggCCQIKAgsCDAINAggCCAIIAggCCAIIAggCCAIIAggCCAIIAggCCAIIAggCCAACAwKxAh4AAt4CAgJmAgQCBQIGAgcCCAIJAqkCCwIMAg0CCAIIAggCCAIIAggCCAIIAggCCAIIAggCCAIIAggCCAIIAAIDAlACHgAC3gICAlkCBAIFAgYCBwIIAgkCqQILAgwCDQIIAggCCAIIAggCCAIIAggCCAIIAggCCAJ6AAAEAAgCCAIIAggCCAACAwLXAh4AAt4CAgIrAgQCBQIGAgcCCAIJAqkCCwIMAg0CCAIIAggCCAIIAggCCAIIAggCCAIIAggCCAIIAggCCAIIAAIDAsUCHgAC3gICAk8CBAIFAgYCBwIIAgkCOAILAgwCDQIIAggCCAIIAggCCAIIAggCCAIIAggCCAIIAggCCAIIAggAAgMC3QIeAALeAgICewIEAgUCBgIHAggCCQI4AgsCDAINAggCCAIIAggCCAIIAggCCAIIAggCCAIIAggCCAIIAggCCAACAwLGAh4AAt4CAgIvAgQCBQIGAgcCCAIJAgoCCwIMAg0CCAIIAggCCAIIAggCCAIIAggCCAIIAggCCAIIAggCCAIIAAIDAjACHgAC3gICAoUCBAIFAgYCBwIIAgkCqQILAgwCDQIIAggCCAIIAggCCAIIAggCCAIIAggCCAIIAggCCAIIAggAAgMCswIeAALeAgICGwIEAgUCBgIHAggCCQIKAgsCDAINAggCCAIIAggCCAIIAggCCAIIAggCCAIIAggCCAIIAggCCAACAwIcAh4AAt4CAgJLAgQCBQIGAgcCCAIJAgoCCwIMAg0CCAIIAggCCAIIAggCCAIIAggCCAIIAggCCAIIAggCCAIIAAIDAtUCHgAC3gICAjECBAIFAgYCBwIIAgkCOAILAgwCDQIIAggCCAIIAggCCAIIAggCCAIIAggCCAIIAggCCAIIAggAAgMCOQIeAALeAgICggIEAgUCBgIHAggCCQI4AgsCDAINAggCCAIIAggCCAIIAggCCAIIAggCCAIIAggCCAIIAggCCAACAwLJAh4AAt4CAgInAgQCBQIGAgcCCAIJAgoCCwIMAg0CCAIIAggCCAIIAggCCAIIAggCCAIIAggCCAIIAggCCAIIAAIDAigCHgAC3gICAlMCBAIFAgYCBwIIAgkCOAILAgwCDQIIAggCCAIIAggCCAIIAggCCAIIAggCCAIIAggCCAIIAggAAgMC2AIeAALeAgICHwIEAgUCBgIHAggCCQKpAgsCDAINAggCCAIIAggCCAIIAggCCAIIAggCCAIIAggCCAIIAggCCAACAwLQAh4AAt4CAgJ4AgQCBQIGAgcCCAIJAqkCCwIMAg0CCAIIAggCCAIIAggCCAIIAggCCAIIAggCCAIIAggCCAIIAAIDAtICHgAC3gICAi0CBAIFAgYCBwIIAgkCqQILAgwCDQIIAggCCAIIAggCCAIIAggCCAIIAggCCAIIAggCCAIIAggAAgMC1gIeAALeAgICIwIEAgUCBgIHAggCCQI4AgsCDAINAggCCAIIAggCCAIIAggCCAIIAggCCAIIAggCCAJ6AAAEAAgCCAIIAAIDAjsCHgAC3gICAikCBAIFAgYCBwIIAgkCCgILAgwCDQIIAggCCAIIAggCCAIIAggCCAIIAggCCAIIAggCCAIIAggAAgMCKgIeAALeAgICdQIEAgUCBgIHAggCCQI4AgsCDAINAggCCAIIAggCCAIIAggCCAIIAggCCAIIAggCCAIIAggCCAACAwK3Ah4AAt4CAgIvAgQCBQIGAgcCCAIJAjgCCwIMAg0CCAIIAggCCAIIAggCCAIIAggCCAIIAggCCAIIAggCCAIIAAIDAkMCHgAC3gICAoUCBAIFAgYCBwIIAgkCOAILAgwCDQIIAggCCAIIAggCCAIIAggCCAIIAggCCAIIAggCCAIIAggAAgMC0wIeAALeAgICNQIEAgUCBgIHAggCCQIKAgsCDAINAggCCAIIAggCCAIIAggCCAIIAggCCAIIAggCCAIIAggCCAACAwI2Ah4AAt4CAgJ7AgQCBQIGAgcCCAIJAqkCCwIMAg0CCAIIAggCCAIIAggCCAIIAggCCAIIAggCCAIIAggCCAIIAAIDAtECHgAC3gICAmkCBAIFAgYCBwIIAgkCqQILAgwCDQIIAggCCAIIAggCCAIIAggCCAIIAggCCAIIAggCCAIIAggAAgMCywIeAALeAgICMwIEAgUCBgIHAggCCQIKAgsCDAINAggCCAIIAggCCAIIAggCCAIIAggCCAIIAggCCAIIAggCCAACAwI0Ah4AAt4CAgInAgQCBQIGAgcCCAIJAqkCCwIMAg0CCAIIAggCCAIIAggCCAIIAggCCAIIAggCCAIIAggCCAIIAAIDArkCHgAC3gICAk8CBAIFAgYCBwIIAgkCCgILAgwCDQIIAggCCAIIAggCCAIIAggCCAIIAggCCAIIAggCCAIIAggAAgMC2wIeAALeAgICMQIEAgUCBgIHAggCCQKpAgsCDAINAggCCAIIAggCCAIIAggCCAIIAggCCAIIAggCCAIIAggCCAACAwK9Ah4AAt4CAgJWAgQCBQIGAgcCCAIJAqkCCwIMAg0CCAIIAggCCAIIAggCCAIIAggCCAIIAggCCAIIAggCCAIIAAIDAsoCHgAC3gICAgMCBAIFAgYCBwIIAgkCqQILAgwCDQIIAggCCAIIAggCCAIIAggCCAIIAggCCAIIAggCCAIIAggAAgMCzAIeAALeAgICIwIEAgUCBgIHAggCCQIKAgsCDAINAggCCAIIAggCCAIIAggCCAIIAggCCAIIAggCCAIIAggCCAACAwIkAh4AAt4CAgJTAgQCBQIGAgcCCAIJAqkCCwIMAg0CCAIIAggCCAIIAggCCAIIAggCCAIIAggCCAIIAggCCAJ6AAAEAAgAAgMCxAIeAALeAgICJQIEAgUCBgIHAggCCQI4AgsCDAINAggCCAIIAggCCAIIAggCCAIIAggCCAIIAggCCAIIAggCCAACAwI8Ah4AAt4CAgIdAgQCBQIGAgcCCAIJAqkCCwIMAg0CCAIIAggCCAIIAggCCAIIAggCCAIIAggCCAIIAggCCAIIAAIDAlACHgAC3gICAiECBAIFAgYCBwIIAgkCqQILAgwCDQIIAggCCAIIAggCCAIIAggCCAIIAggCCAIIAggCCAIIAggAAgMCUAIeAALeAgICXwIEAgUCBgIHAggCCQKpAgsCDAINAggCCAIIAggCCAIIAggCCAIIAggCCAIIAggCCAIIAggCCAACAwLCAh4AAt4CAgIvAgQCBQIGAgcCCAIJAqkCCwIMAg0CCAIIAggCCAIIAggCCAIIAggCCAIIAggCCAIIAggCCAIIAAIDAq4CHgAC3gICAisCBAIFAgYCBwIIAgkCCgILAgwCDQIIAggCCAIIAggCCAIIAggCCAIIAggCCAIIAggCCAIIAggAAgMCLAIeAALeAgICeAIEAgUCBgIHAggCCQI4AgsCDAINAggCCAIIAggCCAIIAggCCAIIAggCCAIIAggCCAIIAggCCAACAwLDAh4AAt4CAgIjAgQCBQIGAgcCCAIJAqkCCwIMAg0CCAIIAggCCAIIAggCCAIIAggCCAIIAggCCAIIAggCCAIIAAIDAlACHgAC3gICAh8CBAIFAgYCBwIIAgkCOAILAgwCDQIIAggCCAIIAggCCAIIAggCCAIIAggCCAIIAggCCAIIAggAAgMCRwIeAALeAgICWQIEAgUCBgIHAggCCQIKAgsCDAINAggCCAIIAggCCAIIAggCCAIIAggCCAIIAggCCAIIAggCCAACAwKvAh4AAt4CAgItAgQCBQIGAgcCCAIJAgoCCwIMAg0CCAIIAggCCAIIAggCCAIIAggCCAIIAggCCAIIAggCCAIIAAIDAi4CHgAC3gICAgMCBAIFAgYCBwIIAgkCCgILAgwCDQIIAggCCAIIAggCCAIIAggCCAIIAggCCAIIAggCCAIIAggAAgMCDgIeAALeAgICggIEAgUCBgIHAggCCQKpAgsCDAINAggCCAIIAggCCAIIAggCCAIIAggCCAIIAggCCAIIAggCCAACAwK8Ah4AAt4CAgIzAgQCBQIGAgcCCAIJAjgCCwIMAg0CCAIIAggCCAIIAggCCAIIAggCCAIIAggCCAIIAggCCAIIAAIDAkECHgAC3gICAlYCBAIFAgYCBwIIAgkCOAILAgwCDQIIAggCCAIIAggCCAIIAggCCAIIAggCCAIIAggCCAIIAggAAgN6AAAEAAK+Ah4AAt4CAgJPAgQCBQIGAgcCCAIJAqkCCwIMAg0CCAIIAggCCAIIAggCCAIIAggCCAIIAggCCAIIAggCCAIIAAIDAlACHgAC3gICAjUCBAIFAgYCBwIIAgkCOAILAgwCDQIIAggCCAIIAggCCAIIAggCCAIIAggCCAIIAggCCAIIAggAAgMCRQIeAALeAgIChQIEAgUCBgIHAggCCQIKAgsCDAINAggCCAIIAggCCAIIAggCCAIIAggCCAIIAggCCAIIAggCCAACAwK7Ah4AAt4CAgIdAgQCBQIGAgcCCAIJAjgCCwIMAg0CCAIIAggCCAIIAggCCAIIAggCCAIIAggCCAIIAggCCAIIAAIDAkICHgAC3gICAmYCBAIFAgYCBwIIAgkCOAILAgwCDQIIAggCCAIIAggCCAIIAggCCAIIAggCCAIIAggCCAIIAggAAgMC2gIeAALeAgICKwIEAgUCBgIHAggCCQI4AgsCDAINAggCCAIIAggCCAIIAggCCAIIAggCCAIIAggCCAIIAggCCAACAwI/Ah4AAt4CAgIbAgQCBQIGAgcCCAIJAqkCCwIMAg0CCAIIAggCCAIIAggCCAIIAggCCAIIAggCCAIIAggCCAIIAAIDAr8CHgAC3gICAiUCBAIFAgYCBwIIAgkCCgILAgwCDQIIAggCCAIIAggCCAIIAggCCAIIAggCCAIIAggCCAIIAggAAgMCJgIeAALeAgICSwIEAgUCBgIHAggCCQKpAgsCDAINAggCCAIIAggCCAIIAggCCAIIAggCCAIIAggCCAIIAggCCAACAwLAAh4AAt8ACTQzMDk4NTQ3MgICAoUCBAIFAgYCBwIIAgkCOAILAgwCDQIIAggCCAIIAggCCAIIAggCCAIIAggCCAIIAggCCAIIAggCGgIDAtMCHgAC3wICAh8CBAIFAgYCBwIIAgkCqQILAgwCDQIIAggCCAIIAggCCAIIAggCCAIIAggCCAIIAggCCAIIAggCGgIDAtACHgAC3wICAiMCBAIFAgYCBwIIAgkCOAILAgwCDQIIAggCCAIIAggCCAIIAggCCAIIAggCCAIIAggCCAIIAggCGgIDAjsCHgAC3wICAjECBAIFAgYCBwIIAgkCqQILAgwCDQIIAggCCAIIAggCCAIIAggCCAIIAggCCAIIAggCCAIIAggCGgIDAr0CHgAC3wICAikCBAIFAgYCBwIIAgkCCgILAgwCDQIIAggCCAIIAggCCAIIAggCCAIIAggCCAIIAggCCAIIAggCGgIDAioCHgAC3wICAngCBAIFAgYCBwIIAgkCqQILAgwCDQIIAggCCAIIAggCCAIIAggCCAIIAggCCAJ6AAAEAAgCCAIIAggCCAIaAgMC0gIeAALfAgICLQIEAgUCBgIHAggCCQIKAgsCDAINAggCCAIIAggCCAIIAggCCAIIAggCCAIIAggCCAIIAggCCAIaAgMCLgIeAALfAgICggIEAgUCBgIHAggCCQKpAgsCDAINAggCCAIIAggCCAIIAggCCAIIAggCCAIIAggCCAIIAggCCAIaAgMCvAIeAALfAgICSwIEAgUCBgIHAggCCQIKAgsCDAINAggCCAIIAggCCAIIAggCCAIIAggCCAIIAggCCAIIAggCCAIaAgMC1QIeAALfAgICGwIEAgUCBgIHAggCCQIKAgsCDAINAggCCAIIAggCCAIIAggCCAIIAggCCAIIAggCCAIIAggCCAIaAgMCHAIeAALfAgICdQIEAgUCBgIHAggCCQI4AgsCDAINAggCCAIIAggCCAIIAggCCAIIAggCCAIIAggCCAIIAggCCAIaAgMCtwIeAALfAgICLwIEAgUCBgIHAggCCQI4AgsCDAINAggCCAIIAggCCAIIAggCCAIIAggCCAIIAggCCAIIAggCCAIaAgMCQwIeAALfAgICNQIEAgUCBgIHAggCCQI4AgsCDAINAggCCAIIAggCCAIIAggCCAIIAggCCAIIAggCCAIIAggCCAIaAgMCRQIeAALfAgICUwIEAgUCBgIHAggCCQKpAgsCDAINAggCCAIIAggCCAIIAggCCAIIAggCCAIIAggCCAIIAggCCAIaAgMCxAIeAALfAgICAwIEAgUCBgIHAggCCQKpAgsCDAINAggCCAIIAggCCAIIAggCCAIIAggCCAIIAggCCAIIAggCCAIaAgMCzAIeAALfAgICSwIEAgUCBgIHAggCCQI4AgsCDAINAggCCAIIAggCCAIIAggCCAIIAggCCAIIAggCCAIIAggCCAIaAgMCtAIeAALfAgICLwIEAgUCBgIHAggCCQIKAgsCDAINAggCCAIIAggCCAIIAggCCAIIAggCCAIIAggCCAIIAggCCAIaAgMCMAIeAALfAgIChQIEAgUCBgIHAggCCQKpAgsCDAINAggCCAIIAggCCAIIAggCCAIIAggCCAIIAggCCAIIAggCCAIaAgMCswIeAALfAgICIQIEAgUCBgIHAggCCQKpAgsCDAINAggCCAIIAggCCAIIAggCCAIIAggCCAIIAggCCAIIAggCCAIaAgMCUAIeAALfAgICIwIEAgUCBgIHAggCCQKpAgsCDAINAggCCAIIAggCCAIIAggCCAIIAggCCAIIAggCCAIIAggCCAIaAgMCUAIeAALfAgICKwIEAgUCBgIHAggCCQIKAgsCDAINAggCCAIIAggCCAIIAgh6AAAEAAIIAggCCAIIAggCCAIIAggCCAIIAhoCAwIsAh4AAt8CAgKCAgQCBQIGAgcCCAIJAjgCCwIMAg0CCAIIAggCCAIIAggCCAIIAggCCAIIAggCCAIIAggCCAIIAhoCAwLJAh4AAt8CAgJZAgQCBQIGAgcCCAIJAgoCCwIMAg0CCAIIAggCCAIIAggCCAIIAggCCAIIAggCCAIIAggCCAIIAhoCAwKvAh4AAt8CAgIxAgQCBQIGAgcCCAIJAjgCCwIMAg0CCAIIAggCCAIIAggCCAIIAggCCAIIAggCCAIIAggCCAIIAhoCAwI5Ah4AAt8CAgI1AgQCBQIGAgcCCAIJAgoCCwIMAg0CCAIIAggCCAIIAggCCAIIAggCCAIIAggCCAIIAggCCAIIAhoCAwI2Ah4AAt8CAgJ7AgQCBQIGAgcCCAIJAqkCCwIMAg0CCAIIAggCCAIIAggCCAIIAggCCAIIAggCCAIIAggCCAIIAhoCAwLRAh4AAt8CAgIpAgQCBQIGAgcCCAIJAqkCCwIMAg0CCAIIAggCCAIIAggCCAIIAggCCAIIAggCCAIIAggCCAIIAhoCAwLOAh4AAt8CAgIdAgQCBQIGAgcCCAIJAgoCCwIMAg0CCAIIAggCCAIIAggCCAIIAggCCAIIAggCCAIIAggCCAIIAhoCAwIeAh4AAt8CAgJ1AgQCBQIGAgcCCAIJAgoCCwIMAg0CCAIIAggCCAIIAggCCAIIAggCCAIIAggCCAIIAggCCAIIAhoCAwLNAh4AAt8CAgJWAgQCBQIGAgcCCAIJAgoCCwIMAg0CCAIIAggCCAIIAggCCAIIAggCCAIIAggCCAIIAggCCAIIAhoCAwK1Ah4AAt8CAgIbAgQCBQIGAgcCCAIJAjgCCwIMAg0CCAIIAggCCAIIAggCCAIIAggCCAIIAggCCAIIAggCCAIIAhoCAwJGAh4AAt8CAgJ4AgQCBQIGAgcCCAIJAgoCCwIMAg0CCAIIAggCCAIIAggCCAIIAggCCAIIAggCCAIIAggCCAIIAhoCAwLBAh4AAt8CAgIfAgQCBQIGAgcCCAIJAgoCCwIMAg0CCAIIAggCCAIIAggCCAIIAggCCAIIAggCCAIIAggCCAIIAhoCAwIgAh4AAt8CAgJTAgQCBQIGAgcCCAIJAjgCCwIMAg0CCAIIAggCCAIIAggCCAIIAggCCAIIAggCCAIIAggCCAIIAhoCAwLYAh4AAt8CAgJWAgQCBQIGAgcCCAIJAjgCCwIMAg0CCAIIAggCCAIIAggCCAIIAggCCAIIAggCCAIIAggCCAIIAhoCAwK+Ah4AAt8CAgIbAgQCBQIGAgcCCAIJAqkCCwIMAg0CCAJ6AAAEAAgCCAIIAggCCAIIAggCCAIIAggCCAIIAggCCAIIAggCGgIDAr8CHgAC3wICAksCBAIFAgYCBwIIAgkCqQILAgwCDQIIAggCCAIIAggCCAIIAggCCAIIAggCCAIIAggCCAIIAggCGgIDAsACHgAC3wICAl8CBAIFAgYCBwIIAgkCOAILAgwCDQIIAggCCAIIAggCCAIIAggCCAIIAggCCAIIAggCCAIIAggCGgIDAs8CHgAC3wICAmkCBAIFAgYCBwIIAgkCOAILAgwCDQIIAggCCAIIAggCCAIIAggCCAIIAggCCAIIAggCCAIIAggCGgIDAscCHgAC3wICAmkCBAIFAgYCBwIIAgkCCgILAgwCDQIIAggCCAIIAggCCAIIAggCCAIIAggCCAIIAggCCAIIAggCGgIDAtQCHgAC3wICAoICBAIFAgYCBwIIAgkCCgILAgwCDQIIAggCCAIIAggCCAIIAggCCAIIAggCCAIIAggCCAIIAggCGgIDAsgCHgAC3wICAnsCBAIFAgYCBwIIAgkCCgILAgwCDQIIAggCCAIIAggCCAIIAggCCAIIAggCCAIIAggCCAIIAggCGgIDAroCHgAC3wICAiECBAIFAgYCBwIIAgkCOAILAgwCDQIIAggCCAIIAggCCAIIAggCCAIIAggCCAIIAggCCAIIAggCGgIDAjoCHgAC3wICAicCBAIFAgYCBwIIAgkCOAILAgwCDQIIAggCCAIIAggCCAIIAggCCAIIAggCCAIIAggCCAIIAggCGgIDAj4CHgAC3wICAlkCBAIFAgYCBwIIAgkCqQILAgwCDQIIAggCCAIIAggCCAIIAggCCAIIAggCCAIIAggCCAIIAggCGgIDAtcCHgAC3wICAisCBAIFAgYCBwIIAgkCqQILAgwCDQIIAggCCAIIAggCCAIIAggCCAIIAggCCAIIAggCCAIIAggCGgIDAsUCHgAC3wICAicCBAIFAgYCBwIIAgkCCgILAgwCDQIIAggCCAIIAggCCAIIAggCCAIIAggCCAIIAggCCAIIAggCGgIDAigCHgAC3wICAnsCBAIFAgYCBwIIAgkCOAILAgwCDQIIAggCCAIIAggCCAIIAggCCAIIAggCCAIIAggCCAIIAggCGgIDAsYCHgAC3wICAi0CBAIFAgYCBwIIAgkCqQILAgwCDQIIAggCCAIIAggCCAIIAggCCAIIAggCCAIIAggCCAIIAggCGgIDAtYCHgAC3wICAl8CBAIFAgYCBwIIAgkCqQILAgwCDQIIAggCCAIIAggCCAIIAggCCAIIAggCCAIIAggCCAIIAggCGgIDAsICHgAC3wICAgMCBAIFAgYCBwIIAgl6AAAEAAI4AgsCDAINAggCCAIIAggCCAIIAggCCAIIAggCCAIIAggCCAIIAggCCAIaAgMCRAIeAALfAgICHQIEAgUCBgIHAggCCQI4AgsCDAINAggCCAIIAggCCAIIAggCCAIIAggCCAIIAggCCAIIAggCCAIaAgMCQgIeAALfAgICIwIEAgUCBgIHAggCCQIKAgsCDAINAggCCAIIAggCCAIIAggCCAIIAggCCAIIAggCCAIIAggCCAIaAgMCJAIeAALfAgICIQIEAgUCBgIHAggCCQIKAgsCDAINAggCCAIIAggCCAIIAggCCAIIAggCCAIIAggCCAIIAggCCAIaAgMCIgIeAALfAgICAwIEAgUCBgIHAggCCQIKAgsCDAINAggCCAIIAggCCAIIAggCCAIIAggCCAIIAggCCAIIAggCCAIaAgMCDgIeAALfAgICHQIEAgUCBgIHAggCCQKpAgsCDAINAggCCAIIAggCCAIIAggCCAIIAggCCAIIAggCCAIIAggCCAIaAgMCUAIeAALfAgICVgIEAgUCBgIHAggCCQKpAgsCDAINAggCCAIIAggCCAIIAggCCAIIAggCCAIIAggCCAIIAggCCAIaAgMCygIeAALfAgICdQIEAgUCBgIHAggCCQKpAgsCDAINAggCCAIIAggCCAIIAggCCAIIAggCCAIIAggCCAIIAggCCAIaAgMCsAIeAALfAgIChQIEAgUCBgIHAggCCQIKAgsCDAINAggCCAIIAggCCAIIAggCCAIIAggCCAIIAggCCAIIAggCCAIaAgMCuwIeAALfAgICXwIEAgUCBgIHAggCCQIKAgsCDAINAggCCAIIAggCCAIIAggCCAIIAggCCAIIAggCCAIIAggCCAIaAgMCsQIeAALfAgICKwIEAgUCBgIHAggCCQI4AgsCDAINAggCCAIIAggCCAIIAggCCAIIAggCCAIIAggCCAIIAggCCAIaAgMCPwIeAALfAgICKQIEAgUCBgIHAggCCQI4AgsCDAINAggCCAIIAggCCAIIAggCCAIIAggCCAIIAggCCAIIAggCCAIaAgMCPQIeAALfAgICMQIEAgUCBgIHAggCCQIKAgsCDAINAggCCAIIAggCCAIIAggCCAIIAggCCAIIAggCCAIIAggCCAIaAgMCMgIeAALfAgICWQIEAgUCBgIHAggCCQI4AgsCDAINAggCCAIIAggCCAIIAggCCAIIAggCCAIIAggCCAIIAggCCAIaAgMCuAIeAALfAgICJwIEAgUCBgIHAggCCQKpAgsCDAINAggCCAIIAggCCAIIAggCCAIIAggCCAIIAggCCAIIAggCCAIaAgMCuQIeAALfAgICaQJ6AAAEAAQCBQIGAgcCCAIJAqkCCwIMAg0CCAIIAggCCAIIAggCCAIIAggCCAIIAggCCAIIAggCCAIIAhoCAwLLAh4AAt8CAgIvAgQCBQIGAgcCCAIJAqkCCwIMAg0CCAIIAggCCAIIAggCCAIIAggCCAIIAggCCAIIAggCCAIIAhoCAwKuAh4AAt8CAgI1AgQCBQIGAgcCCAIJAqkCCwIMAg0CCAIIAggCCAIIAggCCAIIAggCCAIIAggCCAIIAggCCAIIAhoCAwKyAh4AAt8CAgJ4AgQCBQIGAgcCCAIJAjgCCwIMAg0CCAIIAggCCAIIAggCCAIIAggCCAIIAggCCAIIAggCCAIIAhoCAwLDAh4AAt8CAgJTAgQCBQIGAgcCCAIJAgoCCwIMAg0CCAIIAggCCAIIAggCCAIIAggCCAIIAggCCAIIAggCCAIIAhoCAwK2Ah4AAt8CAgItAgQCBQIGAgcCCAIJAjgCCwIMAg0CCAIIAggCCAIIAggCCAIIAggCCAIIAggCCAIIAggCCAIIAhoCAwJAAh4AAt8CAgIfAgQCBQIGAgcCCAIJAjgCCwIMAg0CCAIIAggCCAIIAggCCAIIAggCCAIIAggCCAIIAggCCAIIAhoCAwJHAh4AAuAACTQxNzAyMDU0NAICAnsCBAIFAgYCBwIIAgkCOAILAkkCDQIIAggCCAIIAggCCAIIAggCCAIIAggCCAIIAggCCAIIAggCFwIDApoCHgAC4AICAmkCBAIFAgYCBwIIAgkCTAILAkkCDQIIAggCCAIIAggCCAIIAggCCAIIAggCCAIIAggCCAIIAggCFwIDAnECHgAC4AICAoICBAIFAgYCBwIIAgkCCgILAkkCDQIIAggCCAIIAggCCAIIAggCCAIIAggCCAIIAggCCAIIAggCFwIDApkCHgAC4AICAicCBAIFAgYCBwIIAgkCTAILAkkCDQIIAggCCAIIAggCCAIIAggCCAIIAggCCAIIAggCCAIIAggCFwIDAo4CHgAC4AICAh0CBAIFAgYCBwIIAgkCTAILAkkCDQIIAggCCAIIAggCCAIIAggCCAIIAggCCAIIAggCCAIIAggCFwIDAlACHgAC4AICAngCBAIFAgYCBwIIAgkCOAILAkkCDQIIAggCCAIIAggCCAIIAggCCAIIAggCCAIIAggCCAIIAggCFwIDAo0CHgAC4AICAicCBAIFAgYCBwIIAgkCOAILAkkCDQIIAggCCAIIAggCCAIIAggCCAIIAggCCAIIAggCCAIIAggCFwIDAm0CHgAC4AICAlYCBAIFAgYCBwIIAgkCTAILAkkCDQIIAggCCAIIAggCCAIIAggCCAIIAggCCAIIAgh6AAAEAAIIAggCCAIXAgMCfwIeAALgAgICMQIEAgUCBgIHAggCCQIKAgsCSQINAggCCAIIAggCCAIIAggCCAIIAggCCAIIAggCCAIIAggCCAIXAgMCkwIeAALgAgICeAIEAgUCBgIHAggCCQIKAgsCSQINAggCCAIIAggCCAIIAggCCAIIAggCCAIIAggCCAIIAggCCAIXAgMCeQIeAALgAgICAwIEAgUCBgIHAggCCQI4AgsCSQINAggCCAIIAggCCAIIAggCCAIIAggCCAIIAggCCAIIAggCCAIXAgMCoQIeAALgAgICUwIEAgUCBgIHAggCCQI4AgsCSQINAggCCAIIAggCCAIIAggCCAIIAggCCAIIAggCCAIIAggCCAIXAgMCpAIeAALgAgICUwIEAgUCBgIHAggCCQJMAgsCSQINAggCCAIIAggCCAIIAggCCAIIAggCCAIIAggCCAIIAggCCAIXAgMCpQIeAALgAgICAwIEAgUCBgIHAggCCQJMAgsCSQINAggCCAIIAggCCAIIAggCCAIIAggCCAIIAggCCAIIAggCCAIXAgMCmAIeAALgAgICVgIEAgUCBgIHAggCCQI4AgsCSQINAggCCAIIAggCCAIIAggCCAIIAggCCAIIAggCCAIIAggCCAIXAgMCfgIeAALgAgICHQIEAgUCBgIHAggCCQI4AgsCSQINAggCCAIIAggCCAIIAggCCAIIAggCCAIIAggCCAIIAggCCAIXAgMCawIeAALgAgICaQIEAgUCBgIHAggCCQI4AgsCSQINAggCCAIIAggCCAIIAggCCAIIAggCCAIIAggCCAIIAggCCAIXAgMCagIeAALgAgICewIEAgUCBgIHAggCCQJMAgsCSQINAggCCAIIAggCCAIIAggCCAIIAggCCAIIAggCCAIIAggCCAIXAgMCjAIeAALgAgICHwIEAgUCBgIHAggCCQIKAgsCSQINAggCCAIIAggCCAIIAggCCAIIAggCCAIIAggCCAIIAggCCAIXAgMCbwIeAALgAgICKwIEAgUCBgIHAggCCQI4AgsCSQINAggCCAIIAggCCAIIAggCCAIIAggCCAIIAggCCAIIAggCCAIXAgMCVQIeAALgAgICLwIEAgUCBgIHAggCCQI4AgsCSQINAggCCAIIAggCCAIIAggCCAIIAggCCAIIAggCCAIIAggCCAIXAgMCegIeAALgAgICdQIEAgUCBgIHAggCCQI4AgsCSQINAggCCAIIAggCCAIIAggCCAIIAggCCAIIAggCCAIIAggCCAIXAgMCdgIeAALgAgICWQIEAgUCBgIHAggCCQI4AgsCSQINAggCCAIIAggCCAIIAggCCAJ6AAAEAAgCCAIIAggCCAIIAggCCAIIAhcCAwJaAh4AAuACAgIrAgQCBQIGAgcCCAIJAkwCCwJJAg0CCAIIAggCCAIIAggCCAIIAggCCAIIAggCCAIIAggCCAIIAhcCAwJzAh4AAuACAgItAgQCBQIGAgcCCAIJAkwCCwJJAg0CCAIIAggCCAIIAggCCAIIAggCCAIIAggCCAIIAggCCAIIAhcCAwJiAh4AAuACAgKFAgQCBQIGAgcCCAIJAgoCCwJJAg0CCAIIAggCCAIIAggCCAIIAggCCAIIAggCCAIIAggCCAIIAhcCAwKGAh4AAuACAgJ7AgQCBQIGAgcCCAIJAgoCCwJJAg0CCAIIAggCCAIIAggCCAIIAggCCAIIAggCCAIIAggCCAIIAhcCAwJ8Ah4AAuACAgIlAgQCBQIGAgcCCAIJAgoCCwJJAg0CCAIIAggCCAIIAggCCAIIAggCCAIIAggCCAIIAggCCAIIAhcCAwKBAh4AAuACAgIpAgQCBQIGAgcCCAIJAgoCCwJJAg0CCAIIAggCCAIIAggCCAIIAggCCAIIAggCCAIIAggCCAIIAhcCAwJ0Ah4AAuACAgJ4AgQCBQIGAgcCCAIJAkwCCwJJAg0CCAIIAggCCAIIAggCCAIIAggCCAIIAggCCAIIAggCCAIIAhcCAwKRAh4AAuACAgIfAgQCBQIGAgcCCAIJAkwCCwJJAg0CCAIIAggCCAIIAggCCAIIAggCCAIIAggCCAIIAggCCAIIAhcCAwKSAh4AAuACAgJTAgQCBQIGAgcCCAIJAgoCCwJJAg0CCAIIAggCCAIIAggCCAIIAggCCAIIAggCCAIIAggCCAIIAhcCAwJUAh4AAuACAgIjAgQCBQIGAgcCCAIJAgoCCwJJAg0CCAIIAggCCAIIAggCCAIIAggCCAIIAggCCAIIAggCCAIIAhcCAwKUAh4AAuACAgIfAgQCBQIGAgcCCAIJAjgCCwJJAg0CCAIIAggCCAIIAggCCAIIAggCCAIIAggCCAIIAggCCAIIAhcCAwKPAh4AAuACAgItAgQCBQIGAgcCCAIJAjgCCwJJAg0CCAIIAggCCAIIAggCCAIIAggCCAIIAggCCAIIAggCCAIIAhcCAwJKAh4AAuACAgJZAgQCBQIGAgcCCAIJAkwCCwJJAg0CCAIIAggCCAIIAggCCAIIAggCCAIIAggCCAIIAggCCAIIAhcCAwJyAh4AAuACAgIDAgQCBQIGAgcCCAIJAgoCCwJJAg0CCAIIAggCCAIIAggCCAIIAggCCAIIAggCCAIIAggCCAIIAhcCAwJbAh4AAuACAgIpAgQCBQIGAgcCCAIJAjgCCwJJAg0CCAIIAgh6AAAEAAIIAggCCAIIAggCCAIIAggCCAIIAggCCAIIAggCFwIDAl4CHgAC4AICAjUCBAIFAgYCBwIIAgkCTAILAkkCDQIIAggCCAIIAggCCAIIAggCCAIIAggCCAIIAggCCAIIAggCFwIDAmwCHgAC4AICAlkCBAIFAgYCBwIIAgkCCgILAkkCDQIIAggCCAIIAggCCAIIAggCCAIIAggCCAIIAggCCAIIAggCFwIDAmECHgAC4AICAiUCBAIFAgYCBwIIAgkCTAILAkkCDQIIAggCCAIIAggCCAIIAggCCAIIAggCCAIIAggCCAIIAggCFwIDAlACHgAC4AICAiECBAIFAgYCBwIIAgkCCgILAkkCDQIIAggCCAIIAggCCAIIAggCCAIIAggCCAIIAggCCAIIAggCFwIDAmUCHgAC4AICAiUCBAIFAgYCBwIIAgkCOAILAkkCDQIIAggCCAIIAggCCAIIAggCCAIIAggCCAIIAggCCAIIAggCFwIDAmMCHgAC4AICAisCBAIFAgYCBwIIAgkCCgILAkkCDQIIAggCCAIIAggCCAIIAggCCAIIAggCCAIIAggCCAIIAggCFwIDAlwCHgAC4AICAoUCBAIFAgYCBwIIAgkCOAILAkkCDQIIAggCCAIIAggCCAIIAggCCAIIAggCCAIIAggCCAIIAggCFwIDApsCHgAC4AICAjUCBAIFAgYCBwIIAgkCOAILAkkCDQIIAggCCAIIAggCCAIIAggCCAIIAggCCAIIAggCCAIIAggCFwIDAm4CHgAC4AICAi8CBAIFAgYCBwIIAgkCTAILAkkCDQIIAggCCAIIAggCCAIIAggCCAIIAggCCAIIAggCCAIIAggCFwIDAncCHgAC4AICAnUCBAIFAgYCBwIIAgkCTAILAkkCDQIIAggCCAIIAggCCAIIAggCCAIIAggCCAIIAggCCAIIAggCFwIDAoACHgAC4AICAl8CBAIFAgYCBwIIAgkCCgILAkkCDQIIAggCCAIIAggCCAIIAggCCAIIAggCCAIIAggCCAIIAggCFwIDAmACHgAC4AICAikCBAIFAgYCBwIIAgkCTAILAkkCDQIIAggCCAIIAggCCAIIAggCCAIIAggCCAIIAggCCAIIAggCFwIDAl0CHgAC4AICAksCBAIFAgYCBwIIAgkCCgILAkkCDQIIAggCCAIIAggCCAIIAggCCAIIAggCCAIIAggCCAIIAggCFwIDApYCHgAC4AICAoUCBAIFAgYCBwIIAgkCTAILAkkCDQIIAggCCAIIAggCCAIIAggCCAIIAggCCAIIAggCCAIIAggCFwIDApwCHgAC4AICAjMCBAIFAgYCBwIIAgkCTAJ6AAAEAAsCSQINAggCCAIIAggCCAIIAggCCAIIAggCCAIIAggCCAIIAggCCAIXAgMCUAIeAALgAgICMwIEAgUCBgIHAggCCQI4AgsCSQINAggCCAIIAggCCAIIAggCCAIIAggCCAIIAggCCAIIAggCCAIXAgMCaAIeAALgAgICLQIEAgUCBgIHAggCCQIKAgsCSQINAggCCAIIAggCCAIIAggCCAIIAggCCAIIAggCCAIIAggCCAIXAgMCcAIeAALgAgICGwIEAgUCBgIHAggCCQIKAgsCSQINAggCCAIIAggCCAIIAggCCAIIAggCCAIIAggCCAIIAggCCAIXAgMClwIeAALgAgICaQIEAgUCBgIHAggCCQIKAgsCSQINAggCCAIIAggCCAIIAggCCAIIAggCCAIIAggCCAIIAggCCAIXAgMCogIeAALgAgICggIEAgUCBgIHAggCCQJMAgsCSQINAggCCAIIAggCCAIIAggCCAIIAggCCAIIAggCCAIIAggCCAIXAgMCiAIeAALgAgICIQIEAgUCBgIHAggCCQI4AgsCSQINAggCCAIIAggCCAIIAggCCAIIAggCCAIIAggCCAIIAggCCAIXAgMCoAIeAALgAgICXwIEAgUCBgIHAggCCQI4AgsCSQINAggCCAIIAggCCAIIAggCCAIIAggCCAIIAggCCAIIAggCCAIXAgMCngIeAALgAgICMQIEAgUCBgIHAggCCQJMAgsCSQINAggCCAIIAggCCAIIAggCCAIIAggCCAIIAggCCAIIAggCCAIXAgMChwIeAALgAgICSwIEAgUCBgIHAggCCQJMAgsCSQINAggCCAIIAggCCAIIAggCCAIIAggCCAIIAggCCAIIAggCCAIXAgMCTQIeAALgAgICMQIEAgUCBgIHAggCCQI4AgsCSQINAggCCAIIAggCCAIIAggCCAIIAggCCAIIAggCCAIIAggCCAIXAgMChAIeAALgAgICIwIEAgUCBgIHAggCCQI4AgsCSQINAggCCAIIAggCCAIIAggCCAIIAggCCAIIAggCCAIIAggCCAIXAgMCnwIeAALgAgICJwIEAgUCBgIHAggCCQIKAgsCSQINAggCCAIIAggCCAIIAggCCAIIAggCCAIIAggCCAIIAggCCAIXAgMCowIeAALgAgICGwIEAgUCBgIHAggCCQI4AgsCSQINAggCCAIIAggCCAIIAggCCAIIAggCCAIIAggCCAIIAggCCAIXAgMCUgIeAALgAgICSwIEAgUCBgIHAggCCQI4AgsCSQINAggCCAIIAggCCAIIAggCCAIIAggCCAIIAggCCAIIAggCCAIXAgMCZAIeAALgAgICIwIEAgV6AAAEAAIGAgcCCAIJAkwCCwJJAg0CCAIIAggCCAIIAggCCAIIAggCCAIIAggCCAIIAggCCAIIAhcCAwJQAh4AAuACAgJfAgQCBQIGAgcCCAIJAkwCCwJJAg0CCAIIAggCCAIIAggCCAIIAggCCAIIAggCCAIIAggCCAIIAhcCAwKdAh4AAuACAgKCAgQCBQIGAgcCCAIJAjgCCwJJAg0CCAIIAggCCAIIAggCCAIIAggCCAIIAggCCAIIAggCCAIIAhcCAwKDAh4AAuACAgIhAgQCBQIGAgcCCAIJAkwCCwJJAg0CCAIIAggCCAIIAggCCAIIAggCCAIIAggCCAIIAggCCAIIAhcCAwJQAh4AAuACAgIbAgQCBQIGAgcCCAIJAkwCCwJJAg0CCAIIAggCCAIIAggCCAIIAggCCAIIAggCCAIIAggCCAIIAhcCAwJOAh4AAuACAgJWAgQCBQIGAgcCCAIJAgoCCwJJAg0CCAIIAggCCAIIAggCCAIIAggCCAIIAggCCAIIAggCCAIIAhcCAwJXAh4AAuACAgJ1AgQCBQIGAgcCCAIJAgoCCwJJAg0CCAIIAggCCAIIAggCCAIIAggCCAIIAggCCAIIAggCCAIIAhcCAwKQAh4AAuACAgIzAgQCBQIGAgcCCAIJAgoCCwJJAg0CCAIIAggCCAIIAggCCAIIAggCCAIIAggCCAIIAggCCAIIAhcCAwKLAh4AAuACAgIvAgQCBQIGAgcCCAIJAgoCCwJJAg0CCAIIAggCCAIIAggCCAIIAggCCAIIAggCCAIIAggCCAIIAhcCAwKJAh4AAuACAgIdAgQCBQIGAgcCCAIJAgoCCwJJAg0CCAIIAggCCAIIAggCCAIIAggCCAIIAggCCAIIAggCCAIIAhcCAwJRAh4AAuACAgI1AgQCBQIGAgcCCAIJAgoCCwJJAg0CCAIIAggCCAIIAggCCAIIAggCCAIIAggCCAIIAggCCAIIAhcCAwKKAh4AAuEACTQxNzAxNzA2NAICAiECBAIFAgYCBwIIAgkCqQILAgwCDQIIAggCCAIIAggCCAIIAggCCAIIAggCCAIIAggCCAIIAggCFAIDAlACHgAC4QICAngCBAIFAgYCBwIIAgkCOAILAgwCDQIIAggCCAIIAggCCAIIAggCCAIIAggCCAIIAggCCAIIAggCFAIDAsMCHgAC4QICAisCBAIFAgYCBwIIAgkCqQILAgwCDQIIAggCCAIIAggCCAIIAggCCAIIAggCCAIIAggCCAIIAggCFAIDAsUCHgAC4QICAh8CBAIFAgYCBwIIAgkCOAILAgwCDQIIAggCCAIIAggCCAIIAggCCAIIAggCCAIIAggCCAJ6AAAEAAgCCAIUAgMCRwIeAALhAgICewIEAgUCBgIHAggCCQI4AgsCDAINAggCCAIIAggCCAIIAggCCAIIAggCCAIIAggCCAIIAggCCAIUAgMCxgIeAALhAgICIwIEAgUCBgIHAggCCQIKAgsCDAINAggCCAIIAggCCAIIAggCCAIIAggCCAIIAggCCAIIAggCCAIUAgMCJAIeAALhAgICAwIEAgUCBgIHAggCCQKpAgsCDAINAggCCAIIAggCCAIIAggCCAIIAggCCAIIAggCCAIIAggCCAIUAgMCzAIeAALhAgICLQIEAgUCBgIHAggCCQKpAgsCDAINAggCCAIIAggCCAIIAggCCAIIAggCCAIIAggCCAIIAggCCAIUAgMC1gIeAALhAgICggIEAgUCBgIHAggCCQIKAgsCDAINAggCCAIIAggCCAIIAggCCAIIAggCCAIIAggCCAIIAggCCAIUAgMCyAIeAALhAgICJwIEAgUCBgIHAggCCQI4AgsCDAINAggCCAIIAggCCAIIAggCCAIIAggCCAIIAggCCAIIAggCCAIUAgMCPgIeAALhAgICUwIEAgUCBgIHAggCCQKpAgsCDAINAggCCAIIAggCCAIIAggCCAIIAggCCAIIAggCCAIIAggCCAIUAgMCxAIeAALhAgICMQIEAgUCBgIHAggCCQIKAgsCDAINAggCCAIIAggCCAIIAggCCAIIAggCCAIIAggCCAIIAggCCAIUAgMCMgIeAALhAgICHQIEAgUCBgIHAggCCQI4AgsCDAINAggCCAIIAggCCAIIAggCCAIIAggCCAIIAggCCAIIAggCCAIUAgMCQgIeAALhAgICVgIEAgUCBgIHAggCCQI4AgsCDAINAggCCAIIAggCCAIIAggCCAIIAggCCAIIAggCCAIIAggCCAIUAgMCvgIeAALhAgICGwIEAgUCBgIHAggCCQKpAgsCDAINAggCCAIIAggCCAIIAggCCAIIAggCCAIIAggCCAIIAggCCAIUAgMCvwIeAALhAgICTwIEAgUCBgIHAggCCQKpAgsCDAINAggCCAIIAggCCAIIAggCCAIIAggCCAIIAggCCAIIAggCCAIUAgMCUAIeAALhAgICaQIEAgUCBgIHAggCCQI4AgsCDAINAggCCAIIAggCCAIIAggCCAIIAggCCAIIAggCCAIIAggCCAIUAgMCxwIeAALhAgICeAIEAgUCBgIHAggCCQIKAgsCDAINAggCCAIIAggCCAIIAggCCAIIAggCCAIIAggCCAIIAggCCAIUAgMCwQIeAALhAgICAwIEAgUCBgIHAggCCQI4AgsCDAINAggCCAIIAggCCAIIAggCCAIIAgh6AAAEAAIIAggCCAIIAggCCAIIAhQCAwJEAh4AAuECAgJZAgQCBQIGAgcCCAIJAqkCCwIMAg0CCAIIAggCCAIIAggCCAIIAggCCAIIAggCCAIIAggCCAIIAhQCAwLXAh4AAuECAgJfAgQCBQIGAgcCCAIJAqkCCwIMAg0CCAIIAggCCAIIAggCCAIIAggCCAIIAggCCAIIAggCCAIIAhQCAwLCAh4AAuECAgIfAgQCBQIGAgcCCAIJAgoCCwIMAg0CCAIIAggCCAIIAggCCAIIAggCCAIIAggCCAIIAggCCAIIAhQCAwIgAh4AAuECAgIvAgQCBQIGAgcCCAIJAjgCCwIMAg0CCAIIAggCCAIIAggCCAIIAggCCAIIAggCCAIIAggCCAIIAhQCAwJDAh4AAuECAgJ1AgQCBQIGAgcCCAIJAjgCCwIMAg0CCAIIAggCCAIIAggCCAIIAggCCAIIAggCCAIIAggCCAIIAhQCAwK3Ah4AAuECAgJ7AgQCBQIGAgcCCAIJAgoCCwIMAg0CCAIIAggCCAIIAggCCAIIAggCCAIIAggCCAIIAggCCAIIAhQCAwK6Ah4AAuECAgJZAgQCBQIGAgcCCAIJAjgCCwIMAg0CCAIIAggCCAIIAggCCAIIAggCCAIIAggCCAIIAggCCAIIAhQCAwK4Ah4AAuECAgIlAgQCBQIGAgcCCAIJAgoCCwIMAg0CCAIIAggCCAIIAggCCAIIAggCCAIIAggCCAIIAggCCAIIAhQCAwImAh4AAuECAgIrAgQCBQIGAgcCCAIJAjgCCwIMAg0CCAIIAggCCAIIAggCCAIIAggCCAIIAggCCAIIAggCCAIIAhQCAwI/Ah4AAuECAgKFAgQCBQIGAgcCCAIJAgoCCwIMAg0CCAIIAggCCAIIAggCCAIIAggCCAIIAggCCAIIAggCCAIIAhQCAwK7Ah4AAuECAgJLAgQCBQIGAgcCCAIJAqkCCwIMAg0CCAIIAggCCAIIAggCCAIIAggCCAIIAggCCAIIAggCCAIIAhQCAwLAAh4AAuECAgJWAgQCBQIGAgcCCAIJAqkCCwIMAg0CCAIIAggCCAIIAggCCAIIAggCCAIIAggCCAIIAggCCAIIAhQCAwLKAh4AAuECAgIpAgQCBQIGAgcCCAIJAgoCCwIMAg0CCAIIAggCCAIIAggCCAIIAggCCAIIAggCCAIIAggCCAIIAhQCAwIqAh4AAuECAgI1AgQCBQIGAgcCCAIJAqkCCwIMAg0CCAIIAggCCAIIAggCCAIIAggCCAIIAggCCAIIAggCCAIIAhQCAwKyAh4AAuECAgIdAgQCBQIGAgcCCAIJAqkCCwIMAg0CCAIIAggCCAJ6AAAEAAgCCAIIAggCCAIIAggCCAIIAggCCAIIAggCFAIDAlACHgAC4QICAlMCBAIFAgYCBwIIAgkCCgILAgwCDQIIAggCCAIIAggCCAIIAggCCAIIAggCCAIIAggCCAIIAggCFAIDArYCHgAC4QICAi0CBAIFAgYCBwIIAgkCOAILAgwCDQIIAggCCAIIAggCCAIIAggCCAIIAggCCAIIAggCCAIIAggCFAIDAkACHgAC4QICAjMCBAIFAgYCBwIIAgkCqQILAgwCDQIIAggCCAIIAggCCAIIAggCCAIIAggCCAIIAggCCAIIAggCFAIDAlACHgAC4QICAicCBAIFAgYCBwIIAgkCqQILAgwCDQIIAggCCAIIAggCCAIIAggCCAIIAggCCAIIAggCCAIIAggCFAIDArkCHgAC4QICAmkCBAIFAgYCBwIIAgkCqQILAgwCDQIIAggCCAIIAggCCAIIAggCCAIIAggCCAIIAggCCAIIAggCFAIDAssCHgAC4QICAgMCBAIFAgYCBwIIAgkCCgILAgwCDQIIAggCCAIIAggCCAIIAggCCAIIAggCCAIIAggCCAIIAggCFAIDAg4CHgAC4QICAi8CBAIFAgYCBwIIAgkCqQILAgwCDQIIAggCCAIIAggCCAIIAggCCAIIAggCCAIIAggCCAIIAggCFAIDAq4CHgAC4QICAlkCBAIFAgYCBwIIAgkCCgILAgwCDQIIAggCCAIIAggCCAIIAggCCAIIAggCCAIIAggCCAIIAggCFAIDAq8CHgAC4QICAikCBAIFAgYCBwIIAgkCOAILAgwCDQIIAggCCAIIAggCCAIIAggCCAIIAggCCAIIAggCCAIIAggCFAIDAj0CHgAC4QICAiMCBAIFAgYCBwIIAgkCqQILAgwCDQIIAggCCAIIAggCCAIIAggCCAIIAggCCAIIAggCCAIIAggCFAIDAlACHgAC4QICAl8CBAIFAgYCBwIIAgkCCgILAgwCDQIIAggCCAIIAggCCAIIAggCCAIIAggCCAIIAggCCAIIAggCFAIDArECHgAC4QICAiECBAIFAgYCBwIIAgkCCgILAgwCDQIIAggCCAIIAggCCAIIAggCCAIIAggCCAIIAggCCAIIAggCFAIDAiICHgAC4QICAnUCBAIFAgYCBwIIAgkCqQILAgwCDQIIAggCCAIIAggCCAIIAggCCAIIAggCCAIIAggCCAIIAggCFAIDArACHgAC4QICAisCBAIFAgYCBwIIAgkCCgILAgwCDQIIAggCCAIIAggCCAIIAggCCAIIAggCCAIIAggCCAIIAggCFAIDAiwCHgAC4QICAiUCBAIFAgYCBwIIAgkCOAILAgx6AAAEAAINAggCCAIIAggCCAIIAggCCAIIAggCCAIIAggCCAIIAggCCAIUAgMCPAIeAALhAgICSwIEAgUCBgIHAggCCQIKAgsCDAINAggCCAIIAggCCAIIAggCCAIIAggCCAIIAggCCAIIAggCCAIUAgMC1QIeAALhAgICNQIEAgUCBgIHAggCCQI4AgsCDAINAggCCAIIAggCCAIIAggCCAIIAggCCAIIAggCCAIIAggCCAIUAgMCRQIeAALhAgICTwIEAgUCBgIHAggCCQIKAgsCDAINAggCCAIIAggCCAIIAggCCAIIAggCCAIIAggCCAIIAggCCAIUAgMC2wIeAALhAgICMQIEAgUCBgIHAggCCQKpAgsCDAINAggCCAIIAggCCAIIAggCCAIIAggCCAIIAggCCAIIAggCCAIUAgMCvQIeAALhAgIChQIEAgUCBgIHAggCCQI4AgsCDAINAggCCAIIAggCCAIIAggCCAIIAggCCAIIAggCCAIIAggCCAIUAgMC0wIeAALhAgICggIEAgUCBgIHAggCCQKpAgsCDAINAggCCAIIAggCCAIIAggCCAIIAggCCAIIAggCCAIIAggCCAIUAgMCvAIeAALhAgICLQIEAgUCBgIHAggCCQIKAgsCDAINAggCCAIIAggCCAIIAggCCAIIAggCCAIIAggCCAIIAggCCAIUAgMCLgIeAALhAgICMwIEAgUCBgIHAggCCQI4AgsCDAINAggCCAIIAggCCAIIAggCCAIIAggCCAIIAggCCAIIAggCCAIUAgMCQQIeAALhAgICGwIEAgUCBgIHAggCCQIKAgsCDAINAggCCAIIAggCCAIIAggCCAIIAggCCAIIAggCCAIIAggCCAIUAgMCHAIeAALhAgICJQIEAgUCBgIHAggCCQKpAgsCDAINAggCCAIIAggCCAIIAggCCAIIAggCCAIIAggCCAIIAggCCAIUAgMCUAIeAALhAgICKQIEAgUCBgIHAggCCQKpAgsCDAINAggCCAIIAggCCAIIAggCCAIIAggCCAIIAggCCAIIAggCCAIUAgMCzgIeAALhAgICXwIEAgUCBgIHAggCCQI4AgsCDAINAggCCAIIAggCCAIIAggCCAIIAggCCAIIAggCCAIIAggCCAIUAgMCzwIeAALhAgICIQIEAgUCBgIHAggCCQI4AgsCDAINAggCCAIIAggCCAIIAggCCAIIAggCCAIIAggCCAIIAggCCAIUAgMCOgIeAALhAgICaQIEAgUCBgIHAggCCQIKAgsCDAINAggCCAIIAggCCAIIAggCCAIIAggCCAIIAggCCAIIAggCCAIUAgMC1AIeAALhAgICUwIEAgUCBgJ6AAAEAAcCCAIJAjgCCwIMAg0CCAIIAggCCAIIAggCCAIIAggCCAIIAggCCAIIAggCCAIIAhQCAwLYAh4AAuECAgIfAgQCBQIGAgcCCAIJAqkCCwIMAg0CCAIIAggCCAIIAggCCAIIAggCCAIIAggCCAIIAggCCAIIAhQCAwLQAh4AAuECAgJ4AgQCBQIGAgcCCAIJAqkCCwIMAg0CCAIIAggCCAIIAggCCAIIAggCCAIIAggCCAIIAggCCAIIAhQCAwLSAh4AAuECAgInAgQCBQIGAgcCCAIJAgoCCwIMAg0CCAIIAggCCAIIAggCCAIIAggCCAIIAggCCAIIAggCCAIIAhQCAwIoAh4AAuECAgIjAgQCBQIGAgcCCAIJAjgCCwIMAg0CCAIIAggCCAIIAggCCAIIAggCCAIIAggCCAIIAggCCAIIAhQCAwI7Ah4AAuECAgKFAgQCBQIGAgcCCAIJAqkCCwIMAg0CCAIIAggCCAIIAggCCAIIAggCCAIIAggCCAIIAggCCAIIAhQCAwKzAh4AAuECAgIxAgQCBQIGAgcCCAIJAjgCCwIMAg0CCAIIAggCCAIIAggCCAIIAggCCAIIAggCCAIIAggCCAIIAhQCAwI5Ah4AAuECAgIbAgQCBQIGAgcCCAIJAjgCCwIMAg0CCAIIAggCCAIIAggCCAIIAggCCAIIAggCCAIIAggCCAIIAhQCAwJGAh4AAuECAgJLAgQCBQIGAgcCCAIJAjgCCwIMAg0CCAIIAggCCAIIAggCCAIIAggCCAIIAggCCAIIAggCCAIIAhQCAwK0Ah4AAuECAgKCAgQCBQIGAgcCCAIJAjgCCwIMAg0CCAIIAggCCAIIAggCCAIIAggCCAIIAggCCAIIAggCCAIIAhQCAwLJAh4AAuECAgIzAgQCBQIGAgcCCAIJAgoCCwIMAg0CCAIIAggCCAIIAggCCAIIAggCCAIIAggCCAIIAggCCAIIAhQCAwI0Ah4AAuECAgJWAgQCBQIGAgcCCAIJAgoCCwIMAg0CCAIIAggCCAIIAggCCAIIAggCCAIIAggCCAIIAggCCAIIAhQCAwK1Ah4AAuECAgJ1AgQCBQIGAgcCCAIJAgoCCwIMAg0CCAIIAggCCAIIAggCCAIIAggCCAIIAggCCAIIAggCCAIIAhQCAwLNAh4AAuECAgIdAgQCBQIGAgcCCAIJAgoCCwIMAg0CCAIIAggCCAIIAggCCAIIAggCCAIIAggCCAIIAggCCAIIAhQCAwIeAh4AAuECAgJPAgQCBQIGAgcCCAIJAjgCCwIMAg0CCAIIAggCCAIIAggCCAIIAggCCAIIAggCCAIIAggCCAIIAhQCAwLdAh4AAuF6AAAEAAICAi8CBAIFAgYCBwIIAgkCCgILAgwCDQIIAggCCAIIAggCCAIIAggCCAIIAggCCAIIAggCCAIIAggCFAIDAjACHgAC4QICAjUCBAIFAgYCBwIIAgkCCgILAgwCDQIIAggCCAIIAggCCAIIAggCCAIIAggCCAIIAggCCAIIAggCFAIDAjYCHgAC4QICAnsCBAIFAgYCBwIIAgkCqQILAgwCDQIIAggCCAIIAggCCAIIAggCCAIIAggCCAIIAggCCAIIAggCFAIDAtECHgAC4gAJNDE3MDE4MjI0AgICAwIEAgUCBgIHAggCCQJMAgsCSQINAggCCAIIAggCCAIIAggCCAIIAggCCAIIAggCCAIIAggCCAIVAgMCmAIeAALiAgICHQIEAgUCBgIHAggCCQI4AgsCSQINAggCCAIIAggCCAIIAggCCAIIAggCCAIIAggCCAIIAggCCAIVAgMCawIeAALiAgICeAIEAgUCBgIHAggCCQIKAgsCSQINAggCCAIIAggCCAIIAggCCAIIAggCCAIIAggCCAIIAggCCAIVAgMCeQIeAALiAgICHwIEAgUCBgIHAggCCQIKAgsCSQINAggCCAIIAggCCAIIAggCCAIIAggCCAIIAggCCAIIAggCCAIVAgMCbwIeAALiAgICHQIEAgUCBgIHAggCCQJMAgsCSQINAggCCAIIAggCCAIIAggCCAIIAggCCAIIAggCCAIIAggCCAIVAgMCUAIeAALiAgICVgIEAgUCBgIHAggCCQJMAgsCSQINAggCCAIIAggCCAIIAggCCAIIAggCCAIIAggCCAIIAggCCAIVAgMCfwIeAALiAgICAwIEAgUCBgIHAggCCQI4AgsCSQINAggCCAIIAggCCAIIAggCCAIIAggCCAIIAggCCAIIAggCCAIVAgMCoQIeAALiAgICUwIEAgUCBgIHAggCCQI4AgsCSQINAggCCAIIAggCCAIIAggCCAIIAggCCAIIAggCCAIIAggCCAIVAgMCpAIeAALiAgICUwIEAgUCBgIHAggCCQJMAgsCSQINAggCCAIIAggCCAIIAggCCAIIAggCCAIIAggCCAIIAggCCAIVAgMCpQIeAALiAgICVgIEAgUCBgIHAggCCQI4AgsCSQINAggCCAIIAggCCAIIAggCCAIIAggCCAIIAggCCAIIAggCCAIVAgMCfgIeAALiAgICJwIEAgUCBgIHAggCCQJMAgsCSQINAggCCAIIAggCCAIIAggCCAIIAggCCAIIAggCCAIIAggCCAIVAgMCjgIeAALiAgICaQIEAgUCBgIHAggCCQJMAgsCSQINAggCCAIIAggCCAIIAggCCAIIAggCCAJ6AAAEAAgCCAIIAggCCAIIAhUCAwJxAh4AAuICAgIxAgQCBQIGAgcCCAIJAgoCCwJJAg0CCAIIAggCCAIIAggCCAIIAggCCAIIAggCCAIIAggCCAIIAhUCAwKTAh4AAuICAgInAgQCBQIGAgcCCAIJAjgCCwJJAg0CCAIIAggCCAIIAggCCAIIAggCCAIIAggCCAIIAggCCAIIAhUCAwJtAh4AAuICAgJpAgQCBQIGAgcCCAIJAjgCCwJJAg0CCAIIAggCCAIIAggCCAIIAggCCAIIAggCCAIIAggCCAIIAhUCAwJqAh4AAuICAgJ7AgQCBQIGAgcCCAIJAkwCCwJJAg0CCAIIAggCCAIIAggCCAIIAggCCAIIAggCCAIIAggCCAIIAhUCAwKMAh4AAuICAgKCAgQCBQIGAgcCCAIJAgoCCwJJAg0CCAIIAggCCAIIAggCCAIIAggCCAIIAggCCAIIAggCCAIIAhUCAwKZAh4AAuICAgJ7AgQCBQIGAgcCCAIJAjgCCwJJAg0CCAIIAggCCAIIAggCCAIIAggCCAIIAggCCAIIAggCCAIIAhUCAwKaAh4AAuICAgJTAgQCBQIGAgcCCAIJAgoCCwJJAg0CCAIIAggCCAIIAggCCAIIAggCCAIIAggCCAIIAggCCAIIAhUCAwJUAh4AAuICAgIDAgQCBQIGAgcCCAIJAgoCCwJJAg0CCAIIAggCCAIIAggCCAIIAggCCAIIAggCCAIIAggCCAIIAhUCAwJbAh4AAuICAgIfAgQCBQIGAgcCCAIJAkwCCwJJAg0CCAIIAggCCAIIAggCCAIIAggCCAIIAggCCAIIAggCCAIIAhUCAwKSAh4AAuICAgIhAgQCBQIGAgcCCAIJAgoCCwJJAg0CCAIIAggCCAIIAggCCAIIAggCCAIIAggCCAIIAggCCAIIAhUCAwJlAh4AAuICAgIlAgQCBQIGAgcCCAIJAkwCCwJJAg0CCAIIAggCCAIIAggCCAIIAggCCAIIAggCCAIIAggCCAIIAhUCAwJQAh4AAuICAgIfAgQCBQIGAgcCCAIJAjgCCwJJAg0CCAIIAggCCAIIAggCCAIIAggCCAIIAggCCAIIAggCCAIIAhUCAwKPAh4AAuICAgItAgQCBQIGAgcCCAIJAjgCCwJJAg0CCAIIAggCCAIIAggCCAIIAggCCAIIAggCCAIIAggCCAIIAhUCAwJKAh4AAuICAgItAgQCBQIGAgcCCAIJAkwCCwJJAg0CCAIIAggCCAIIAggCCAIIAggCCAIIAggCCAIIAggCCAIIAhUCAwJiAh4AAuICAgIjAgQCBQIGAgcCCAIJAgoCCwJJAg0CCAIIAggCCAIIAgh6AAAEAAIIAggCCAIIAggCCAIIAggCCAIIAggCFQIDApQCHgAC4gICAngCBAIFAgYCBwIIAgkCTAILAkkCDQIIAggCCAIIAggCCAIIAggCCAIIAggCCAIIAggCCAIIAggCFQIDApECHgAC4gICAngCBAIFAgYCBwIIAgkCOAILAkkCDQIIAggCCAIIAggCCAIIAggCCAIIAggCCAIIAggCCAIIAggCFQIDAo0CHgAC4gICAisCBAIFAgYCBwIIAgkCOAILAkkCDQIIAggCCAIIAggCCAIIAggCCAIIAggCCAIIAggCCAIIAggCFQIDAlUCHgAC4gICAnsCBAIFAgYCBwIIAgkCCgILAkkCDQIIAggCCAIIAggCCAIIAggCCAIIAggCCAIIAggCCAIIAggCFQIDAnwCHgAC4gICAoUCBAIFAgYCBwIIAgkCCgILAkkCDQIIAggCCAIIAggCCAIIAggCCAIIAggCCAIIAggCCAIIAggCFQIDAoYCHgAC4gICAlkCBAIFAgYCBwIIAgkCOAILAkkCDQIIAggCCAIIAggCCAIIAggCCAIIAggCCAIIAggCCAIIAggCFQIDAloCHgAC4gICAlkCBAIFAgYCBwIIAgkCTAILAkkCDQIIAggCCAIIAggCCAIIAggCCAIIAggCCAIIAggCCAIIAggCFQIDAnICHgAC4gICAisCBAIFAgYCBwIIAgkCTAILAkkCDQIIAggCCAIIAggCCAIIAggCCAIIAggCCAIIAggCCAIIAggCFQIDAnMCHgAC4gICAoUCBAIFAgYCBwIIAgkCOAILAkkCDQIIAggCCAIIAggCCAIIAggCCAIIAggCCAIIAggCCAIIAggCFQIDApsCHgAC4gICAjUCBAIFAgYCBwIIAgkCOAILAkkCDQIIAggCCAIIAggCCAIIAggCCAIIAggCCAIIAggCCAIIAggCFQIDAm4CHgAC4gICAksCBAIFAgYCBwIIAgkCCgILAkkCDQIIAggCCAIIAggCCAIIAggCCAIIAggCCAIIAggCCAIIAggCFQIDApYCHgAC4gICAhsCBAIFAgYCBwIIAgkCCgILAkkCDQIIAggCCAIIAggCCAIIAggCCAIIAggCCAIIAggCCAIIAggCFQIDApcCHgAC4gICAjMCBAIFAgYCBwIIAgkCOAILAkkCDQIIAggCCAIIAggCCAIIAggCCAIIAggCCAIIAggCCAIIAggCFQIDAmgCHgAC4gICAiMCBAIFAgYCBwIIAgkCTAILAkkCDQIIAggCCAIIAggCCAIIAggCCAIIAggCCAIIAggCCAIIAggCFQIDAlACHgAC4gICAikCBAIFAgYCBwIIAgkCCgILAkkCDQJ6AAAEAAgCCAIIAggCCAIIAggCCAIIAggCCAIIAggCCAIIAggCCAIVAgMCdAIeAALiAgICJQIEAgUCBgIHAggCCQIKAgsCSQINAggCCAIIAggCCAIIAggCCAIIAggCCAIIAggCCAIIAggCCAIVAgMCgQIeAALiAgICLwIEAgUCBgIHAggCCQJMAgsCSQINAggCCAIIAggCCAIIAggCCAIIAggCCAIIAggCCAIIAggCCAIVAgMCdwIeAALiAgICNQIEAgUCBgIHAggCCQJMAgsCSQINAggCCAIIAggCCAIIAggCCAIIAggCCAIIAggCCAIIAggCCAIVAgMCbAIeAALiAgICdQIEAgUCBgIHAggCCQI4AgsCSQINAggCCAIIAggCCAIIAggCCAIIAggCCAIIAggCCAIIAggCCAIVAgMCdgIeAALiAgICdQIEAgUCBgIHAggCCQJMAgsCSQINAggCCAIIAggCCAIIAggCCAIIAggCCAIIAggCCAIIAggCCAIVAgMCgAIeAALiAgICJQIEAgUCBgIHAggCCQI4AgsCSQINAggCCAIIAggCCAIIAggCCAIIAggCCAIIAggCCAIIAggCCAIVAgMCYwIeAALiAgICKQIEAgUCBgIHAggCCQI4AgsCSQINAggCCAIIAggCCAIIAggCCAIIAggCCAIIAggCCAIIAggCCAIVAgMCXgIeAALiAgICLwIEAgUCBgIHAggCCQI4AgsCSQINAggCCAIIAggCCAIIAggCCAIIAggCCAIIAggCCAIIAggCCAIVAgMCegIeAALiAgICWQIEAgUCBgIHAggCCQIKAgsCSQINAggCCAIIAggCCAIIAggCCAIIAggCCAIIAggCCAIIAggCCAIVAgMCYQIeAALiAgICLQIEAgUCBgIHAggCCQIKAgsCSQINAggCCAIIAggCCAIIAggCCAIIAggCCAIIAggCCAIIAggCCAIVAgMCcAIeAALiAgICKwIEAgUCBgIHAggCCQIKAgsCSQINAggCCAIIAggCCAIIAggCCAIIAggCCAIIAggCCAIIAggCCAIVAgMCXAIeAALiAgICMwIEAgUCBgIHAggCCQJMAgsCSQINAggCCAIIAggCCAIIAggCCAIIAggCCAIIAggCCAIIAggCCAIVAgMCUAIeAALiAgICKQIEAgUCBgIHAggCCQJMAgsCSQINAggCCAIIAggCCAIIAggCCAIIAggCCAIIAggCCAIIAggCCAIVAgMCXQIeAALiAgIChQIEAgUCBgIHAggCCQJMAgsCSQINAggCCAIIAggCCAIIAggCCAIIAggCCAIIAggCCAIIAggCCAIVAgMCnAIeAALiAgICXwIEAgUCBgIHAgh6AAAEAAIJAgoCCwJJAg0CCAIIAggCCAIIAggCCAIIAggCCAIIAggCCAIIAggCCAIIAhUCAwJgAh4AAuICAgJPAgQCBQIGAgcCCAIJAgoCCwJJAg0CCAIIAggCCAIIAggCCAIIAggCCAIIAggCCAIIAggCCAIIAhUCAwKVAh4AAuICAgIbAgQCBQIGAgcCCAIJAjgCCwJJAg0CCAIIAggCCAIIAggCCAIIAggCCAIIAggCCAIIAggCCAIIAhUCAwJSAh4AAuICAgIxAgQCBQIGAgcCCAIJAjgCCwJJAg0CCAIIAggCCAIIAggCCAIIAggCCAIIAggCCAIIAggCCAIIAhUCAwKEAh4AAuICAgJPAgQCBQIGAgcCCAIJAjgCCwJJAg0CCAIIAggCCAIIAggCCAIIAggCCAIIAggCCAIIAggCCAIIAhUCAwJYAh4AAuICAgJPAgQCBQIGAgcCCAIJAkwCCwJJAg0CCAIIAggCCAIIAggCCAIIAggCCAIIAggCCAIIAggCCAIIAhUCAwJQAh4AAuICAgJ1AgQCBQIGAgcCCAIJAgoCCwJJAg0CCAIIAggCCAIIAggCCAIIAggCCAIIAggCCAIIAggCCAIIAhUCAwKQAh4AAuICAgJWAgQCBQIGAgcCCAIJAgoCCwJJAg0CCAIIAggCCAIIAggCCAIIAggCCAIIAggCCAIIAggCCAIIAhUCAwJXAh4AAuICAgIbAgQCBQIGAgcCCAIJAkwCCwJJAg0CCAIIAggCCAIIAggCCAIIAggCCAIIAggCCAIIAggCCAIIAhUCAwJOAh4AAuICAgJLAgQCBQIGAgcCCAIJAjgCCwJJAg0CCAIIAggCCAIIAggCCAIIAggCCAIIAggCCAIIAggCCAIIAhUCAwJkAh4AAuICAgJLAgQCBQIGAgcCCAIJAkwCCwJJAg0CCAIIAggCCAIIAggCCAIIAggCCAIIAggCCAIIAggCCAIIAhUCAwJNAh4AAuICAgInAgQCBQIGAgcCCAIJAgoCCwJJAg0CCAIIAggCCAIIAggCCAIIAggCCAIIAggCCAIIAggCCAIIAhUCAwKjAh4AAuICAgJpAgQCBQIGAgcCCAIJAgoCCwJJAg0CCAIIAggCCAIIAggCCAIIAggCCAIIAggCCAIIAggCCAIIAhUCAwKiAh4AAuICAgIhAgQCBQIGAgcCCAIJAjgCCwJJAg0CCAIIAggCCAIIAggCCAIIAggCCAIIAggCCAIIAggCCAIIAhUCAwKgAh4AAuICAgIjAgQCBQIGAgcCCAIJAjgCCwJJAg0CCAIIAggCCAIIAggCCAIIAggCCAIIAggCCAIIAggCCAIIAhUCAwKfAh4AAuICAgJ6AAAEAB0CBAIFAgYCBwIIAgkCCgILAkkCDQIIAggCCAIIAggCCAIIAggCCAIIAggCCAIIAggCCAIIAggCFQIDAlECHgAC4gICAi8CBAIFAgYCBwIIAgkCCgILAkkCDQIIAggCCAIIAggCCAIIAggCCAIIAggCCAIIAggCCAIIAggCFQIDAokCHgAC4gICAjUCBAIFAgYCBwIIAgkCCgILAkkCDQIIAggCCAIIAggCCAIIAggCCAIIAggCCAIIAggCCAIIAggCFQIDAooCHgAC4gICAjMCBAIFAgYCBwIIAgkCCgILAkkCDQIIAggCCAIIAggCCAIIAggCCAIIAggCCAIIAggCCAIIAggCFQIDAosCHgAC4gICAoICBAIFAgYCBwIIAgkCOAILAkkCDQIIAggCCAIIAggCCAIIAggCCAIIAggCCAIIAggCCAIIAggCFQIDAoMCHgAC4gICAjECBAIFAgYCBwIIAgkCTAILAkkCDQIIAggCCAIIAggCCAIIAggCCAIIAggCCAIIAggCCAIIAggCFQIDAocCHgAC4gICAoICBAIFAgYCBwIIAgkCTAILAkkCDQIIAggCCAIIAggCCAIIAggCCAIIAggCCAIIAggCCAIIAggCFQIDAogCHgAC4gICAl8CBAIFAgYCBwIIAgkCTAILAkkCDQIIAggCCAIIAggCCAIIAggCCAIIAggCCAIIAggCCAIIAggCFQIDAp0CHgAC4gICAiECBAIFAgYCBwIIAgkCTAILAkkCDQIIAggCCAIIAggCCAIIAggCCAIIAggCCAIIAggCCAIIAggCFQIDAlACHgAC4gICAl8CBAIFAgYCBwIIAgkCOAILAkkCDQIIAggCCAIIAggCCAIIAggCCAIIAggCCAIIAggCCAIIAggCFQIDAp4CHgAC4wAJNDMxNzAwNzM2AgICIQIEAgUCBgIHAggCCQI4AgsCSQINAggCCAIIAggCCAIIAggCCAIIAggCCAIIAggCCAIIAggCCAIDAgMCoAIeAALjAgICHwIEAgUCBgIHAggCCQI4AgsCSQINAggCCAIIAggCCAIIAggCCAIIAggCCAIIAggCCAIIAggCCAIDAgMCjwIeAALjAgICLwIEAgUCBgIHAggCCQI4AgsCSQINAggCCAIIAggCCAIIAggCCAIIAggCCAIIAggCCAIIAggCCAIDAgMCegIeAALjAgICKQIEAgUCBgIHAggCCQI4AgsCSQINAggCCAIIAggCCAIIAggCCAIIAggCCAIIAggCCAIIAggCCAIDAgMCXgIeAALjAgICKwIEAgUCBgIHAggCCQI4AgsCSQINAggCCAIIAggCCAIIAggCCAIIAggCCAIIAgh6AAAEAAIIAggCCAIIAgMCAwJVAh4AAuMCAgIlAgQCBQIGAgcCCAIJAjgCCwJJAg0CCAIIAggCCAIIAggCCAIIAggCCAIIAggCCAIIAggCCAIIAgMCAwJjAh4AAuMCAgIjAgQCBQIGAgcCCAIJAjgCCwJJAg0CCAIIAggCCAIIAggCCAIIAggCCAIIAggCCAIIAggCCAIIAgMCAwKfAh4AAuMCAgItAgQCBQIGAgcCCAIJAjgCCwJJAg0CCAIIAggCCAIIAggCCAIIAggCCAIIAggCCAIIAggCCAIIAgMCAwJKAh4AAuMCAgInAgQCBQIGAgcCCAIJAjgCCwJJAg0CCAIIAggCCAIIAggCCAIIAggCCAIIAggCCAIIAggCCAIIAgMCAwJtAh4AAuMCAgI1AgQCBQIGAgcCCAIJAjgCCwJJAg0CCAIIAggCCAIIAggCCAIIAggCCAIIAggCCAIIAggCCAIIAgMCAwJuAh4AAuMCAgIxAgQCBQIGAgcCCAIJAjgCCwJJAg0CCAIIAggCCAIIAggCCAIIAggCCAIIAggCCAIIAggCCAIIAgMCAwKEAh4AAuMCAgIdAgQCBQIGAgcCCAIJAjgCCwJJAg0CCAIIAggCCAIIAggCCAIIAggCCAIIAggCCAIIAggCCAIIAgMCAwJrAh4AAuMCAgIbAgQCBQIGAgcCCAIJAjgCCwJJAg0CCAIIAggCCAIIAggCCAIIAggCCAIIAggCCAIIAggCCAIIAgMCAwJSAh4AAuMCAgIDAgQCBQIGAgcCCAIJAjgCCwJJAg0CCAIIAggCCAIIAggCCAIIAggCCAIIAggCCAIIAggCCAIIAgMCAwKhAh4AAuMCAgIzAgQCBQIGAgcCCAIJAjgCCwJJAg0CCAIIAggCCAIIAggCCAIIAggCCAIIAggCCAIIAggCCAIIAgMCAwJoAh4AAuQACTQxNzAxOTM4NAICAlYCBAIFAgYCBwIIAgkCOAILAgwCDQIIAggCCAIIAggCCAIIAggCCAIIAggCCAIIAggCCAIIAggCFgIDAr4CHgAC5AICAngCBAIFAgYCBwIIAgkCCgILAgwCDQIIAggCCAIIAggCCAIIAggCCAIIAggCCAIIAggCCAIIAggCFgIDAsECHgAC5AICAicCBAIFAgYCBwIIAgkCOAILAgwCDQIIAggCCAIIAggCCAIIAggCCAIIAggCCAIIAggCCAIIAggCFgIDAj4CHgAC5AICAh0CBAIFAgYCBwIIAgkCOAILAgwCDQIIAggCCAIIAggCCAIIAggCCAIIAggCCAIIAggCCAIIAggCFgIDAkICHgAC5AICAgMCBAIFAgYCBwIIAgkCOAILAgwCDQIIAgh6AAAEAAIIAggCCAIIAggCCAIIAggCCAIIAggCCAIIAggCCAIWAgMCRAIeAALkAgICHwIEAgUCBgIHAggCCQIKAgsCDAINAggCCAIIAggCCAIIAggCCAIIAggCCAIIAggCCAIIAggCCAIWAgMCIAIeAALkAgICaQIEAgUCBgIHAggCCQI4AgsCDAINAggCCAIIAggCCAIIAggCCAIIAggCCAIIAggCCAIIAggCCAIWAgMCxwIeAALkAgICWQIEAgUCBgIHAggCCQKpAgsCDAINAggCCAIIAggCCAIIAggCCAIIAggCCAIIAggCCAIIAggCCAIWAgMC1wIeAALkAgICKwIEAgUCBgIHAggCCQKpAgsCDAINAggCCAIIAggCCAIIAggCCAIIAggCCAIIAggCCAIIAggCCAIWAgMCxQIeAALkAgICJQIEAgUCBgIHAggCCQKpAgsCDAINAggCCAIIAggCCAIIAggCCAIIAggCCAIIAggCCAIIAggCCAIWAgMCUAIeAALkAgICKQIEAgUCBgIHAggCCQKpAgsCDAINAggCCAIIAggCCAIIAggCCAIIAggCCAIIAggCCAIIAggCCAIWAgMCzgIeAALkAgICXwIEAgUCBgIHAggCCQKpAgsCDAINAggCCAIIAggCCAIIAggCCAIIAggCCAIIAggCCAIIAggCCAIWAgMCwgIeAALkAgICXwIEAgUCBgIHAggCCQI4AgsCDAINAggCCAIIAggCCAIIAggCCAIIAggCCAIIAggCCAIIAggCCAIWAgMCzwIeAALkAgICaQIEAgUCBgIHAggCCQIKAgsCDAINAggCCAIIAggCCAIIAggCCAIIAggCCAIIAggCCAIIAggCCAIWAgMC1AIeAALkAgICKwIEAgUCBgIHAggCCQI4AgsCDAINAggCCAIIAggCCAIIAggCCAIIAggCCAIIAggCCAIIAggCCAIWAgMCPwIeAALkAgICewIEAgUCBgIHAggCCQIKAgsCDAINAggCCAIIAggCCAIIAggCCAIIAggCCAIIAggCCAIIAggCCAIWAgMCugIeAALkAgICIQIEAgUCBgIHAggCCQI4AgsCDAINAggCCAIIAggCCAIIAggCCAIIAggCCAIIAggCCAIIAggCCAIWAgMCOgIeAALkAgICUwIEAgUCBgIHAggCCQI4AgsCDAINAggCCAIIAggCCAIIAggCCAIIAggCCAIIAggCCAIIAggCCAIWAgMC2AIeAALkAgICJwIEAgUCBgIHAggCCQIKAgsCDAINAggCCAIIAggCCAIIAggCCAIIAggCCAIIAggCCAIIAggCCAIWAgMCKAIeAALkAgICLQIEAgUCBgIHAggCCQJ6AAAEAKkCCwIMAg0CCAIIAggCCAIIAggCCAIIAggCCAIIAggCCAIIAggCCAIIAhYCAwLWAh4AAuQCAgIbAgQCBQIGAgcCCAIJAqkCCwIMAg0CCAIIAggCCAIIAggCCAIIAggCCAIIAggCCAIIAggCCAIIAhYCAwK/Ah4AAuQCAgJLAgQCBQIGAgcCCAIJAqkCCwIMAg0CCAIIAggCCAIIAggCCAIIAggCCAIIAggCCAIIAggCCAIIAhYCAwLAAh4AAuQCAgKFAgQCBQIGAgcCCAIJAqkCCwIMAg0CCAIIAggCCAIIAggCCAIIAggCCAIIAggCCAIIAggCCAIIAhYCAwKzAh4AAuQCAgKCAgQCBQIGAgcCCAIJAjgCCwIMAg0CCAIIAggCCAIIAggCCAIIAggCCAIIAggCCAIIAggCCAIIAhYCAwLJAh4AAuQCAgIbAgQCBQIGAgcCCAIJAjgCCwIMAg0CCAIIAggCCAIIAggCCAIIAggCCAIIAggCCAIIAggCCAIIAhYCAwJGAh4AAuQCAgJLAgQCBQIGAgcCCAIJAjgCCwIMAg0CCAIIAggCCAIIAggCCAIIAggCCAIIAggCCAIIAggCCAIIAhYCAwK0Ah4AAuQCAgIxAgQCBQIGAgcCCAIJAjgCCwIMAg0CCAIIAggCCAIIAggCCAIIAggCCAIIAggCCAIIAggCCAIIAhYCAwI5Ah4AAuQCAgJWAgQCBQIGAgcCCAIJAgoCCwIMAg0CCAIIAggCCAIIAggCCAIIAggCCAIIAggCCAIIAggCCAIIAhYCAwK1Ah4AAuQCAgIzAgQCBQIGAgcCCAIJAgoCCwIMAg0CCAIIAggCCAIIAggCCAIIAggCCAIIAggCCAIIAggCCAIIAhYCAwI0Ah4AAuQCAgI1AgQCBQIGAgcCCAIJAgoCCwIMAg0CCAIIAggCCAIIAggCCAIIAggCCAIIAggCCAIIAggCCAIIAhYCAwI2Ah4AAuQCAgIvAgQCBQIGAgcCCAIJAgoCCwIMAg0CCAIIAggCCAIIAggCCAIIAggCCAIIAggCCAIIAggCCAIIAhYCAwIwAh4AAuQCAgIdAgQCBQIGAgcCCAIJAgoCCwIMAg0CCAIIAggCCAIIAggCCAIIAggCCAIIAggCCAIIAggCCAIIAhYCAwIeAh4AAuQCAgIhAgQCBQIGAgcCCAIJAqkCCwIMAg0CCAIIAggCCAIIAggCCAIIAggCCAIIAggCCAIIAggCCAIIAhYCAwJQAh4AAuQCAgJZAgQCBQIGAgcCCAIJAgoCCwIMAg0CCAIIAggCCAIIAggCCAIIAggCCAIIAggCCAIIAggCCAIIAhYCAwKvAh4AAuQCAgIrAgR6AAAEAAIFAgYCBwIIAgkCCgILAgwCDQIIAggCCAIIAggCCAIIAggCCAIIAggCCAIIAggCCAIIAggCFgIDAiwCHgAC5AICAnsCBAIFAgYCBwIIAgkCqQILAgwCDQIIAggCCAIIAggCCAIIAggCCAIIAggCCAIIAggCCAIIAggCFgIDAtECHgAC5AICAiMCBAIFAgYCBwIIAgkCqQILAgwCDQIIAggCCAIIAggCCAIIAggCCAIIAggCCAIIAggCCAIIAggCFgIDAlACHgAC5AICAnUCBAIFAgYCBwIIAgkCCgILAgwCDQIIAggCCAIIAggCCAIIAggCCAIIAggCCAIIAggCCAIIAggCFgIDAs0CHgAC5AICAlMCBAIFAgYCBwIIAgkCqQILAgwCDQIIAggCCAIIAggCCAIIAggCCAIIAggCCAIIAggCCAIIAggCFgIDAsQCHgAC5AICAgMCBAIFAgYCBwIIAgkCqQILAgwCDQIIAggCCAIIAggCCAIIAggCCAIIAggCCAIIAggCCAIIAggCFgIDAswCHgAC5AICAjUCBAIFAgYCBwIIAgkCOAILAgwCDQIIAggCCAIIAggCCAIIAggCCAIIAggCCAIIAggCCAIIAggCFgIDAkUCHgAC5AICAjMCBAIFAgYCBwIIAgkCOAILAgwCDQIIAggCCAIIAggCCAIIAggCCAIIAggCCAIIAggCCAIIAggCFgIDAkECHgAC5AICAoUCBAIFAgYCBwIIAgkCOAILAgwCDQIIAggCCAIIAggCCAIIAggCCAIIAggCCAIIAggCCAIIAggCFgIDAtMCHgAC5AICAksCBAIFAgYCBwIIAgkCCgILAgwCDQIIAggCCAIIAggCCAIIAggCCAIIAggCCAIIAggCCAIIAggCFgIDAtUCHgAC5AICAi0CBAIFAgYCBwIIAgkCCgILAgwCDQIIAggCCAIIAggCCAIIAggCCAIIAggCCAIIAggCCAIIAggCFgIDAi4CHgAC5AICAoICBAIFAgYCBwIIAgkCqQILAgwCDQIIAggCCAIIAggCCAIIAggCCAIIAggCCAIIAggCCAIIAggCFgIDArwCHgAC5AICAjECBAIFAgYCBwIIAgkCqQILAgwCDQIIAggCCAIIAggCCAIIAggCCAIIAggCCAIIAggCCAIIAggCFgIDAr0CHgAC5AICAhsCBAIFAgYCBwIIAgkCCgILAgwCDQIIAggCCAIIAggCCAIIAggCCAIIAggCCAIIAggCCAIIAggCFgIDAhwCHgAC5AICAi8CBAIFAgYCBwIIAgkCOAILAgwCDQIIAggCCAIIAggCCAIIAggCCAIIAggCCAIIAggCCAIIAggCFgIDAkN6AAAEAAIeAALkAgICIwIEAgUCBgIHAggCCQI4AgsCDAINAggCCAIIAggCCAIIAggCCAIIAggCCAIIAggCCAIIAggCCAIWAgMCOwIeAALkAgICdQIEAgUCBgIHAggCCQI4AgsCDAINAggCCAIIAggCCAIIAggCCAIIAggCCAIIAggCCAIIAggCCAIWAgMCtwIeAALkAgICHwIEAgUCBgIHAggCCQKpAgsCDAINAggCCAIIAggCCAIIAggCCAIIAggCCAIIAggCCAIIAggCCAIWAgMC0AIeAALkAgICKQIEAgUCBgIHAggCCQIKAgsCDAINAggCCAIIAggCCAIIAggCCAIIAggCCAIIAggCCAIIAggCCAIWAgMCKgIeAALkAgICeAIEAgUCBgIHAggCCQKpAgsCDAINAggCCAIIAggCCAIIAggCCAIIAggCCAIIAggCCAIIAggCCAIWAgMC0gIeAALkAgICJQIEAgUCBgIHAggCCQIKAgsCDAINAggCCAIIAggCCAIIAggCCAIIAggCCAIIAggCCAIIAggCCAIWAgMCJgIeAALkAgICVgIEAgUCBgIHAggCCQKpAgsCDAINAggCCAIIAggCCAIIAggCCAIIAggCCAIIAggCCAIIAggCCAIWAgMCygIeAALkAgICHQIEAgUCBgIHAggCCQKpAgsCDAINAggCCAIIAggCCAIIAggCCAIIAggCCAIIAggCCAIIAggCCAIWAgMCUAIeAALkAgICNQIEAgUCBgIHAggCCQKpAgsCDAINAggCCAIIAggCCAIIAggCCAIIAggCCAIIAggCCAIIAggCCAIWAgMCsgIeAALkAgICAwIEAgUCBgIHAggCCQIKAgsCDAINAggCCAIIAggCCAIIAggCCAIIAggCCAIIAggCCAIIAggCCAIWAgMCDgIeAALkAgIChQIEAgUCBgIHAggCCQIKAgsCDAINAggCCAIIAggCCAIIAggCCAIIAggCCAIIAggCCAIIAggCCAIWAgMCuwIeAALkAgICMwIEAgUCBgIHAggCCQKpAgsCDAINAggCCAIIAggCCAIIAggCCAIIAggCCAIIAggCCAIIAggCCAIWAgMCUAIeAALkAgICUwIEAgUCBgIHAggCCQIKAgsCDAINAggCCAIIAggCCAIIAggCCAIIAggCCAIIAggCCAIIAggCCAIWAgMCtgIeAALkAgICLQIEAgUCBgIHAggCCQI4AgsCDAINAggCCAIIAggCCAIIAggCCAIIAggCCAIIAggCCAIIAggCCAIWAgMCQAIeAALkAgICJwIEAgUCBgIHAggCCQKpAgsCDAINAggCCAIIAggCCAIIAggCCAIIAggCCAIIAggCCAJ6AAAD0QgCCAIIAhYCAwK5Ah4AAuQCAgJpAgQCBQIGAgcCCAIJAqkCCwIMAg0CCAIIAggCCAIIAggCCAIIAggCCAIIAggCCAIIAggCCAIIAhYCAwLLAh4AAuQCAgJZAgQCBQIGAgcCCAIJAjgCCwIMAg0CCAIIAggCCAIIAggCCAIIAggCCAIIAggCCAIIAggCCAIIAhYCAwK4Ah4AAuQCAgIvAgQCBQIGAgcCCAIJAqkCCwIMAg0CCAIIAggCCAIIAggCCAIIAggCCAIIAggCCAIIAggCCAIIAhYCAwKuAh4AAuQCAgJ1AgQCBQIGAgcCCAIJAqkCCwIMAg0CCAIIAggCCAIIAggCCAIIAggCCAIIAggCCAIIAggCCAIIAhYCAwKwAh4AAuQCAgIlAgQCBQIGAgcCCAIJAjgCCwIMAg0CCAIIAggCCAIIAggCCAIIAggCCAIIAggCCAIIAggCCAIIAhYCAwI8Ah4AAuQCAgJ4AgQCBQIGAgcCCAIJAjgCCwIMAg0CCAIIAggCCAIIAggCCAIIAggCCAIIAggCCAIIAggCCAIIAhYCAwLDAh4AAuQCAgJ7AgQCBQIGAgcCCAIJAjgCCwIMAg0CCAIIAggCCAIIAggCCAIIAggCCAIIAggCCAIIAggCCAIIAhYCAwLGAh4AAuQCAgIfAgQCBQIGAgcCCAIJAjgCCwIMAg0CCAIIAggCCAIIAggCCAIIAggCCAIIAggCCAIIAggCCAIIAhYCAwJHAh4AAuQCAgIpAgQCBQIGAgcCCAIJAjgCCwIMAg0CCAIIAggCCAIIAggCCAIIAggCCAIIAggCCAIIAggCCAIIAhYCAwI9Ah4AAuQCAgJfAgQCBQIGAgcCCAIJAgoCCwIMAg0CCAIIAggCCAIIAggCCAIIAggCCAIIAggCCAIIAggCCAIIAhYCAwKxAh4AAuQCAgIxAgQCBQIGAgcCCAIJAgoCCwIMAg0CCAIIAggCCAIIAggCCAIIAggCCAIIAggCCAIIAggCCAIIAhYCAwIyAh4AAuQCAgKCAgQCBQIGAgcCCAIJAgoCCwIMAg0CCAIIAggCCAIIAggCCAIIAggCCAIIAggCCAIIAggCCAIIAhYCAwLIAh4AAuQCAgIhAgQCBQIGAgcCCAIJAgoCCwIMAg0CCAIIAggCCAIIAggCCAIIAggCCAIIAggCCAIIAggCCAIIAhYCAwIiAh4AAuQCAgIjAgQCBQIGAgcCCAIJAgoCCwIMAg0CCAIIAggCCAIIAggCCAIIAggCCAIIAggCCAIIAggCCAIIAhYCAwIk]]></xxe4awand>
</file>

<file path=customXml/item12.xml><?xml version="1.0" encoding="utf-8"?>
<xxe4awand xmlns="http://www.excel4apps.com"><![CDATA[rO0ABXfZCMCtii8CJAJUAh4AAERjb20uZXhjZWw0YXBwcy53YW5kLm9yYWNsZS5n
bHdhbmQuY2FsY3VsYXRpb25zLmdldGJhbGFuY2UuR2V0QmFsYW5jZQIBAAkxNjIz
OTUyMDACAgABMAIDAAYyMDE2MDQCBAADWVREAgUAA1VTRAIGAAVUb3RhbAIHAAFB
AggAAAIJAAMwMDECCgAGMTkxMDAwAgsAAkdEAgwAAldBAg0AAkRMAggCCAIIAggC
CAIIAggCCAIIAggCCAIIAggCCAIIAggCCAISAgMCDnNyAg8AFGphdmEubWF0aC5C
aWdEZWNpbWFsVMcVV/mBKE8DAAJJAhAABXNjYWxlTAIRAAZpbnRWYWx0ABZMamF2
YS9tYXRoL0JpZ0ludGVnZXI7eHICEgAQamF2YS5sYW5nLk51bWJlcoaslR0LlOCL
AgAAeHAAAAACc3ICEwAUamF2YS5tYXRoLkJpZ0ludGVnZXKM/J8fqTv7HQMABkkC
FAAIYml0Q291bnRJAhUACWJpdExlbmd0aEkCFgATZmlyc3ROb256ZXJvQnl0ZU51
bUkCFwAMbG93ZXN0U2V0Qml0SQIYAAZzaWdudW1bAhkACW1hZ25pdHVkZXQAAltC
eHEAfgAC///////////////+/////v////91cgIaAAJbQqzzF/gGCFTgAgAAeHAA
AAAEBOQwD3h4d00CHgACAQICAhsABjIwMTcwNQIEAgUCBgIHAggCCQIKAgsCDAIN
AggCCAIIAggCCAIIAggCCAIIAggCCAIIAggCCAIIAggCCAISAgMCHHNxAH4AAAAA
AAJzcQB+AAT///////////////7////+/////3VxAH4ABwAAAAQGIRiFeHh3VQIeAAIBAgICHQAGMjAxNjA5AgQCBQIGAgcCCAIJAh4ABjE5MTAyNQILAgwCDQIIAggCCAIIAggCCAIIAggCCAIIAggCCAIIAggCCAIIAggCEgIDAh9zcQB+AAAAAAACc3EAfgAE///////////////+/////v////91cQB+AAcAAAADB43UeHh3VQIeAAIBAgICIAAGMjAxODA0AgQCBQIGAgcCCAIJAiEABjE5MTAxMAILAgwCDQIIAggCCAIIAggCCAIIAggCCAIIAggCCAIIAggCCAIIAggCEgIDAiJzcQB+AAAAAAACc3EAfgAE///////////////+/////v////91cQB+AAcAAAAEWqnIX3h4d00CHgACAQICAiMABjIwMTYwMgIEAgUCBgIHAggCCQIhAgsCDAINAggCCAIIAggCCAIIAggCCAIIAggCCAIIAggCCAIIAggCCAISAgMCJHNxAH4AAAAAAAJzcQB+AAT///////////////7////+/////3VxAH4ABwAAAAQ3OPVPeHh3TQIeAAIBAgICJQAGMjAxNzAxAgQCBQIGAgcCCAIJAh4CCwIMAg0CCAIIAggCCAIIAggCCAIIAggCCAIIAggCCAIIAggCCAIIAhICAwImc3EAfgAAAAAAAnNxAH4ABP///////////////v////7/////dXEAfgAHAAAAAwVk/3h4d00CHgACAQICAicABjIwMTYwMwIEAgUCBgIHAggCCQIhAgsCDAINAggCCAIIAggCCAIIAggCCAIIAggCCAIIAggCCAIIAggCCAISAgMCKHNxAH4AAAAAAAJzcQB+AAT///////////////7////+/////3VxAH4ABwAAAAQ9+1bieHh3TQIeAAIBAgICKQAGMjAxNzExAgQCBQIGAgcCCAIJAgoCCwIMAg0CCAIIAggCCAIIAggCCAIIAggCCAIIAggCCAIIAggCCAIIAhICAwIqc3EAfgAAAAAAAnNxAH4ABP///////////////v////7/////dXEAfgAHAAAABES6V7x4eHdNAh4AAgECAgIrAAYyMDE3MDQCBAIFAgYCBwIIAgkCIQILAgwCDQIIAggCCAIIAggCCAIIAggCCAIIAggCCAIIAggCCAIIAggCEgIDAixzcQB+AAAAAAACc3EAfgAE///////////////+/////v////91cQB+AAcAAAAEWnDZd3h4d00CHgACAQICAi0ABjIwMTgwMQIEAgUCBgIHAggCCQIeAgsCDAINAggCCAIIAggCCAIIAggCCAIIAggCCAIIAggCCAIIAggCCAISAgMCLnNxAH4AAAAAAAJzcQB+AAT///////////////7////+AAAAAHVxAH4ABwAAAAB4eHdFAh4AAgECAgInAgQCBQIGAgcCCAIJAgoCCwIMAg0CCAIIAggCCAIIAggCCAIIAggCCAIIAggCCAIIAggCCAIIAhICAwIvc3EAfgAAAAAAAnNxAH4ABP///////////////v////7/////dXEAfgAHAAAABAXojm54eHdNAh4AAgECAgIwAAYyMDE2MDUCBAIFAgYCBwIIAgkCCgILAgwCDQIIAggCCAIIAggCCAIIAggCCAIIAggCCAIIAggCCAIIAggCEgIDAjFzcQB+AAAAAAACc3EAfgAE///////////////+/////v////91cQB+AAcAAAAEBDaJ43h4d00CHgACAQICAjIABjIwMTYxMAIEAgUCBgIHAggCCQIKAgsCDAINAggCCAIIAggCCAIIAggCCAIIAggCCAIIAggCCAIIAggCCAISAgMCM3NxAH4AAAAAAAJzcQB+AAT///////////////7////+/////3VxAH4ABwAAAAO8XLJ4eHdNAh4AAgECAgI0AAYyMDE4MDMCBAIFAgYCBwIIAgkCIQILAgwCDQIIAggCCAIIAggCCAIIAggCCAIIAggCCAIIAggCCAIIAggCEgIDAjVzcQB+AAAAAAACc3EAfgAE///////////////+/////v////91cQB+AAcAAAAEUn6jGnh4d00CHgACAQICAjYABjIwMTcwMgIEAgUCBgIHAggCCQIhAgsCDAINAggCCAIIAggCCAIIAggCCAIIAggCCAIIAggCCAIIAggCCAISAgMCN3NxAH4AAAAAAAJzcQB+AAT///////////////7////+/////3VxAH4ABwAAAARJi1PJeHh3igIeAAIBAgICNAIEAgUCBgIHAggCCQIeAgsCDAINAggCCAIIAggCCAIIAggCCAIIAggCCAIIAggCCAIIAggCCAISAgMCLgIeAAIBAgICNgIEAgUCBgIHAggCCQIeAgsCDAINAggCCAIIAggCCAIIAggCCAIIAggCCAIIAggCCAIIAggCCAISAgMCOHNxAH4AAAAAAAJzcQB+AAT///////////////7////+/////3VxAH4ABwAAAAME+2h4eHdFAh4AAgECAgIyAgQCBQIGAgcCCAIJAiECCwIMAg0CCAIIAggCCAIIAggCCAIIAggCCAIIAggCCAIIAggCCAIIAhICAwI5c3EAfgAAAAAAAnNxAH4ABP///////////////v////7/////dXEAfgAHAAAABGKNyxZ4eHdFAh4AAgECAgIrAgQCBQIGAgcCCAIJAgoCCwIMAg0CCAIIAggCCAIIAggCCAIIAggCCAIIAggCCAIIAggCCAIIAhICAwI6c3EAfgAAAAAAAnNxAH4ABP///////////////v////7/////dXEAfgAHAAAABAnwakZ4eHdNAh4AAgECAgI7AAYyMDE4MDUCBAIFAgYCBwIIAgkCCgILAgwCDQIIAggCCAIIAggCCAIIAggCCAIIAggCCAIIAggCCAIIAggCEgIDAjxzcQB+AAAAAAACc3EAfgAE///////////////+/////v////91cQB+AAcAAAAEBEpBlXh4d00CHgACAQICAj0ABjIwMTYwOAIEAgUCBgIHAggCCQIeAgsCDAINAggCCAIIAggCCAIIAggCCAIIAggCCAIIAggCCAIIAggCCAISAgMCPnNxAH4AAAAAAAJzcQB+AAT///////////////7////+/////3VxAH4ABwAAAAMItpx4eHdNAh4AAgECAgI/AAYyMDE3MDkCBAIFAgYCBwIIAgkCHgILAgwCDQIIAggCCAIIAggCCAIIAggCCAIIAggCCAIIAggCCAIIAggCEgIDAkBzcQB+AAAAAAACc3EAfgAE///////////////+/////v////91cQB+AAcAAAADBA6ueHh3TQIeAAIBAgICQQAGMjAxNzEyAgQCBQIGAgcCCAIJAgoCCwIMAg0CCAIIAggCCAIIAggCCAIIAggCCAIIAggCCAIIAggCCAIIAhICAwJCc3EAfgAAAAAAAnNxAH4ABP///////////////v////7/////dXEAfgAHAAAABDRJviN4eHeaAh4AAgECAgJDAAYyMDE4MDICBAIFAgYCBwIIAgkCHgILAgwCDQIIAggCCAIIAggCCAIIAggCCAIIAggCCAIIAggCCAIIAggCEgIDAi4CHgACAQICAkQABjIwMTcwMwIEAgUCBgIHAggCCQIhAgsCDAINAggCCAIIAggCCAIIAggCCAIIAggCCAIIAggCCAIIAggCCAISAgMCRXNxAH4AAAAAAAJzcQB+AAT///////////////7////+/////3VxAH4ABwAAAARTY5smeHh3TQIeAAIBAgICRgAGMjAxNjExAgQCBQIGAgcCCAIJAgoCCwIMAg0CCAIIAggCCAIIAggCCAIIAggCCAIIAggCCAIIAggCCAIIAhICAwJHc3EAfgAAAAAAAnNxAH4ABP///////////////v////7/////dXEAfgAHAAAABExDDhV4eHdNAh4AAgECAgJIAAYyMDE3MTACBAIFAgYCBwIIAgkCIQILAgwCDQIIAggCCAIIAggCCAIIAggCCAIIAggCCAIIAggCCAIIAggCEgIDAklzcQB+AAAAAAACc3EAfgAE///////////////+/////v////91cQB+AAcAAAAEgtyI8Xh4d0UCHgACAQICAh0CBAIFAgYCBwIIAgkCIQILAgwCDQIIAggCCAIIAggCCAIIAggCCAIIAggCCAIIAggCCAIIAggCEgIDAkpzcQB+AAAAAAACc3EAfgAE///////////////+/////v////91cQB+AAcAAAAEYTEIFHh4d0UCHgACAQICAkQCBAIFAgYCBwIIAgkCCgILAgwCDQIIAggCCAIIAggCCAIIAggCCAIIAggCCAIIAggCCAIIAggCEgIDAktzcQB+AAAAAAACc3EAfgAE///////////////+/////v////91cQB+AAcAAAAEEP3yI3h4d0UCHgACAQICAiACBAIFAgYCBwIIAgkCCgILAgwCDQIIAggCCAIIAggCCAIIAggCCAIIAggCCAIIAggCCAIIAggCEgIDAkxzcQB+AAAAAAACc3EAfgAE///////////////+/////v////91cQB+AAcAAAAEBxk/mXh4d0UCHgACAQICAkgCBAIFAgYCBwIIAgkCHgILAgwCDQIIAggCCAIIAggCCAIIAggCCAIIAggCCAIIAggCCAIIAggCEgIDAk1zcQB+AAAAAAACc3EAfgAE///////////////+/////v////91cQB+AAcAAAADA9yreHh3TQIeAAIBAgICTgAGMjAxNjA2AgQCBQIGAgcCCAIJAh4CCwIMAg0CCAIIAggCCAIIAggCCAIIAggCCAIIAggCCAIIAggCCAIIAhICAwJPc3EAfgAAAAAAAnNxAH4ABP///////////////v////7/////dXEAfgAHAAAAAwqAVHh4d00CHgACAQICAlAABjIwMTcwOAIEAgUCBgIHAggCCQIKAgsCDAINAggCCAIIAggCCAIIAggCCAIIAggCCAIIAggCCAIIAggCCAISAgMCUXNxAH4AAAAAAAJzcQB+AAT///////////////7////+/////3VxAH4ABwAAAAMylNZ4eHeSAh4AAgECAgI7AgQCBQIGAgcCCAIJAh4CCwIMAg0CCAIIAggCCAIIAggCCAIIAggCCAIIAggCCAIIAggCCAIIAhICAwIuAh4AAgECAgJSAAYyMDE2MDcCBAIFAgYCBwIIAgkCCgILAgwCDQIIAggCCAIIAggCCAIIAggCCAIIAggCCAIIAggCCAIIAggCEgIDAlNzcQB+AAAAAAACc3EAfgAE///////////////+/////v////91cQB+AAcAAAAEAzaSmXh4d0UCHgACAQICAikCBAIFAgYCBwIIAgkCIQILAgwCDQIIAggCCAIIAggCCAIIAggCCAIIAggCCAIIAggCCAIIAggCEgIDAlRzcQB+AAAAAAACc3EAfgAE///////////////+/////v////91cQB+AAcAAAAEMNCqs3h4d00CHgACAQICAlUABjIwMTYxMgIEAgUCBgIHAggCCQIhAgsCDAINAggCCAIIAggCCAIIAggCCAIIAggCCAIIAggCCAIIAggCCAISAgMCVnNxAH4AAAAAAAJzcQB+AAT///////////////7////+/////3VxAH4ABwAAAAQoo9pZeHh3TQIeAAIBAgICVwAGMjAxNzA2AgQCBQIGAgcCCAIJAgoCCwIMAg0CCAIIAggCCAIIAggCCAIIAggCCAIIAggCCAIIAggCCAIIAhICAwJYc3EAfgAAAAAAAnNxAH4ABP///////////////v////7/////dXEAfgAHAAAABAPdTSB4eHdFAh4AAgECAgItAgQCBQIGAgcCCAIJAiECCwIMAg0CCAIIAggCCAIIAggCCAIIAggCCAIIAggCCAIIAggCCAIIAhICAwJZc3EAfgAAAAAAAnNxAH4ABP///////////////v////7/////dXEAfgAHAAAABE7u6Np4eHdFAh4AAgECAgInAgQCBQIGAgcCCAIJAh4CCwIMAg0CCAIIAggCCAIIAggCCAIIAggCCAIIAggCCAIIAggCCAIIAhICAwJac3EAfgAAAAAAAnNxAH4ABP///////////////v////7/////dXEAfgAHAAAAAw6D3Xh4d0UCHgACAQICAisCBAIFAgYCBwIIAgkCHgILAgwCDQIIAggCCAIIAggCCAIIAggCCAIIAggCCAIIAggCCAIIAggCEgIDAltzcQB+AAAAAAACc3EAfgAE///////////////+/////v////91cQB+AAcAAAADBHSNeHh3TQIeAAIBAgICXAAGMjAxNzA3AgQCBQIGAgcCCAIJAh4CCwIMAg0CCAIIAggCCAIIAggCCAIIAggCCAIIAggCCAIIAggCCAIIAhICAwJdc3EAfgAAAAAAAnNxAH4ABP///////////////v////7/////dXEAfgAHAAAAAwQ0OHh4d0UCHgACAQICAgMCBAIFAgYCBwIIAgkCIQILAgwCDQIIAggCCAIIAggCCAIIAggCCAIIAggCCAIIAggCCAIIAggCEgIDAl5zcQB+AAAAAAACc3EAfgAE///////////////+/////v////91cQB+AAcAAAAESHB4r3h4d0UCHgACAQICAiMCBAIFAgYCBwIIAgkCCgILAgwCDQIIAggCCAIIAggCCAIIAggCCAIIAggCCAIIAggCCAIIAggCEgIDAl9zcQB+AAAAAAACc3EAfgAE///////////////+/////v////91cQB+AAcAAAAECCX/sXh4d0UCHgACAQICAhsCBAIFAgYCBwIIAgkCIQILAgwCDQIIAggCCAIIAggCCAIIAggCCAIIAggCCAIIAggCCAIIAggCEgIDAmBzcQB+AAAAAAACc3EAfgAE///////////////+/////v////91cQB+AAcAAAAEWf3l8nh4d0UCHgACAQICAkYCBAIFAgYCBwIIAgkCHgILAgwCDQIIAggCCAIIAggCCAIIAggCCAIIAggCCAIIAggCCAIIAggCEgIDAmFzcQB+AAAAAAACc3EAfgAE///////////////+/////v////91cQB+AAcAAAADBmgreHh3RQIeAAIBAgICUgIEAgUCBgIHAggCCQIhAgsCDAINAggCCAIIAggCCAIIAggCCAIIAggCCAIIAggCCAIIAggCCAISAgMCYnNxAH4AAAAAAAJzcQB+AAT///////////////7////+/////3VxAH4ABwAAAARaL7WteHh3RQIeAAIBAgICLQIEAgUCBgIHAggCCQIKAgsCDAINAggCCAIIAggCCAIIAggCCAIIAggCCAIIAggCCAIIAggCCAISAgMCY3NxAH4AAAAAAAJzcQB+AAT///////////////7////+/////3VxAH4ABwAAAAQmcaNXeHh3RQIeAAIBAgICAwIEAgUCBgIHAggCCQIeAgsCDAINAggCCAIIAggCCAIIAggCCAIIAggCCAIIAggCCAIIAggCCAISAgMCZHNxAH4AAAAAAAJzcQB+AAT///////////////7////+/////3VxAH4ABwAAAAMMxv54eHdFAh4AAgECAgIbAgQCBQIGAgcCCAIJAh4CCwIMAg0CCAIIAggCCAIIAggCCAIIAggCCAIIAggCCAIIAggCCAIIAhICAwJlc3EAfgAAAAAAAnNxAH4ABP///////////////v////7/////dXEAfgAHAAAAAwRWK3h4d4oCHgACAQICAkECBAIFAgYCBwIIAgkCHgILAgwCDQIIAggCCAIIAggCCAIIAggCCAIIAggCCAIIAggCCAIIAggCEgIDAi4CHgACAQICAkMCBAIFAgYCBwIIAgkCCgILAgwCDQIIAggCCAIIAggCCAIIAggCCAIIAggCCAIIAggCCAIIAggCEgIDAmZzcQB+AAAAAAACc3EAfgAE///////////////+/////v////91cQB+AAcAAAAEGWLnZXh4d0UCHgACAQICAlcCBAIFAgYCBwIIAgkCHgILAgwCDQIIAggCCAIIAggCCAIIAggCCAIIAggCCAIIAggCCAIIAggCEgIDAmdzcQB+AAAAAAACc3EAfgAE///////////////+/////v////91cQB+AAcAAAADBEN6eHh3RQIeAAIBAgICHQIEAgUCBgIHAggCCQIKAgsCDAINAggCCAIIAggCCAIIAggCCAIIAggCCAIIAggCCAIIAggCCAISAgMCaHNxAH4AAAAAAAJzcQB+AAT///////////////7////+/////3VxAH4ABwAAAAQCG6dueHh3RQIeAAIBAgICUAIEAgUCBgIHAggCCQIhAgsCDAINAggCCAIIAggCCAIIAggCCAIIAggCCAIIAggCCAIIAggCCAISAgMCaXNxAH4AAAAAAAJzcQB+AAT///////////////7////+/////3VxAH4ABwAAAARlMUGreHh3RQIeAAIBAgICVQIEAgUCBgIHAggCCQIeAgsCDAINAggCCAIIAggCCAIIAggCCAIIAggCCAIIAggCCAIIAggCCAISAgMCanNxAH4AAAAAAAJzcQB+AAT///////////////7////+/////3VxAH4ABwAAAAMG3JN4eHdFAh4AAgECAgIlAgQCBQIGAgcCCAIJAgoCCwIMAg0CCAIIAggCCAIIAggCCAIIAggCCAIIAggCCAIIAggCCAIIAhICAwJrc3EAfgAAAAAAAnNxAH4ABP///////////////v////7/////dXEAfgAHAAAABCjphrZ4eHdFAh4AAgECAgI9AgQCBQIGAgcCCAIJAgoCCwIMAg0CCAIIAggCCAIIAggCCAIIAggCCAIIAggCCAIIAggCCAIIAhICAwJsc3EAfgAAAAAAAnNxAH4ABP///////////////v////7/////dXEAfgAHAAAABAK9P6R4eHdFAh4AAgECAgI/AgQCBQIGAgcCCAIJAgoCCwIMAg0CCAIIAggCCAIIAggCCAIIAggCCAIIAggCCAIIAggCCAIIAhICAwJtc3EAfgAAAAAAAnNxAH4ABP///////////////v////4AAAABdXEAfgAHAAAABAKOsKB4eHdFAh4AAgECAgIwAgQCBQIGAgcCCAIJAh4CCwIMAg0CCAIIAggCCAIIAggCCAIIAggCCAIIAggCCAIIAggCCAIIAhICAwJuc3EAfgAAAAAAAnNxAH4ABP///////////////v////7/////dXEAfgAHAAAAAwuCrXh4d0UCHgACAQICAk4CBAIFAgYCBwIIAgkCIQILAgwCDQIIAggCCAIIAggCCAIIAggCCAIIAggCCAIIAggCCAIIAggCEgIDAm9zcQB+AAAAAAACc3EAfgAE///////////////+/////v////91cQB+AAcAAAAEVIhLm3h4d0UCHgACAQICAlwCBAIFAgYCBwIIAgkCIQILAgwCDQIIAggCCAIIAggCCAIIAggCCAIIAggCCAIIAggCCAIIAggCEgIDAnBzcQB+AAAAAAACc3EAfgAE///////////////+/////v////91cQB+AAcAAAAEXtRi+Hh4d0UCHgACAQICAkYCBAIFAgYCBwIIAgkCIQILAgwCDQIIAggCCAIIAggCCAIIAggCCAIIAggCCAIIAggCCAIIAggCEgIDAnFzcQB+AAAAAAACc3EAfgAE///////////////+/////v////91cQB+AAcAAAAEElQVqnh4d4oCHgACAQICAiACBAIFAgYCBwIIAgkCHgILAgwCDQIIAggCCAIIAggCCAIIAggCCAIIAggCCAIIAggCCAIIAggCEgIDAi4CHgACAQICAiMCBAIFAgYCBwIIAgkCHgILAgwCDQIIAggCCAIIAggCCAIIAggCCAIIAggCCAIIAggCCAIIAggCEgIDAnJzcQB+AAAAAAACc3EAfgAE///////////////+/////v////91cQB+AAcAAAADEhXLeHh3RQIeAAIBAgICRAIEAgUCBgIHAggCCQIeAgsCDAINAggCCAIIAggCCAIIAggCCAIIAggCCAIIAggCCAIIAggCCAISAgMCc3NxAH4AAAAAAAJzcQB+AAT///////////////7////+/////3VxAH4ABwAAAAMEq5d4eHdFAh4AAgECAgJDAgQCBQIGAgcCCAIJAiECCwIMAg0CCAIIAggCCAIIAggCCAIIAggCCAIIAggCCAIIAggCCAIIAhICAwJ0c3EAfgAAAAAAAnNxAH4ABP///////////////v////7/////dXEAfgAHAAAABE8qcfl4eHdFAh4AAgECAgJcAgQCBQIGAgcCCAIJAgoCCwIMAg0CCAIIAggCCAIIAggCCAIIAggCCAIIAggCCAIIAggCCAIIAhICAwJ1c3EAfgAAAAAAAnNxAH4ABP///////////////v////7/////dXEAfgAHAAAABAIK9vR4eHdFAh4AAgECAgJSAgQCBQIGAgcCCAIJAh4CCwIMAg0CCAIIAggCCAIIAggCCAIIAggCCAIIAggCCAIIAggCCAIIAhICAwJ2c3EAfgAAAAAAAnNxAH4ABP///////////////v////7/////dXEAfgAHAAAAAwmef3h4d0UCHgACAQICAlACBAIFAgYCBwIIAgkCHgILAgwCDQIIAggCCAIIAggCCAIIAggCCAIIAggCCAIIAggCCAIIAggCEgIDAndzcQB+AAAAAAACc3EAfgAE///////////////+/////v////91cQB+AAcAAAADBCUJeHh3RQIeAAIBAgICNgIEAgUCBgIHAggCCQIKAgsCDAINAggCCAIIAggCCAIIAggCCAIIAggCCAIIAggCCAIIAggCCAISAgMCeHNxAH4AAAAAAAJzcQB+AAT///////////////7////+/////3VxAH4ABwAAAAQbRzHTeHh3RQIeAAIBAgICMAIEAgUCBgIHAggCCQIhAgsCDAINAggCCAIIAggCCAIIAggCCAIIAggCCAIIAggCCAIIAggCCAISAgMCeXNxAH4AAAAAAAJzcQB+AAT///////////////7////+/////3VxAH4ABwAAAARMKwuAeHh3RQIeAAIBAgICVQIEAgUCBgIHAggCCQIKAgsCDAINAggCCAIIAggCCAIIAggCCAIIAggCCAIIAggCCAIIAggCCAISAgMCenNxAH4AAAAAAAJzcQB+AAT///////////////7////+/////3VxAH4ABwAAAAQ7i4i9eHh3RQIeAAIBAgICVwIEAgUCBgIHAggCCQIhAgsCDAINAggCCAIIAggCCAIIAggCCAIIAggCCAIIAggCCAIIAggCCAISAgMCe3NxAH4AAAAAAAJzcQB+AAT///////////////7////+/////3VxAH4ABwAAAARYCwcseHh3RQIeAAIBAgICPQIEAgUCBgIHAggCCQIhAgsCDAINAggCCAIIAggCCAIIAggCCAIIAggCCAIIAggCCAIIAggCCAISAgMCfHNxAH4AAAAAAAJzcQB+AAT///////////////7////+/////3VxAH4ABwAAAARdV1DJeHh3RQIeAAIBAgICOwIEAgUCBgIHAggCCQIhAgsCDAINAggCCAIIAggCCAIIAggCCAIIAggCCAIIAggCCAIIAggCCAISAgMCfXNxAH4AAAAAAAJzcQB+AAT///////////////7////+/////3VxAH4ABwAAAARc5cCweHh3RQIeAAIBAgICMgIEAgUCBgIHAggCCQIeAgsCDAINAggCCAIIAggCCAIIAggCCAIIAggCCAIIAggCCAIIAggCCAISAgMCfnNxAH4AAAAAAAJzcQB+AAT///////////////7////+/////3VxAH4ABwAAAAMFP694eHeKAh4AAgECAgIpAgQCBQIGAgcCCAIJAh4CCwIMAg0CCAIIAggCCAIIAggCCAIIAggCCAIIAggCCAIIAggCCAIIAhICAwIuAh4AAgECAgI0AgQCBQIGAgcCCAIJAgoCCwIMAg0CCAIIAggCCAIIAggCCAIIAggCCAIIAggCCAIIAggCCAIIAhICAwJ/c3EAfgAAAAAAAnNxAH4ABP///////////////v////7/////dXEAfgAHAAAABA5TyYx4eHdFAh4AAgECAgJIAgQCBQIGAgcCCAIJAgoCCwIMAg0CCAIIAggCCAIIAggCCAIIAggCCAIIAggCCAIIAggCCAIIAhICAwKAc3EAfgAAAAAAAnNxAH4ABP///////////////v////4AAAABdXEAfgAHAAAABAkNFf14eHdFAh4AAgECAgJOAgQCBQIGAgcCCAIJAgoCCwIMAg0CCAIIAggCCAIIAggCCAIIAggCCAIIAggCCAIIAggCCAIIAhICAwKBc3EAfgAAAAAAAnNxAH4ABP///////////////v////7/////dXEAfgAHAAAABAOri614eHdFAh4AAgECAgIlAgQCBQIGAgcCCAIJAiECCwIMAg0CCAIIAggCCAIIAggCCAIIAggCCAIIAggCCAIIAggCCAIIAhICAwKCc3EAfgAAAAAAAnNxAH4ABP///////////////v////7/////dXEAfgAHAAAABD0VO3Z4eHdFAh4AAgECAgI/AgQCBQIGAgcCCAIJAiECCwIMAg0CCAIIAggCCAIIAggCCAIIAggCCAIIAggCCAIIAggCCAIIAhICAwKDc3EAfgAAAAAAAnNxAH4ABP///////////////v////7/////dXEAfgAHAAAABHEGWUl4eHdFAh4AAgECAgJBAgQCBQIGAgcCCAIJAiECCwIMAg0CCAIIAggCCAIIAggCCAIIAggCCAIIAggCCAIIAggCCAIIAhICAwKEc3EAfgAAAAAAAnNxAH4ABP///////////////v////7/////dXEAfgAHAAAABEI0vHx4eA==]]></xxe4awand>
</file>

<file path=customXml/item13.xml><?xml version="1.0" encoding="utf-8"?>
<xxe4awand xmlns="http://www.excel4apps.com"><![CDATA[rO0ABXfZCMCtii8ABEMDAh4AAERjb20uZXhjZWw0YXBwcy53YW5kLm9yYWNsZS5n
bHdhbmQuY2FsY3VsYXRpb25zLmdldGJhbGFuY2UuR2V0QmFsYW5jZQIBAAkzMTY3
ODQxMjACAgABMAIDAAYyMDE3MDUCBAADWVREAgUAA1VTRAIGAAVUb3RhbAIHAAFB
AggAAAIJAAMwMDECCgAGMTkxMDEwAgsAAkdEAgwAAklEAg0AAkRMAggCCAIIAggC
CAIIAggCCAIIAggCCAIIAggCCAIIAggCCAIhAgMCDnNyAg8AFGphdmEubWF0aC5C
aWdEZWNpbWFsVMcVV/mBKE8DAAJJAhAABXNjYWxlTAIRAAZpbnRWYWx0ABZMamF2
YS9tYXRoL0JpZ0ludGVnZXI7eHICEgAQamF2YS5sYW5nLk51bWJlcoaslR0LlOCL
AgAAeHAAAAACc3ICEwAUamF2YS5tYXRoLkJpZ0ludGVnZXKM/J8fqTv7HQMABkkC
FAAIYml0Q291bnRJAhUACWJpdExlbmd0aEkCFgATZmlyc3ROb256ZXJvQnl0ZU51
bUkCFwAMbG93ZXN0U2V0Qml0SQIYAAZzaWdudW1bAhkACW1hZ25pdHVkZXQAAltC
eHEAfgAC///////////////+/////v////91cgIaAAJbQqzzF/gGCFTgAgAAeHAA
AAAEKiZPC3h4d00CHgACAQICAhsABjIwMTgwMwIEAgUCBgIHAggCCQIKAgsCDAIN
AggCCAIIAggCCAIIAggCCAIIAggCCAIIAggCCAIIAggCCAIhAgMCHHNxAH4AAAAA
AAJzcQB+AAT///////////////7////+/////3VxAH4ABwAAAAQqwrH4eHh3TQIeAAIBAgICHQAGMjAxODAxAgQCBQIGAgcCCAIJAgoCCwIMAg0CCAIIAggCCAIIAggCCAIIAggCCAIIAggCCAIIAggCCAIIAiECAwIec3EAfgAAAAAAAnNxAH4ABP///////////////v////7/////dXEAfgAHAAAABCkgj4V4eHdNAh4AAgECAgIfAAYyMDE3MDYCBAIFAgYCBwIIAgkCCgILAgwCDQIIAggCCAIIAggCCAIIAggCCAIIAggCCAIIAggCCAIIAggCIQIDAiBzcQB+AAAAAAACc3EAfgAE///////////////+/////v////91cQB+AAcAAAAEKgtGIXh4d00CHgACAQICAiEABjIwMTcwMgIEAgUCBgIHAggCCQIKAgsCDAINAggCCAIIAggCCAIIAggCCAIIAggCCAIIAggCCAIIAggCCAIhAgMCInNxAH4AAAAAAAJzcQB+AAT///////////////7////+/////3VxAH4ABwAAAAQiCqwxeHh3TQIeAAIBAgICIwAGMjAxNzA4AgQCBQIGAgcCCAIJAgoCCwIMAg0CCAIIAggCCAIIAggCCAIIAggCCAIIAggCCAIIAggCCAIIAiECAwIkc3EAfgAAAAAAAnNxAH4ABP///////////////v////7/////dXEAfgAHAAAABDQ5VOh4eHdNAh4AAgECAgIlAAYyMDE3MDQCBAIFAgYCBwIIAgkCCgILAgwCDQIIAggCCAIIAggCCAIIAggCCAIIAggCCAIIAggCCAIIAggCIQIDAiZzcQB+AAAAAAACc3EAfgAE///////////////+/////v////91cQB+AAcAAAAEKeDlE3h4d00CHgACAQICAicABjIwMTcxMQIEAgUCBgIHAggCCQIKAgsCDAINAggCCAIIAggCCAIIAggCCAIIAggCCAIIAggCCAIIAggCCAIhAgMCKHNxAH4AAAAAAAJzcQB+AAT///////////////7////+/////3VxAH4ABwAAAAQcI3yQeHh3TQIeAAIBAgICKQAGMjAxODAyAgQCBQIGAgcCCAIJAgoCCwIMAg0CCAIIAggCCAIIAggCCAIIAggCCAIIAggCCAIIAggCCAIIAiECAwIqc3EAfgAAAAAAAnNxAH4ABP///////////////v////7/////dXEAfgAHAAAABClGhLZ4eHdNAh4AAgECAgIrAAYyMDE3MDkCBAIFAgYCBwIIAgkCCgILAgwCDQIIAggCCAIIAggCCAIIAggCCAIIAggCCAIIAggCCAIIAggCIQIDAixzcQB+AAAAAAACc3EAfgAE///////////////+/////v////91cQB+AAcAAAAEOUUu/nh4d00CHgACAQICAi0ABjIwMTcwMQIEAgUCBgIHAggCCQIKAgsCDAINAggCCAIIAggCCAIIAggCCAIIAggCCAIIAggCCAIIAggCCAIhAgMCLnNxAH4AAAAAAAJzcQB+AAT///////////////7////+/////3VxAH4ABwAAAAQdsfpMeHh3TQIeAAIBAgICLwAGMjAxNzA3AgQCBQIGAgcCCAIJAgoCCwIMAg0CCAIIAggCCAIIAggCCAIIAggCCAIIAggCCAIIAggCCAIIAiECAwIwc3EAfgAAAAAAAnNxAH4ABP///////////////v////7/////dXEAfgAHAAAABC6RhSt4eHdNAh4AAgECAgIxAAYyMDE3MDMCBAIFAgYCBwIIAgkCCgILAgwCDQIIAggCCAIIAggCCAIIAggCCAIIAggCCAIIAggCCAIIAggCIQIDAjJzcQB+AAAAAAACc3EAfgAE///////////////+/////v////91cQB+AAcAAAAEJngfcXh4d00CHgACAQICAjMABjIwMTcxMAIEAgUCBgIHAggCCQIKAgsCDAINAggCCAIIAggCCAIIAggCCAIIAggCCAIIAggCCAIIAggCCAIhAgMCNHNxAH4AAAAAAAJzcQB+AAT///////////////7////+/////3VxAH4ABwAAAARDRE3geHh3TQIeAAIBAgICNQAGMjAxNzEyAgQCBQIGAgcCCAIJAgoCCwIMAg0CCAIIAggCCAIIAggCCAIIAggCCAIIAggCCAIIAggCCAIIAiECAwI2c3EAfgAAAAAAAnNxAH4ABP///////////////v////7/////dXEAfgAHAAAABCQ0bfR4eHdcAh4AAjcACTMzMDU2NjMyMAICAiECBAIFAgYCBwIIAgkCOAAGMTkxMDI1AgsCOQACV0ECDQIIAggCCAIIAggCCAIIAggCCAIIAggCCAIIAggCCAIIAggCFAIDAjpzcQB+AAAAAAACc3EAfgAE///////////////+/////v////91cQB+AAcAAAADBPtoeHh3RQIeAAI3AgICJwIEAgUCBgIHAggCCQIKAgsCOQINAggCCAIIAggCCAIIAggCCAIIAggCCAIIAggCCAIIAggCCAIUAgMCO3NxAH4AAAAAAAJzcQB+AAT///////////////7////+/////3VxAH4ABwAAAAQw0KqzeHh3VQIeAAI3AgICPAAGMjAxNjA1AgQCBQIGAgcCCAIJAj0ABjE5MTAwMAILAjkCDQIIAggCCAIIAggCCAIIAggCCAIIAggCCAIIAggCCAIIAggCFAIDAj5zcQB+AAAAAAACc3EAfgAE///////////////+/////v////91cQB+AAcAAAAEBDaJ43h4d00CHgACNwICAj8ABjIwMTYxMAIEAgUCBgIHAggCCQIKAgsCOQINAggCCAIIAggCCAIIAggCCAIIAggCCAIIAggCCAIIAggCCAIUAgMCQHNxAH4AAAAAAAJzcQB+AAT///////////////7////+/////3VxAH4ABwAAAARijcsWeHh3TQIeAAI3AgICQQAGMjAxNjAzAgQCBQIGAgcCCAIJAgoCCwI5Ag0CCAIIAggCCAIIAggCCAIIAggCCAIIAggCCAIIAggCCAIIAhQCAwJCc3EAfgAAAAAAAnNxAH4ABP///////////////v////7/////dXEAfgAHAAAABD37VuJ4eHdNAh4AAjcCAgJDAAYyMDE2MTICBAIFAgYCBwIIAgkCPQILAjkCDQIIAggCCAIIAggCCAIIAggCCAIIAggCCAIIAggCCAIIAggCFAIDAkRzcQB+AAAAAAACc3EAfgAE///////////////+/////v////91cQB+AAcAAAAEO4uIvXh4d0UCHgACNwICAiUCBAIFAgYCBwIIAgkCCgILAjkCDQIIAggCCAIIAggCCAIIAggCCAIIAggCCAIIAggCCAIIAggCFAIDAkVzcQB+AAAAAAACc3EAfgAE///////////////+/////v////91cQB+AAcAAAAEWnDZd3h4d0UCHgACNwICAh8CBAIFAgYCBwIIAgkCPQILAjkCDQIIAggCCAIIAggCCAIIAggCCAIIAggCCAIIAggCCAIIAggCFAIDAkZzcQB+AAAAAAACc3EAfgAE///////////////+/////v////91cQB+AAcAAAAEA91NIHh4d00CHgACNwICAkcABjIwMTYwMgIEAgUCBgIHAggCCQI4AgsCOQINAggCCAIIAggCCAIIAggCCAIIAggCCAIIAggCCAIIAggCCAIUAgMCSHNxAH4AAAAAAAJzcQB+AAT///////////////7////+/////3VxAH4ABwAAAAMSFct4eHdFAh4AAjcCAgIDAgQCBQIGAgcCCAIJAj0CCwI5Ag0CCAIIAggCCAIIAggCCAIIAggCCAIIAggCCAIIAggCCAIIAhQCAwJJc3EAfgAAAAAAAnNxAH4ABP///////////////v////7/////dXEAfgAHAAAABAYhGIV4eHdNAh4AAjcCAgJKAAYyMDE2MDkCBAIFAgYCBwIIAgkCOAILAjkCDQIIAggCCAIIAggCCAIIAggCCAIIAggCCAIIAggCCAIIAggCFAIDAktzcQB+AAAAAAACc3EAfgAE///////////////+/////v////91cQB+AAcAAAADB43UeHh3TQIeAAI3AgICTAAGMjAxNjA0AgQCBQIGAgcCCAIJAj0CCwI5Ag0CCAIIAggCCAIIAggCCAIIAggCCAIIAggCCAIIAggCCAIIAhQCAwJNc3EAfgAAAAAAAnNxAH4ABP///////////////v////7/////dXEAfgAHAAAABATkMA94eHdFAh4AAjcCAgIxAgQCBQIGAgcCCAIJAgoCCwI5Ag0CCAIIAggCCAIIAggCCAIIAggCCAIIAggCCAIIAggCCAIIAhQCAwJOc3EAfgAAAAAAAnNxAH4ABP///////////////v////7/////dXEAfgAHAAAABFNjmyZ4eHdFAh4AAjcCAgIzAgQCBQIGAgcCCAIJAgoCCwI5Ag0CCAIIAggCCAIIAggCCAIIAggCCAIIAggCCAIIAggCCAIIAhQCAwJPc3EAfgAAAAAAAnNxAH4ABP///////////////v////7/////dXEAfgAHAAAABILciPF4eHdFAh4AAjcCAgIpAgQCBQIGAgcCCAIJAjgCCwI5Ag0CCAIIAggCCAIIAggCCAIIAggCCAIIAggCCAIIAggCCAIIAhQCAwJQc3EAfgAAAAAAAnNxAH4ABP///////////////v////4AAAAAdXEAfgAHAAAAAHh4d0UCHgACNwICAi0CBAIFAgYCBwIIAgkCOAILAjkCDQIIAggCCAIIAggCCAIIAggCCAIIAggCCAIIAggCCAIIAggCFAIDAlFzcQB+AAAAAAACc3EAfgAE///////////////+/////v////91cQB+AAcAAAADBWT/eHh3RQIeAAI3AgICRwIEAgUCBgIHAggCCQIKAgsCOQINAggCCAIIAggCCAIIAggCCAIIAggCCAIIAggCCAIIAggCCAIUAgMCUnNxAH4AAAAAAAJzcQB+AAT///////////////7////+/////3VxAH4ABwAAAAQ3OPVPeHh3TQIeAAI3AgICUwAGMjAxNjExAgQCBQIGAgcCCAIJAj0CCwI5Ag0CCAIIAggCCAIIAggCCAIIAggCCAIIAggCCAIIAggCCAIIAhQCAwJUc3EAfgAAAAAAAnNxAH4ABP///////////////v////7/////dXEAfgAHAAAABExDDhV4eHdFAh4AAjcCAgI1AgQCBQIGAgcCCAIJAj0CCwI5Ag0CCAIIAggCCAIIAggCCAIIAggCCAIIAggCCAIIAggCCAIIAhQCAwJVc3EAfgAAAAAAAnNxAH4ABP///////////////v////7/////dXEAfgAHAAAABDRJviN4eHdFAh4AAjcCAgJBAgQCBQIGAgcCCAIJAj0CCwI5Ag0CCAIIAggCCAIIAggCCAIIAggCCAIIAggCCAIIAggCCAIIAhQCAwJWc3EAfgAAAAAAAnNxAH4ABP///////////////v////7/////dXEAfgAHAAAABAXojm54eHfPAh4AAjcCAgInAgQCBQIGAgcCCAIJAjgCCwI5Ag0CCAIIAggCCAIIAggCCAIIAggCCAIIAggCCAIIAggCCAIIAhQCAwJQAh4AAjcCAgIdAgQCBQIGAgcCCAIJAjgCCwI5Ag0CCAIIAggCCAIIAggCCAIIAggCCAIIAggCCAIIAggCCAIIAhQCAwJQAh4AAjcCAgIDAgQCBQIGAgcCCAIJAjgCCwI5Ag0CCAIIAggCCAIIAggCCAIIAggCCAIIAggCCAIIAggCCAIIAhQCAwJXc3EAfgAAAAAAAnNxAH4ABP///////////////v////7/////dXEAfgAHAAAAAwRWK3h4d0UCHgACNwICAh8CBAIFAgYCBwIIAgkCCgILAjkCDQIIAggCCAIIAggCCAIIAggCCAIIAggCCAIIAggCCAIIAggCFAIDAlhzcQB+AAAAAAACc3EAfgAE///////////////+/////v////91cQB+AAcAAAAEWAsHLHh4d0UCHgACNwICAkwCBAIFAgYCBwIIAgkCOAILAjkCDQIIAggCCAIIAggCCAIIAggCCAIIAggCCAIIAggCCAIIAggCFAIDAllzcQB+AAAAAAACc3EAfgAE///////////////+/////v////91cQB+AAcAAAADDMb+eHh3RQIeAAI3AgICJQIEAgUCBgIHAggCCQI9AgsCOQINAggCCAIIAggCCAIIAggCCAIIAggCCAIIAggCCAIIAggCCAIUAgMCWnNxAH4AAAAAAAJzcQB+AAT///////////////7////+/////3VxAH4ABwAAAAQJ8GpGeHh3RQIeAAI3AgICUwIEAgUCBgIHAggCCQIKAgsCOQINAggCCAIIAggCCAIIAggCCAIIAggCCAIIAggCCAIIAggCCAIUAgMCW3NxAH4AAAAAAAJzcQB+AAT///////////////7////+/////3VxAH4ABwAAAAQSVBWqeHh3RQIeAAI3AgICNQIEAgUCBgIHAggCCQIKAgsCOQINAggCCAIIAggCCAIIAggCCAIIAggCCAIIAggCCAIIAggCCAIUAgMCXHNxAH4AAAAAAAJzcQB+AAT///////////////7////+/////3VxAH4ABwAAAARCNLx8eHh3RQIeAAI3AgICMQIEAgUCBgIHAggCCQI4AgsCOQINAggCCAIIAggCCAIIAggCCAIIAggCCAIIAggCCAIIAggCCAIUAgMCXXNxAH4AAAAAAAJzcQB+AAT///////////////7////+/////3VxAH4ABwAAAAMEq5d4eHdFAh4AAjcCAgItAgQCBQIGAgcCCAIJAgoCCwI5Ag0CCAIIAggCCAIIAggCCAIIAggCCAIIAggCCAIIAggCCAIIAhQCAwJec3EAfgAAAAAAAnNxAH4ABP///////////////v////7/////dXEAfgAHAAAABD0VO3Z4eHdFAh4AAjcCAgIjAgQCBQIGAgcCCAIJAjgCCwI5Ag0CCAIIAggCCAIIAggCCAIIAggCCAIIAggCCAIIAggCCAIIAhQCAwJfc3EAfgAAAAAAAnNxAH4ABP///////////////v////7/////dXEAfgAHAAAAAwQlCXh4d0UCHgACNwICAjwCBAIFAgYCBwIIAgkCCgILAjkCDQIIAggCCAIIAggCCAIIAggCCAIIAggCCAIIAggCCAIIAggCFAIDAmBzcQB+AAAAAAACc3EAfgAE///////////////+/////v////91cQB+AAcAAAAETCsLgHh4d00CHgACNwICAmEABjIwMTYwNgIEAgUCBgIHAggCCQI9AgsCOQINAggCCAIIAggCCAIIAggCCAIIAggCCAIIAggCCAIIAggCCAIUAgMCYnNxAH4AAAAAAAJzcQB+AAT///////////////7////+/////3VxAH4ABwAAAAQDq4uteHh3TQIeAAI3AgICYwAGMjAxNjA3AgQCBQIGAgcCCAIJAjgCCwI5Ag0CCAIIAggCCAIIAggCCAIIAggCCAIIAggCCAIIAggCCAIIAhQCAwJkc3EAfgAAAAAAAnNxAH4ABP///////////////v////7/////dXEAfgAHAAAAAwmef3h4d0UCHgACNwICAi8CBAIFAgYCBwIIAgkCPQILAjkCDQIIAggCCAIIAggCCAIIAggCCAIIAggCCAIIAggCCAIIAggCFAIDAmVzcQB+AAAAAAACc3EAfgAE///////////////+/////v////91cQB+AAcAAAAEAgr29Hh4d0UCHgACNwICAjMCBAIFAgYCBwIIAgkCPQILAjkCDQIIAggCCAIIAggCCAIIAggCCAIIAggCCAIIAggCCAIIAggCFAIDAmZzcQB+AAAAAAACc3EAfgAE///////////////+/////gAAAAF1cQB+AAcAAAAECQ0V/Xh4d0UCHgACNwICAj8CBAIFAgYCBwIIAgkCOAILAjkCDQIIAggCCAIIAggCCAIIAggCCAIIAggCCAIIAggCCAIIAggCFAIDAmdzcQB+AAAAAAACc3EAfgAE///////////////+/////v////91cQB+AAcAAAADBT+veHh3RQIeAAI3AgICKQIEAgUCBgIHAggCCQIKAgsCOQINAggCCAIIAggCCAIIAggCCAIIAggCCAIIAggCCAIIAggCCAIUAgMCaHNxAH4AAAAAAAJzcQB+AAT///////////////7////+/////3VxAH4ABwAAAARPKnH5eHh3RQIeAAI3AgICKwIEAgUCBgIHAggCCQIKAgsCOQINAggCCAIIAggCCAIIAggCCAIIAggCCAIIAggCCAIIAggCCAIUAgMCaXNxAH4AAAAAAAJzcQB+AAT///////////////7////+/////3VxAH4ABwAAAARxBllJeHh3TQIeAAI3AgICagAGMjAxNjA4AgQCBQIGAgcCCAIJAgoCCwI5Ag0CCAIIAggCCAIIAggCCAIIAggCCAIIAggCCAIIAggCCAIIAhQCAwJrc3EAfgAAAAAAAnNxAH4ABP///////////////v////7/////dXEAfgAHAAAABF1XUMl4eHdFAh4AAjcCAgIvAgQCBQIGAgcCCAIJAjgCCwI5Ag0CCAIIAggCCAIIAggCCAIIAggCCAIIAggCCAIIAggCCAIIAhQCAwJsc3EAfgAAAAAAAnNxAH4ABP///////////////v////7/////dXEAfgAHAAAAAwQ0OHh4d0UCHgACNwICAkoCBAIFAgYCBwIIAgkCPQILAjkCDQIIAggCCAIIAggCCAIIAggCCAIIAggCCAIIAggCCAIIAggCFAIDAm1zcQB+AAAAAAACc3EAfgAE///////////////+/////v////91cQB+AAcAAAAEAhunbnh4d0UCHgACNwICAiECBAIFAgYCBwIIAgkCPQILAjkCDQIIAggCCAIIAggCCAIIAggCCAIIAggCCAIIAggCCAIIAggCFAIDAm5zcQB+AAAAAAACc3EAfgAE///////////////+/////v////91cQB+AAcAAAAEG0cx03h4d0UCHgACNwICAmECBAIFAgYCBwIIAgkCOAILAjkCDQIIAggCCAIIAggCCAIIAggCCAIIAggCCAIIAggCCAIIAggCFAIDAm9zcQB+AAAAAAACc3EAfgAE///////////////+/////v////91cQB+AAcAAAADCoBUeHh3RQIeAAI3AgICUwIEAgUCBgIHAggCCQI4AgsCOQINAggCCAIIAggCCAIIAggCCAIIAggCCAIIAggCCAIIAggCCAIUAgMCcHNxAH4AAAAAAAJzcQB+AAT///////////////7////+/////3VxAH4ABwAAAAMGaCt4eHdFAh4AAjcCAgIdAgQCBQIGAgcCCAIJAgoCCwI5Ag0CCAIIAggCCAIIAggCCAIIAggCCAIIAggCCAIIAggCCAIIAhQCAwJxc3EAfgAAAAAAAnNxAH4ABP///////////////v////7/////dXEAfgAHAAAABE7u6Np4eHeKAh4AAjcCAgI1AgQCBQIGAgcCCAIJAjgCCwI5Ag0CCAIIAggCCAIIAggCCAIIAggCCAIIAggCCAIIAggCCAIIAhQCAwJQAh4AAjcCAgIjAgQCBQIGAgcCCAIJAgoCCwI5Ag0CCAIIAggCCAIIAggCCAIIAggCCAIIAggCCAIIAggCCAIIAhQCAwJyc3EAfgAAAAAAAnNxAH4ABP///////////////v////7/////dXEAfgAHAAAABGUxQat4eHdFAh4AAjcCAgJjAgQCBQIGAgcCCAIJAgoCCwI5Ag0CCAIIAggCCAIIAggCCAIIAggCCAIIAggCCAIIAggCCAIIAhQCAwJzc3EAfgAAAAAAAnNxAH4ABP///////////////v////7/////dXEAfgAHAAAABFovta14eHdFAh4AAjcCAgIpAgQCBQIGAgcCCAIJAj0CCwI5Ag0CCAIIAggCCAIIAggCCAIIAggCCAIIAggCCAIIAggCCAIIAhQCAwJ0c3EAfgAAAAAAAnNxAH4ABP///////////////v////7/////dXEAfgAHAAAABBli52V4eHdFAh4AAjcCAgIfAgQCBQIGAgcCCAIJAjgCCwI5Ag0CCAIIAggCCAIIAggCCAIIAggCCAIIAggCCAIIAggCCAIIAhQCAwJ1c3EAfgAAAAAAAnNxAH4ABP///////////////v////7/////dXEAfgAHAAAAAwRDenh4d0UCHgACNwICAisCBAIFAgYCBwIIAgkCPQILAjkCDQIIAggCCAIIAggCCAIIAggCCAIIAggCCAIIAggCCAIIAggCFAIDAnZzcQB+AAAAAAACc3EAfgAE///////////////+/////gAAAAF1cQB+AAcAAAAEAo6woHh4d0UCHgACNwICAi0CBAIFAgYCBwIIAgkCPQILAjkCDQIIAggCCAIIAggCCAIIAggCCAIIAggCCAIIAggCCAIIAggCFAIDAndzcQB+AAAAAAACc3EAfgAE///////////////+/////v////91cQB+AAcAAAAEKOmGtnh4d0UCHgACNwICAjwCBAIFAgYCBwIIAgkCOAILAjkCDQIIAggCCAIIAggCCAIIAggCCAIIAggCCAIIAggCCAIIAggCFAIDAnhzcQB+AAAAAAACc3EAfgAE///////////////+/////v////91cQB+AAcAAAADC4KteHh3RQIeAAI3AgICLwIEAgUCBgIHAggCCQIKAgsCOQINAggCCAIIAggCCAIIAggCCAIIAggCCAIIAggCCAIIAggCCAIUAgMCeXNxAH4AAAAAAAJzcQB+AAT///////////////7////+/////3VxAH4ABwAAAARe1GL4eHh3RQIeAAI3AgICagIEAgUCBgIHAggCCQI9AgsCOQINAggCCAIIAggCCAIIAggCCAIIAggCCAIIAggCCAIIAggCCAIUAgMCenNxAH4AAAAAAAJzcQB+AAT///////////////7////+/////3VxAH4ABwAAAAQCvT+keHh3RQIeAAI3AgICQwIEAgUCBgIHAggCCQI4AgsCOQINAggCCAIIAggCCAIIAggCCAIIAggCCAIIAggCCAIIAggCCAIUAgMCe3NxAH4AAAAAAAJzcQB+AAT///////////////7////+/////3VxAH4ABwAAAAMG3JN4eHdFAh4AAjcCAgIrAgQCBQIGAgcCCAIJAjgCCwI5Ag0CCAIIAggCCAIIAggCCAIIAggCCAIIAggCCAIIAggCCAIIAhQCAwJ8c3EAfgAAAAAAAnNxAH4ABP///////////////v////7/////dXEAfgAHAAAAAwQOrnh4d0UCHgACNwICAiECBAIFAgYCBwIIAgkCCgILAjkCDQIIAggCCAIIAggCCAIIAggCCAIIAggCCAIIAggCCAIIAggCFAIDAn1zcQB+AAAAAAACc3EAfgAE///////////////+/////v////91cQB+AAcAAAAESYtTyXh4d0UCHgACNwICAiUCBAIFAgYCBwIIAgkCOAILAjkCDQIIAggCCAIIAggCCAIIAggCCAIIAggCCAIIAggCCAIIAggCFAIDAn5zcQB+AAAAAAACc3EAfgAE///////////////+/////v////91cQB+AAcAAAADBHSNeHh3RQIeAAI3AgICQwIEAgUCBgIHAggCCQIKAgsCOQINAggCCAIIAggCCAIIAggCCAIIAggCCAIIAggCCAIIAggCCAIUAgMCf3NxAH4AAAAAAAJzcQB+AAT///////////////7////+/////3VxAH4ABwAAAAQoo9pZeHh3RQIeAAI3AgICYQIEAgUCBgIHAggCCQIKAgsCOQINAggCCAIIAggCCAIIAggCCAIIAggCCAIIAggCCAIIAggCCAIUAgMCgHNxAH4AAAAAAAJzcQB+AAT///////////////7////+/////3VxAH4ABwAAAARUiEubeHh3RQIeAAI3AgICMwIEAgUCBgIHAggCCQI4AgsCOQINAggCCAIIAggCCAIIAggCCAIIAggCCAIIAggCCAIIAggCCAIUAgMCgXNxAH4AAAAAAAJzcQB+AAT///////////////7////+/////3VxAH4ABwAAAAMD3Kt4eHdFAh4AAjcCAgIdAgQCBQIGAgcCCAIJAj0CCwI5Ag0CCAIIAggCCAIIAggCCAIIAggCCAIIAggCCAIIAggCCAIIAhQCAwKCc3EAfgAAAAAAAnNxAH4ABP///////////////v////7/////dXEAfgAHAAAABCZxo1d4eHdFAh4AAjcCAgI/AgQCBQIGAgcCCAIJAj0CCwI5Ag0CCAIIAggCCAIIAggCCAIIAggCCAIIAggCCAIIAggCCAIIAhQCAwKDc3EAfgAAAAAAAnNxAH4ABP///////////////v////7/////dXEAfgAHAAAAA7xcsnh4d0UCHgACNwICAmMCBAIFAgYCBwIIAgkCPQILAjkCDQIIAggCCAIIAggCCAIIAggCCAIIAggCCAIIAggCCAIIAggCFAIDAoRzcQB+AAAAAAACc3EAfgAE///////////////+/////v////91cQB+AAcAAAAEAzaSmXh4d0UCHgACNwICAiMCBAIFAgYCBwIIAgkCPQILAjkCDQIIAggCCAIIAggCCAIIAggCCAIIAggCCAIIAggCCAIIAggCFAIDAoVzcQB+AAAAAAACc3EAfgAE///////////////+/////v////91cQB+AAcAAAADMpTWeHh3RQIeAAI3AgICagIEAgUCBgIHAggCCQI4AgsCOQINAggCCAIIAggCCAIIAggCCAIIAggCCAIIAggCCAIIAggCCAIUAgMChnNxAH4AAAAAAAJzcQB+AAT///////////////7////+/////3VxAH4ABwAAAAMItpx4eHdFAh4AAjcCAgInAgQCBQIGAgcCCAIJAj0CCwI5Ag0CCAIIAggCCAIIAggCCAIIAggCCAIIAggCCAIIAggCCAIIAhQCAwKHc3EAfgAAAAAAAnNxAH4ABP///////////////v////7/////dXEAfgAHAAAABES6V7x4eHdFAh4AAjcCAgJHAgQCBQIGAgcCCAIJAj0CCwI5Ag0CCAIIAggCCAIIAggCCAIIAggCCAIIAggCCAIIAggCCAIIAhQCAwKIc3EAfgAAAAAAAnNxAH4ABP///////////////v////7/////dXEAfgAHAAAABAgl/7F4eHdFAh4AAjcCAgJKAgQCBQIGAgcCCAIJAgoCCwI5Ag0CCAIIAggCCAIIAggCCAIIAggCCAIIAggCCAIIAggCCAIIAhQCAwKJc3EAfgAAAAAAAnNxAH4ABP///////////////v////7/////dXEAfgAHAAAABGExCBR4eHdFAh4AAjcCAgJMAgQCBQIGAgcCCAIJAgoCCwI5Ag0CCAIIAggCCAIIAggCCAIIAggCCAIIAggCCAIIAggCCAIIAhQCAwKKc3EAfgAAAAAAAnNxAH4ABP///////////////v////7/////dXEAfgAHAAAABEhweK94eHdFAh4AAjcCAgIDAgQCBQIGAgcCCAIJAgoCCwI5Ag0CCAIIAggCCAIIAggCCAIIAggCCAIIAggCCAIIAggCCAIIAhQCAwKLc3EAfgAAAAAAAnNxAH4ABP///////////////v////7/////dXEAfgAHAAAABFn95fJ4eHdFAh4AAjcCAgJBAgQCBQIGAgcCCAIJAjgCCwI5Ag0CCAIIAggCCAIIAggCCAIIAggCCAIIAggCCAIIAggCCAIIAhQCAwKMc3EAfgAAAAAAAnNxAH4ABP///////////////v////7/////dXEAfgAHAAAAAw6D3Xh4d0UCHgACNwICAjECBAIFAgYCBwIIAgkCPQILAjkCDQIIAggCCAIIAggCCAIIAggCCAIIAggCCAIIAggCCAIIAggCFAIDAo1zcQB+AAAAAAACc3EAfgAE///////////////+/////v////91cQB+AAcAAAAEEP3yI3h4d1gCHgACjgAJNDIxMjE5ODU2AgICjwAGMjAxMzEyAgQCBQIGAgcCCAIJAjgCCwI5Ag0CCAIIAggCCAIIAggCCAIIAggCCAIIAggCCAIIAggCCAIIAh4CAwKQc3EAfgAAAAAAAnNxAH4ABP///////////////v////7/////dXEAfgAHAAAAAxTl5Hh4egAABAACHgACkQAJMzMwNTYxNjgwAgICYwIEAgUCBgIHAggCCQIKAgsCOQINAggCCAIIAggCCAIIAggCCAIIAggCCAIIAggCCAIIAggCCAIBAgMCcwIeAAKRAgICUwIEAgUCBgIHAggCCQI4AgsCOQINAggCCAIIAggCCAIIAggCCAIIAggCCAIIAggCCAIIAggCCAIBAgMCcAIeAAKRAgICAwIEAgUCBgIHAggCCQI4AgsCOQINAggCCAIIAggCCAIIAggCCAIIAggCCAIIAggCCAIIAggCCAIBAgMCVwIeAAKRAgICKQIEAgUCBgIHAggCCQI9AgsCOQINAggCCAIIAggCCAIIAggCCAIIAggCCAIIAggCCAIIAggCCAIBAgMCdAIeAAKRAgICHQIEAgUCBgIHAggCCQI9AgsCOQINAggCCAIIAggCCAIIAggCCAIIAggCCAIIAggCCAIIAggCCAIBAgMCggIeAAKRAgICNQIEAgUCBgIHAggCCQI4AgsCOQINAggCCAIIAggCCAIIAggCCAIIAggCCAIIAggCCAIIAggCCAIBAgMCUAIeAAKRAgICKwIEAgUCBgIHAggCCQI9AgsCOQINAggCCAIIAggCCAIIAggCCAIIAggCCAIIAggCCAIIAggCCAIBAgMCdgIeAAKRAgICLQIEAgUCBgIHAggCCQI9AgsCOQINAggCCAIIAggCCAIIAggCCAIIAggCCAIIAggCCAIIAggCCAIBAgMCdwIeAAKRAgICPAIEAgUCBgIHAggCCQI4AgsCOQINAggCCAIIAggCCAIIAggCCAIIAggCCAIIAggCCAIIAggCCAIBAgMCeAIeAAKRAgICLwIEAgUCBgIHAggCCQIKAgsCOQINAggCCAIIAggCCAIIAggCCAIIAggCCAIIAggCCAIIAggCCAIBAgMCeQIeAAKRAgICagIEAgUCBgIHAggCCQI9AgsCOQINAggCCAIIAggCCAIIAggCCAIIAggCCAIIAggCCAIIAggCCAIBAgMCegIeAAKRAgICPwIEAgUCBgIHAggCCQI4AgsCOQINAggCCAIIAggCCAIIAggCCAIIAggCCAIIAggCCAIIAggCCAIBAgMCZwIeAAKRAgICYQIEAgUCBgIHAggCCQIKAgsCOQINAggCCAIIAggCCAIIAggCCAIIAggCCAIIAggCCAIIAggCCAIBAgMCgAIeAAKRAgICJQIEAgUCBgIHAggCCQI4AgsCOQINAggCCAIIAggCCAIIAggCCAIIAggCCAIIAggCCAIIAggCCAIBAgMCfgIeAAKRAgICQwIEAgUCBgIHAggCCQIKAgsCOQINAggCCAIIAggCCAIIAggCCAIIegAABAACCAIIAggCCAIIAggCCAIIAgECAwJ/Ah4AApECAgInAgQCBQIGAgcCCAIJAjgCCwI5Ag0CCAIIAggCCAIIAggCCAIIAggCCAIIAggCCAIIAggCCAIIAgECAwJQAh4AApECAgI8AgQCBQIGAgcCCAIJAgoCCwI5Ag0CCAIIAggCCAIIAggCCAIIAggCCAIIAggCCAIIAggCCAIIAgECAwJgAh4AApECAgJMAgQCBQIGAgcCCAIJAjgCCwI5Ag0CCAIIAggCCAIIAggCCAIIAggCCAIIAggCCAIIAggCCAIIAgECAwJZAh4AApECAgIjAgQCBQIGAgcCCAIJAj0CCwI5Ag0CCAIIAggCCAIIAggCCAIIAggCCAIIAggCCAIIAggCCAIIAgECAwKFAh4AApECAgIfAgQCBQIGAgcCCAIJAgoCCwI5Ag0CCAIIAggCCAIIAggCCAIIAggCCAIIAggCCAIIAggCCAIIAgECAwJYAh4AApECAgJjAgQCBQIGAgcCCAIJAj0CCwI5Ag0CCAIIAggCCAIIAggCCAIIAggCCAIIAggCCAIIAggCCAIIAgECAwKEAh4AApECAgItAgQCBQIGAgcCCAIJAgoCCwI5Ag0CCAIIAggCCAIIAggCCAIIAggCCAIIAggCCAIIAggCCAIIAgECAwJeAh4AApECAgJTAgQCBQIGAgcCCAIJAgoCCwI5Ag0CCAIIAggCCAIIAggCCAIIAggCCAIIAggCCAIIAggCCAIIAgECAwJbAh4AApECAgI1AgQCBQIGAgcCCAIJAgoCCwI5Ag0CCAIIAggCCAIIAggCCAIIAggCCAIIAggCCAIIAggCCAIIAgECAwJcAh4AApECAgKSAAYyMDE4MDQCBAIFAgYCBwIIAgkCOAILAjkCDQIIAggCCAIIAggCCAIIAggCCAIIAggCCAIIAggCCAIIAggCAQIDAlACHgACkQICAmMCBAIFAgYCBwIIAgkCOAILAjkCDQIIAggCCAIIAggCCAIIAggCCAIIAggCCAIIAggCCAIIAggCAQIDAmQCHgACkQICAkcCBAIFAgYCBwIIAgkCOAILAjkCDQIIAggCCAIIAggCCAIIAggCCAIIAggCCAIIAggCCAIIAggCAQIDAkgCHgACkQICAikCBAIFAgYCBwIIAgkCCgILAjkCDQIIAggCCAIIAggCCAIIAggCCAIIAggCCAIIAggCCAIIAggCAQIDAmgCHgACkQICAiMCBAIFAgYCBwIIAgkCOAILAjkCDQIIAggCCAIIAggCCAIIAggCCAIIAggCCAIIAggCCAIIAggCAQIDAl8CHgACkQICAjECBAIFAgYCBwIIAgkCOAILAjkCegAAAccNAggCCAIIAggCCAIIAggCCAIIAggCCAIIAggCCAIIAggCCAIBAgMCXQIeAAKRAgICMwIEAgUCBgIHAggCCQI9AgsCOQINAggCCAIIAggCCAIIAggCCAIIAggCCAIIAggCCAIIAggCCAIBAgMCZgIeAAKRAgICLwIEAgUCBgIHAggCCQI9AgsCOQINAggCCAIIAggCCAIIAggCCAIIAggCCAIIAggCCAIIAggCCAIBAgMCZQIeAAKRAgICYQIEAgUCBgIHAggCCQI9AgsCOQINAggCCAIIAggCCAIIAggCCAIIAggCCAIIAggCCAIIAggCCAIBAgMCYgIeAAKRAgICKwIEAgUCBgIHAggCCQIKAgsCOQINAggCCAIIAggCCAIIAggCCAIIAggCCAIIAggCCAIIAggCCAIBAgMCaQIeAAKRAgICagIEAgUCBgIHAggCCQIKAgsCOQINAggCCAIIAggCCAIIAggCCAIIAggCCAIIAggCCAIIAggCCAIBAgMCawIeAAKRAgICGwIEAgUCBgIHAggCCQI9AgsCOQINAggCCAIIAggCCAIIAggCCAIIAggCCAIIAggCCAIIAggCCAIBAgMCk3NxAH4AAAAAAAJzcQB+AAT///////////////7////+/////3VxAH4ABwAAAAQOU8mMeHh6AAACbQIeAAKRAgICHwIEAgUCBgIHAggCCQI4AgsCOQINAggCCAIIAggCCAIIAggCCAIIAggCCAIIAggCCAIIAggCCAIBAgMCdQIeAAKRAgICQQIEAgUCBgIHAggCCQIKAgsCOQINAggCCAIIAggCCAIIAggCCAIIAggCCAIIAggCCAIIAggCCAIBAgMCQgIeAAKRAgICIQIEAgUCBgIHAggCCQI9AgsCOQINAggCCAIIAggCCAIIAggCCAIIAggCCAIIAggCCAIIAggCCAIBAgMCbgIeAAKRAgICQwIEAgUCBgIHAggCCQI9AgsCOQINAggCCAIIAggCCAIIAggCCAIIAggCCAIIAggCCAIIAggCCAIBAgMCRAIeAAKRAgICSgIEAgUCBgIHAggCCQI9AgsCOQINAggCCAIIAggCCAIIAggCCAIIAggCCAIIAggCCAIIAggCCAIBAgMCbQIeAAKRAgICJQIEAgUCBgIHAggCCQIKAgsCOQINAggCCAIIAggCCAIIAggCCAIIAggCCAIIAggCCAIIAggCCAIBAgMCRQIeAAKRAgICKQIEAgUCBgIHAggCCQI4AgsCOQINAggCCAIIAggCCAIIAggCCAIIAggCCAIIAggCCAIIAggCCAIBAgMCUAIeAAKRAgICAwIEAgUCBgIHAggCCQI9AgsCOQINAggCCAIIAggCCAIIAggCCAIIAggCCAIIAggCCAIIAggCCAIBAgMCSQIeAAKRAgICkgIEAgUCBgIHAggCCQIKAgsCOQINAggCCAIIAggCCAIIAggCCAIIAggCCAIIAggCCAIIAggCCAIBAgMClHNxAH4AAAAAAAJzcQB+AAT///////////////7////+/////3VxAH4ABwAAAARaqchfeHh6AAACbQIeAAKRAgICSgIEAgUCBgIHAggCCQI4AgsCOQINAggCCAIIAggCCAIIAggCCAIIAggCCAIIAggCCAIIAggCCAIBAgMCSwIeAAKRAgICRwIEAgUCBgIHAggCCQIKAgsCOQINAggCCAIIAggCCAIIAggCCAIIAggCCAIIAggCCAIIAggCCAIBAgMCUgIeAAKRAgICLQIEAgUCBgIHAggCCQI4AgsCOQINAggCCAIIAggCCAIIAggCCAIIAggCCAIIAggCCAIIAggCCAIBAgMCUQIeAAKRAgICNQIEAgUCBgIHAggCCQI9AgsCOQINAggCCAIIAggCCAIIAggCCAIIAggCCAIIAggCCAIIAggCCAIBAgMCVQIeAAKRAgICMQIEAgUCBgIHAggCCQIKAgsCOQINAggCCAIIAggCCAIIAggCCAIIAggCCAIIAggCCAIIAggCCAIBAgMCTgIeAAKRAgICMwIEAgUCBgIHAggCCQIKAgsCOQINAggCCAIIAggCCAIIAggCCAIIAggCCAIIAggCCAIIAggCCAIBAgMCTwIeAAKRAgICUwIEAgUCBgIHAggCCQI9AgsCOQINAggCCAIIAggCCAIIAggCCAIIAggCCAIIAggCCAIIAggCCAIBAgMCVAIeAAKRAgICTAIEAgUCBgIHAggCCQI9AgsCOQINAggCCAIIAggCCAIIAggCCAIIAggCCAIIAggCCAIIAggCCAIBAgMCTQIeAAKRAgICGwIEAgUCBgIHAggCCQIKAgsCOQINAggCCAIIAggCCAIIAggCCAIIAggCCAIIAggCCAIIAggCCAIBAgMClXNxAH4AAAAAAAJzcQB+AAT///////////////7////+/////3VxAH4ABwAAAARSfqMaeHh6AAADPAIeAAKRAgICJQIEAgUCBgIHAggCCQI9AgsCOQINAggCCAIIAggCCAIIAggCCAIIAggCCAIIAggCCAIIAggCCAIBAgMCWgIeAAKRAgICagIEAgUCBgIHAggCCQI4AgsCOQINAggCCAIIAggCCAIIAggCCAIIAggCCAIIAggCCAIIAggCCAIBAgMChgIeAAKRAgICKwIEAgUCBgIHAggCCQI4AgsCOQINAggCCAIIAggCCAIIAggCCAIIAggCCAIIAggCCAIIAggCCAIBAgMCfAIeAAKRAgICPwIEAgUCBgIHAggCCQI9AgsCOQINAggCCAIIAggCCAIIAggCCAIIAggCCAIIAggCCAIIAggCCAIBAgMCgwIeAAKRAgICJwIEAgUCBgIHAggCCQI9AgsCOQINAggCCAIIAggCCAIIAggCCAIIAggCCAIIAggCCAIIAggCCAIBAgMChwIeAAKRAgICHQIEAgUCBgIHAggCCQI4AgsCOQINAggCCAIIAggCCAIIAggCCAIIAggCCAIIAggCCAIIAggCCAIBAgMCUAIeAAKRAgICIQIEAgUCBgIHAggCCQIKAgsCOQINAggCCAIIAggCCAIIAggCCAIIAggCCAIIAggCCAIIAggCCAIBAgMCfQIeAAKRAgICQQIEAgUCBgIHAggCCQI9AgsCOQINAggCCAIIAggCCAIIAggCCAIIAggCCAIIAggCCAIIAggCCAIBAgMCVgIeAAKRAgICSgIEAgUCBgIHAggCCQIKAgsCOQINAggCCAIIAggCCAIIAggCCAIIAggCCAIIAggCCAIIAggCCAIBAgMCiQIeAAKRAgICMQIEAgUCBgIHAggCCQI9AgsCOQINAggCCAIIAggCCAIIAggCCAIIAggCCAIIAggCCAIIAggCCAIBAgMCjQIeAAKRAgICMwIEAgUCBgIHAggCCQI4AgsCOQINAggCCAIIAggCCAIIAggCCAIIAggCCAIIAggCCAIIAggCCAIBAgMCgQIeAAKRAgICkgIEAgUCBgIHAggCCQI9AgsCOQINAggCCAIIAggCCAIIAggCCAIIAggCCAIIAggCCAIIAggCCAIBAgMClnNxAH4AAAAAAAJzcQB+AAT///////////////7////+/////3VxAH4ABwAAAAQHGT+ZeHh6AAAEAAIeAAKRAgICAwIEAgUCBgIHAggCCQIKAgsCOQINAggCCAIIAggCCAIIAggCCAIIAggCCAIIAggCCAIIAggCCAIBAgMCiwIeAAKRAgICTAIEAgUCBgIHAggCCQIKAgsCOQINAggCCAIIAggCCAIIAggCCAIIAggCCAIIAggCCAIIAggCCAIBAgMCigIeAAKRAgICQQIEAgUCBgIHAggCCQI4AgsCOQINAggCCAIIAggCCAIIAggCCAIIAggCCAIIAggCCAIIAggCCAIBAgMCjAIeAAKRAgICRwIEAgUCBgIHAggCCQI9AgsCOQINAggCCAIIAggCCAIIAggCCAIIAggCCAIIAggCCAIIAggCCAIBAgMCiAIeAAKRAgICGwIEAgUCBgIHAggCCQI4AgsCOQINAggCCAIIAggCCAIIAggCCAIIAggCCAIIAggCCAIIAggCCAIBAgMCUAIeAAKRAgICIQIEAgUCBgIHAggCCQI4AgsCOQINAggCCAIIAggCCAIIAggCCAIIAggCCAIIAggCCAIIAggCCAIBAgMCOgIeAAKRAgICPwIEAgUCBgIHAggCCQIKAgsCOQINAggCCAIIAggCCAIIAggCCAIIAggCCAIIAggCCAIIAggCCAIBAgMCQAIeAAKRAgICJwIEAgUCBgIHAggCCQIKAgsCOQINAggCCAIIAggCCAIIAggCCAIIAggCCAIIAggCCAIIAggCCAIBAgMCOwIeAAKRAgICHwIEAgUCBgIHAggCCQI9AgsCOQINAggCCAIIAggCCAIIAggCCAIIAggCCAIIAggCCAIIAggCCAIBAgMCRgIeAAKRAgICHQIEAgUCBgIHAggCCQIKAgsCOQINAggCCAIIAggCCAIIAggCCAIIAggCCAIIAggCCAIIAggCCAIBAgMCcQIeAAKRAgICQwIEAgUCBgIHAggCCQI4AgsCOQINAggCCAIIAggCCAIIAggCCAIIAggCCAIIAggCCAIIAggCCAIBAgMCewIeAAKRAgICLwIEAgUCBgIHAggCCQI4AgsCOQINAggCCAIIAggCCAIIAggCCAIIAggCCAIIAggCCAIIAggCCAIBAgMCbAIeAAKRAgICYQIEAgUCBgIHAggCCQI4AgsCOQINAggCCAIIAggCCAIIAggCCAIIAggCCAIIAggCCAIIAggCCAIBAgMCbwIeAAKRAgICIwIEAgUCBgIHAggCCQIKAgsCOQINAggCCAIIAggCCAIIAggCCAIIAggCCAIIAggCCAIIAggCCAIBAgMCcgIeAAKRAgICPAIEAgUCBgIHAggCCQI9AgsCOQINAggCCAIIAggCCAIIAggCCAIIAggCCAIIAggCCAJ3WwgCCAIIAgECAwI+Ah4AApcACTMxNjc4NjQ0MAICAiMCBAIFAgYCBwIIAgkCPQILAgwCDQIIAggCCAIIAggCCAIIAggCCAIIAggCCAIIAggCCAIIAggCIgIDAphzcQB+AAAAAAACc3EAfgAE///////////////+/////gAAAAF1cQB+AAcAAAAD/4leeHh3RQIeAAKXAgICMwIEAgUCBgIHAggCCQI9AgsCDAINAggCCAIIAggCCAIIAggCCAIIAggCCAIIAggCCAIIAggCCAIiAgMCmXNxAH4AAAAAAAJzcQB+AAT///////////////7////+AAAAAXVxAH4ABwAAAAQGG1pqeHh3RQIeAAKXAgICLQIEAgUCBgIHAggCCQI9AgsCDAINAggCCAIIAggCCAIIAggCCAIIAggCCAIIAggCCAIIAggCCAIiAgMCmnNxAH4AAAAAAAJzcQB+AAT///////////////7////+/////3VxAH4ABwAAAAQUOveDeHh3RQIeAAKXAgICKQIEAgUCBgIHAggCCQI9AgsCDAINAggCCAIIAggCCAIIAggCCAIIAggCCAIIAggCCAIIAggCCAIiAgMCm3NxAH4AAAAAAAJzcQB+AAT///////////////7////+/////3VxAH4ABwAAAAQKK9PneHh3RQIeAAKXAgICMQIEAgUCBgIHAggCCQI9AgsCDAINAggCCAIIAggCCAIIAggCCAIIAggCCAIIAggCCAIIAggCCAIiAgMCnHNxAH4AAAAAAAJzcQB+AAT///////////////7////+/////3VxAH4ABwAAAAQIvUgheHh3RQIeAAKXAgICAwIEAgUCBgIHAggCCQI9AgsCDAINAggCCAIIAggCCAIIAggCCAIIAggCCAIIAggCCAIIAggCCAIiAgMCnXNxAH4AAAAAAAJzcQB+AAT///////////////7////+/////3VxAH4ABwAAAAQC12dUeHh3RQIeAAKXAgICNQIEAgUCBgIHAggCCQI9AgsCDAINAggCCAIIAggCCAIIAggCCAIIAggCCAIIAggCCAIIAggCCAIiAgMCnnNxAH4AAAAAAAJzcQB+AAT///////////////7////+/////3VxAH4ABwAAAAQWt6iieHh3RQIeAAKXAgICHQIEAgUCBgIHAggCCQI9AgsCDAINAggCCAIIAggCCAIIAggCCAIIAggCCAIIAggCCAIIAggCCAIiAgMCn3NxAH4AAAAAAAJzcQB+AAT///////////////7////+/////3VxAH4ABwAAAAQQposkeHh3RQIeAAKXAgICJwIEAgUCBgIHAggCCQI9AgsCDAINAggCCAIIAggCCAIIAggCCAIIAggCCAIIAggCCAIIAggCCAIiAgMCoHNxAH4AAAAAAAJzcQB+AAT///////////////7////+/////3VxAH4ABwAAAAQewHRseHh3RQIeAAKXAgICLwIEAgUCBgIHAggCCQI9AgsCDAINAggCCAIIAggCCAIIAggCCAIIAggCCAIIAggCCAIIAggCCAIiAgMCoXNxAH4AAAAAAAJzcQB+AAT///////////////7////+/////3VxAH4ABwAAAANOuAp4eHdFAh4AApcCAgIrAgQCBQIGAgcCCAIJAj0CCwIMAg0CCAIIAggCCAIIAggCCAIIAggCCAIIAggCCAIIAggCCAIIAiICAwKic3EAfgAAAAAAAnNxAH4ABP///////////////v////4AAAABdXEAfgAHAAAABAJaEtJ4eHdFAh4AApcCAgIbAgQCBQIGAgcCCAIJAj0CCwIMAg0CCAIIAggCCAIIAggCCAIIAggCCAIIAggCCAIIAggCCAIIAiICAwKjc3EAfgAAAAAAAnNxAH4ABP///////////////v////7/////dXEAfgAHAAAABATh3pl4eHdFAh4AApcCAgIlAgQCBQIGAgcCCAIJAj0CCwIMAg0CCAIIAggCCAIIAggCCAIIAggCCAIIAggCCAIIAggCCAIIAiICAwKkc3EAfgAAAAAAAnNxAH4ABP///////////////v////7/////dXEAfgAHAAAABAUEo0F4eHdFAh4AApcCAgIhAgQCBQIGAgcCCAIJAj0CCwIMAg0CCAIIAggCCAIIAggCCAIIAggCCAIIAggCCAIIAggCCAIIAiICAwKlc3EAfgAAAAAAAnNxAH4ABP///////////////v////7/////dXEAfgAHAAAABA4LHEp4eHdFAh4AApcCAgIfAgQCBQIGAgcCCAIJAj0CCwIMAg0CCAIIAggCCAIIAggCCAIIAggCCAIIAggCCAIIAggCCAIIAiICAwKmc3EAfgAAAAAAAnNxAH4ABP///////////////v////7/////dXEAfgAHAAAABAFtStJ4eHoAAAQAAh4AAqcACTMzMDU2NDAwMAICAlMCBAIFAgYCBwIIAgkCCgILAjkCDQIIAggCCAIIAggCCAIIAggCCAIIAggCCAIIAggCCAIIAggCEgIDAlsCHgACpwICAjUCBAIFAgYCBwIIAgkCCgILAjkCDQIIAggCCAIIAggCCAIIAggCCAIIAggCCAIIAggCCAIIAggCEgIDAlwCHgACpwICAkcCBAIFAgYCBwIIAgkCOAILAjkCDQIIAggCCAIIAggCCAIIAggCCAIIAggCCAIIAggCCAIIAggCEgIDAkgCHgACpwICAjMCBAIFAgYCBwIIAgkCOAILAjkCDQIIAggCCAIIAggCCAIIAggCCAIIAggCCAIIAggCCAIIAggCEgIDAoECHgACpwICAjECBAIFAgYCBwIIAgkCOAILAjkCDQIIAggCCAIIAggCCAIIAggCCAIIAggCCAIIAggCCAIIAggCEgIDAl0CHgACpwICAkwCBAIFAgYCBwIIAgkCCgILAjkCDQIIAggCCAIIAggCCAIIAggCCAIIAggCCAIIAggCCAIIAggCEgIDAooCHgACpwICAmECBAIFAgYCBwIIAgkCPQILAjkCDQIIAggCCAIIAggCCAIIAggCCAIIAggCCAIIAggCCAIIAggCEgIDAmICHgACpwICAi8CBAIFAgYCBwIIAgkCPQILAjkCDQIIAggCCAIIAggCCAIIAggCCAIIAggCCAIIAggCCAIIAggCEgIDAmUCHgACpwICAgMCBAIFAgYCBwIIAgkCCgILAjkCDQIIAggCCAIIAggCCAIIAggCCAIIAggCCAIIAggCCAIIAggCEgIDAosCHgACpwICAhsCBAIFAgYCBwIIAgkCOAILAjkCDQIIAggCCAIIAggCCAIIAggCCAIIAggCCAIIAggCCAIIAggCEgIDAlACHgACpwICAh8CBAIFAgYCBwIIAgkCPQILAjkCDQIIAggCCAIIAggCCAIIAggCCAIIAggCCAIIAggCCAIIAggCEgIDAkYCHgACpwICAkECBAIFAgYCBwIIAgkCCgILAjkCDQIIAggCCAIIAggCCAIIAggCCAIIAggCCAIIAggCCAIIAggCEgIDAkICHgACpwICAj8CBAIFAgYCBwIIAgkCCgILAjkCDQIIAggCCAIIAggCCAIIAggCCAIIAggCCAIIAggCCAIIAggCEgIDAkACHgACpwICAiECBAIFAgYCBwIIAgkCOAILAjkCDQIIAggCCAIIAggCCAIIAggCCAIIAggCCAIIAggCCAIIAggCEgIDAjoCHgACpwICAiUCBAIFAgYCBwIIAgkCCgILAjkCDQIIAggCCAIIAggCCAIIAggCCHoAAAQAAggCCAIIAggCCAIIAggCCAISAgMCRQIeAAKnAgICQwIEAgUCBgIHAggCCQI9AgsCOQINAggCCAIIAggCCAIIAggCCAIIAggCCAIIAggCCAIIAggCCAISAgMCRAIeAAKnAgICJwIEAgUCBgIHAggCCQIKAgsCOQINAggCCAIIAggCCAIIAggCCAIIAggCCAIIAggCCAIIAggCCAISAgMCOwIeAAKnAgICPAIEAgUCBgIHAggCCQI9AgsCOQINAggCCAIIAggCCAIIAggCCAIIAggCCAIIAggCCAIIAggCCAISAgMCPgIeAAKnAgICAwIEAgUCBgIHAggCCQI9AgsCOQINAggCCAIIAggCCAIIAggCCAIIAggCCAIIAggCCAIIAggCCAISAgMCSQIeAAKnAgICTAIEAgUCBgIHAggCCQI9AgsCOQINAggCCAIIAggCCAIIAggCCAIIAggCCAIIAggCCAIIAggCCAISAgMCTQIeAAKnAgICUwIEAgUCBgIHAggCCQI4AgsCOQINAggCCAIIAggCCAIIAggCCAIIAggCCAIIAggCCAIIAggCCAISAgMCcAIeAAKnAgICNQIEAgUCBgIHAggCCQI4AgsCOQINAggCCAIIAggCCAIIAggCCAIIAggCCAIIAggCCAIIAggCCAISAgMCUAIeAAKnAgICHQIEAgUCBgIHAggCCQI9AgsCOQINAggCCAIIAggCCAIIAggCCAIIAggCCAIIAggCCAIIAggCCAISAgMCggIeAAKnAgICLQIEAgUCBgIHAggCCQI4AgsCOQINAggCCAIIAggCCAIIAggCCAIIAggCCAIIAggCCAIIAggCCAISAgMCUQIeAAKnAgICPAIEAgUCBgIHAggCCQI4AgsCOQINAggCCAIIAggCCAIIAggCCAIIAggCCAIIAggCCAIIAggCCAISAgMCeAIeAAKnAgICKQIEAgUCBgIHAggCCQI4AgsCOQINAggCCAIIAggCCAIIAggCCAIIAggCCAIIAggCCAIIAggCCAISAgMCUAIeAAKnAgICMwIEAgUCBgIHAggCCQIKAgsCOQINAggCCAIIAggCCAIIAggCCAIIAggCCAIIAggCCAIIAggCCAISAgMCTwIeAAKnAgICLwIEAgUCBgIHAggCCQIKAgsCOQINAggCCAIIAggCCAIIAggCCAIIAggCCAIIAggCCAIIAggCCAISAgMCeQIeAAKnAgICGwIEAgUCBgIHAggCCQIKAgsCOQINAggCCAIIAggCCAIIAggCCAIIAggCCAIIAggCCAIIAggCCAISAgMClQIeAAKnAgICIQIEAgUCBgIHAggCCQIKAgsCOQINAggCCAIIAnoAAAQACAIIAggCCAIIAggCCAIIAggCCAIIAggCCAIIAhICAwJ9Ah4AAqcCAgJDAgQCBQIGAgcCCAIJAgoCCwI5Ag0CCAIIAggCCAIIAggCCAIIAggCCAIIAggCCAIIAggCCAIIAhICAwJ/Ah4AAqcCAgJBAgQCBQIGAgcCCAIJAjgCCwI5Ag0CCAIIAggCCAIIAggCCAIIAggCCAIIAggCCAIIAggCCAIIAhICAwKMAh4AAqcCAgJqAgQCBQIGAgcCCAIJAjgCCwI5Ag0CCAIIAggCCAIIAggCCAIIAggCCAIIAggCCAIIAggCCAIIAhICAwKGAh4AAqcCAgJhAgQCBQIGAgcCCAIJAgoCCwI5Ag0CCAIIAggCCAIIAggCCAIIAggCCAIIAggCCAIIAggCCAIIAhICAwKAAh4AAqcCAgIrAgQCBQIGAgcCCAIJAjgCCwI5Ag0CCAIIAggCCAIIAggCCAIIAggCCAIIAggCCAIIAggCCAIIAhICAwJ8Ah4AAqcCAgIlAgQCBQIGAgcCCAIJAjgCCwI5Ag0CCAIIAggCCAIIAggCCAIIAggCCAIIAggCCAIIAggCCAIIAhICAwJ+Ah4AAqcCAgI/AgQCBQIGAgcCCAIJAj0CCwI5Ag0CCAIIAggCCAIIAggCCAIIAggCCAIIAggCCAIIAggCCAIIAhICAwKDAh4AAqcCAgIjAgQCBQIGAgcCCAIJAj0CCwI5Ag0CCAIIAggCCAIIAggCCAIIAggCCAIIAggCCAIIAggCCAIIAhICAwKFAh4AAqcCAgInAgQCBQIGAgcCCAIJAj0CCwI5Ag0CCAIIAggCCAIIAggCCAIIAggCCAIIAggCCAIIAggCCAIIAhICAwKHAh4AAqcCAgJjAgQCBQIGAgcCCAIJAj0CCwI5Ag0CCAIIAggCCAIIAggCCAIIAggCCAIIAggCCAIIAggCCAIIAhICAwKEAh4AAqcCAgJKAgQCBQIGAgcCCAIJAgoCCwI5Ag0CCAIIAggCCAIIAggCCAIIAggCCAIIAggCCAIIAggCCAIIAhICAwKJAh4AAqcCAgIpAgQCBQIGAgcCCAIJAgoCCwI5Ag0CCAIIAggCCAIIAggCCAIIAggCCAIIAggCCAIIAggCCAIIAhICAwJoAh4AAqcCAgIjAgQCBQIGAgcCCAIJAjgCCwI5Ag0CCAIIAggCCAIIAggCCAIIAggCCAIIAggCCAIIAggCCAIIAhICAwJfAh4AAqcCAgJjAgQCBQIGAgcCCAIJAjgCCwI5Ag0CCAIIAggCCAIIAggCCAIIAggCCAIIAggCCAIIAggCCAIIAhICAwJkAh4AAqcCAgIxAgQCBQIGAgcCCAIJAj0CC3oAAAQAAjkCDQIIAggCCAIIAggCCAIIAggCCAIIAggCCAIIAggCCAIIAggCEgIDAo0CHgACpwICAjMCBAIFAgYCBwIIAgkCPQILAjkCDQIIAggCCAIIAggCCAIIAggCCAIIAggCCAIIAggCCAIIAggCEgIDAmYCHgACpwICAkcCBAIFAgYCBwIIAgkCPQILAjkCDQIIAggCCAIIAggCCAIIAggCCAIIAggCCAIIAggCCAIIAggCEgIDAogCHgACpwICAisCBAIFAgYCBwIIAgkCCgILAjkCDQIIAggCCAIIAggCCAIIAggCCAIIAggCCAIIAggCCAIIAggCEgIDAmkCHgACpwICAi0CBAIFAgYCBwIIAgkCCgILAjkCDQIIAggCCAIIAggCCAIIAggCCAIIAggCCAIIAggCCAIIAggCEgIDAl4CHgACpwICAkMCBAIFAgYCBwIIAgkCOAILAjkCDQIIAggCCAIIAggCCAIIAggCCAIIAggCCAIIAggCCAIIAggCEgIDAnsCHgACpwICAmoCBAIFAgYCBwIIAgkCCgILAjkCDQIIAggCCAIIAggCCAIIAggCCAIIAggCCAIIAggCCAIIAggCEgIDAmsCHgACpwICAhsCBAIFAgYCBwIIAgkCPQILAjkCDQIIAggCCAIIAggCCAIIAggCCAIIAggCCAIIAggCCAIIAggCEgIDApMCHgACpwICAi8CBAIFAgYCBwIIAgkCOAILAjkCDQIIAggCCAIIAggCCAIIAggCCAIIAggCCAIIAggCCAIIAggCEgIDAmwCHgACpwICAikCBAIFAgYCBwIIAgkCPQILAjkCDQIIAggCCAIIAggCCAIIAggCCAIIAggCCAIIAggCCAIIAggCEgIDAnQCHgACpwICAh8CBAIFAgYCBwIIAgkCOAILAjkCDQIIAggCCAIIAggCCAIIAggCCAIIAggCCAIIAggCCAIIAggCEgIDAnUCHgACpwICAiECBAIFAgYCBwIIAgkCPQILAjkCDQIIAggCCAIIAggCCAIIAggCCAIIAggCCAIIAggCCAIIAggCEgIDAm4CHgACpwICAmECBAIFAgYCBwIIAgkCOAILAjkCDQIIAggCCAIIAggCCAIIAggCCAIIAggCCAIIAggCCAIIAggCEgIDAm8CHgACpwICAh0CBAIFAgYCBwIIAgkCCgILAjkCDQIIAggCCAIIAggCCAIIAggCCAIIAggCCAIIAggCCAIIAggCEgIDAnECHgACpwICAiMCBAIFAgYCBwIIAgkCCgILAjkCDQIIAggCCAIIAggCCAIIAggCCAIIAggCCAIIAggCCAIIAggCEgIDAnICHgACpwICAkoCBAIFAnoAAAQABgIHAggCCQI9AgsCOQINAggCCAIIAggCCAIIAggCCAIIAggCCAIIAggCCAIIAggCCAISAgMCbQIeAAKnAgICSgIEAgUCBgIHAggCCQI4AgsCOQINAggCCAIIAggCCAIIAggCCAIIAggCCAIIAggCCAIIAggCCAISAgMCSwIeAAKnAgICYwIEAgUCBgIHAggCCQIKAgsCOQINAggCCAIIAggCCAIIAggCCAIIAggCCAIIAggCCAIIAggCCAISAgMCcwIeAAKnAgICRwIEAgUCBgIHAggCCQIKAgsCOQINAggCCAIIAggCCAIIAggCCAIIAggCCAIIAggCCAIIAggCCAISAgMCUgIeAAKnAgICAwIEAgUCBgIHAggCCQI4AgsCOQINAggCCAIIAggCCAIIAggCCAIIAggCCAIIAggCCAIIAggCCAISAgMCVwIeAAKnAgICKwIEAgUCBgIHAggCCQI9AgsCOQINAggCCAIIAggCCAIIAggCCAIIAggCCAIIAggCCAIIAggCCAISAgMCdgIeAAKnAgICNQIEAgUCBgIHAggCCQI9AgsCOQINAggCCAIIAggCCAIIAggCCAIIAggCCAIIAggCCAIIAggCCAISAgMCVQIeAAKnAgICagIEAgUCBgIHAggCCQI9AgsCOQINAggCCAIIAggCCAIIAggCCAIIAggCCAIIAggCCAIIAggCCAISAgMCegIeAAKnAgICUwIEAgUCBgIHAggCCQI9AgsCOQINAggCCAIIAggCCAIIAggCCAIIAggCCAIIAggCCAIIAggCCAISAgMCVAIeAAKnAgICLQIEAgUCBgIHAggCCQI9AgsCOQINAggCCAIIAggCCAIIAggCCAIIAggCCAIIAggCCAIIAggCCAISAgMCdwIeAAKnAgICPwIEAgUCBgIHAggCCQI4AgsCOQINAggCCAIIAggCCAIIAggCCAIIAggCCAIIAggCCAIIAggCCAISAgMCZwIeAAKnAgICMQIEAgUCBgIHAggCCQIKAgsCOQINAggCCAIIAggCCAIIAggCCAIIAggCCAIIAggCCAIIAggCCAISAgMCTgIeAAKnAgICJQIEAgUCBgIHAggCCQI9AgsCOQINAggCCAIIAggCCAIIAggCCAIIAggCCAIIAggCCAIIAggCCAISAgMCWgIeAAKnAgICJwIEAgUCBgIHAggCCQI4AgsCOQINAggCCAIIAggCCAIIAggCCAIIAggCCAIIAggCCAIIAggCCAISAgMCUAIeAAKnAgICHwIEAgUCBgIHAggCCQIKAgsCOQINAggCCAIIAggCCAIIAggCCAIIAggCCAIIAggCCAIIAggCCAISAgMCWAIeAHoAAAQAAqcCAgI8AgQCBQIGAgcCCAIJAgoCCwI5Ag0CCAIIAggCCAIIAggCCAIIAggCCAIIAggCCAIIAggCCAIIAhICAwJgAh4AAqcCAgIdAgQCBQIGAgcCCAIJAjgCCwI5Ag0CCAIIAggCCAIIAggCCAIIAggCCAIIAggCCAIIAggCCAIIAhICAwJQAh4AAqcCAgJMAgQCBQIGAgcCCAIJAjgCCwI5Ag0CCAIIAggCCAIIAggCCAIIAggCCAIIAggCCAIIAggCCAIIAhICAwJZAh4AAqcCAgJBAgQCBQIGAgcCCAIJAj0CCwI5Ag0CCAIIAggCCAIIAggCCAIIAggCCAIIAggCCAIIAggCCAIIAhICAwJWAh4AAqgACTMxNjc4Mjk2MAICAjUCBAIFAgYCBwIIAgkCCgILAjkCDQIIAggCCAIIAggCCAIIAggCCAIIAggCCAIIAggCCAIIAggCDgIDAlwCHgACqAICAikCBAIFAgYCBwIIAgkCCgILAjkCDQIIAggCCAIIAggCCAIIAggCCAIIAggCCAIIAggCCAIIAggCDgIDAmgCHgACqAICAjMCBAIFAgYCBwIIAgkCCgILAjkCDQIIAggCCAIIAggCCAIIAggCCAIIAggCCAIIAggCCAIIAggCDgIDAk8CHgACqAICAiMCBAIFAgYCBwIIAgkCCgILAjkCDQIIAggCCAIIAggCCAIIAggCCAIIAggCCAIIAggCCAIIAggCDgIDAnICHgACqAICAgMCBAIFAgYCBwIIAgkCCgILAjkCDQIIAggCCAIIAggCCAIIAggCCAIIAggCCAIIAggCCAIIAggCDgIDAosCHgACqAICAi0CBAIFAgYCBwIIAgkCCgILAjkCDQIIAggCCAIIAggCCAIIAggCCAIIAggCCAIIAggCCAIIAggCDgIDAl4CHgACqAICAjECBAIFAgYCBwIIAgkCCgILAjkCDQIIAggCCAIIAggCCAIIAggCCAIIAggCCAIIAggCCAIIAggCDgIDAk4CHgACqAICAh8CBAIFAgYCBwIIAgkCCgILAjkCDQIIAggCCAIIAggCCAIIAggCCAIIAggCCAIIAggCCAIIAggCDgIDAlgCHgACqAICAisCBAIFAgYCBwIIAgkCCgILAjkCDQIIAggCCAIIAggCCAIIAggCCAIIAggCCAIIAggCCAIIAggCDgIDAmkCHgACqAICAhsCBAIFAgYCBwIIAgkCCgILAjkCDQIIAggCCAIIAggCCAIIAggCCAIIAggCCAIIAggCCAIIAggCDgIDApUCHgACqAICAh0CBAIFAgYCBwIIAgkCCgILAjkCDQIIAggCCAIIAggCCAIIAggCCAIIAnoAAAF/CAIIAggCCAIIAggCCAIOAgMCcQIeAAKoAgICLwIEAgUCBgIHAggCCQIKAgsCOQINAggCCAIIAggCCAIIAggCCAIIAggCCAIIAggCCAIIAggCCAIOAgMCeQIeAAKoAgICJwIEAgUCBgIHAggCCQIKAgsCOQINAggCCAIIAggCCAIIAggCCAIIAggCCAIIAggCCAIIAggCCAIOAgMCOwIeAAKoAgICJQIEAgUCBgIHAggCCQIKAgsCOQINAggCCAIIAggCCAIIAggCCAIIAggCCAIIAggCCAIIAggCCAIOAgMCRQIeAAKoAgICIQIEAgUCBgIHAggCCQIKAgsCOQINAggCCAIIAggCCAIIAggCCAIIAggCCAIIAggCCAIIAggCCAIOAgMCfQIeAAKpAAkzMzA1NjUxNjACAgJjAgQCBQIGAgcCCAIJAqoABjE5MTAxNQILAgwCDQIIAggCCAIIAggCCAIIAggCCAIIAggCCAIIAggCCAIIAggCEwIDAqtzcQB+AAAAAAACc3EAfgAE///////////////+/////v////91cQB+AAcAAAADEmtYeHh3RQIeAAKpAgICIwIEAgUCBgIHAggCCQKqAgsCDAINAggCCAIIAggCCAIIAggCCAIIAggCCAIIAggCCAIIAggCCAITAgMCrHNxAH4AAAAAAAJzcQB+AAT///////////////7////+/////3VxAH4ABwAAAAMSnq94eHeKAh4AAqkCAgItAgQCBQIGAgcCCAIJAj0CCwIMAg0CCAIIAggCCAIIAggCCAIIAggCCAIIAggCCAIIAggCCAIIAhMCAwKaAh4AAqkCAgJKAgQCBQIGAgcCCAIJAj0CCwIMAg0CCAIIAggCCAIIAggCCAIIAggCCAIIAggCCAIIAggCCAIIAhMCAwKtc3EAfgAAAAAAAnNxAH4ABP///////////////v////7/////dXEAfgAHAAAAAzL3EXh4egAAARQCHgACqQICAh0CBAIFAgYCBwIIAgkCCgILAgwCDQIIAggCCAIIAggCCAIIAggCCAIIAggCCAIIAggCCAIIAggCEwIDAh4CHgACqQICAisCBAIFAgYCBwIIAgkCCgILAgwCDQIIAggCCAIIAggCCAIIAggCCAIIAggCCAIIAggCCAIIAggCEwIDAiwCHgACqQICAhsCBAIFAgYCBwIIAgkCPQILAgwCDQIIAggCCAIIAggCCAIIAggCCAIIAggCCAIIAggCCAIIAggCEwIDAqMCHgACqQICAmECBAIFAgYCBwIIAgkCqgILAgwCDQIIAggCCAIIAggCCAIIAggCCAIIAggCCAIIAggCCAIIAggCEwIDAq5zcQB+AAAAAAACc3EAfgAE///////////////+/////v////91cQB+AAcAAAADEmdreHh3RQIeAAKpAgICagIEAgUCBgIHAggCCQIKAgsCDAINAggCCAIIAggCCAIIAggCCAIIAggCCAIIAggCCAIIAggCCAITAgMCr3NxAH4AAAAAAAJzcQB+AAT///////////////7////+/////3VxAH4ABwAAAAQx77UZeHh3RQIeAAKpAgICagIEAgUCBgIHAggCCQKqAgsCDAINAggCCAIIAggCCAIIAggCCAIIAggCCAIIAggCCAIIAggCCAITAgMCsHNxAH4AAAAAAAJzcQB+AAT///////////////7////+/////3VxAH4ABwAAAAMSb0Z4eHeKAh4AAqkCAgIdAgQCBQIGAgcCCAIJAj0CCwIMAg0CCAIIAggCCAIIAggCCAIIAggCCAIIAggCCAIIAggCCAIIAhMCAwKfAh4AAqkCAgIrAgQCBQIGAgcCCAIJAqoCCwIMAg0CCAIIAggCCAIIAggCCAIIAggCCAIIAggCCAIIAggCCAIIAhMCAwKxc3EAfgAAAAAAAnNxAH4ABP///////////////v////7/////dXEAfgAHAAAAAxKiqHh4d88CHgACqQICAikCBAIFAgYCBwIIAgkCCgILAgwCDQIIAggCCAIIAggCCAIIAggCCAIIAggCCAIIAggCCAIIAggCEwIDAioCHgACqQICAjECBAIFAgYCBwIIAgkCPQILAgwCDQIIAggCCAIIAggCCAIIAggCCAIIAggCCAIIAggCCAIIAggCEwIDApwCHgACqQICAh8CBAIFAgYCBwIIAgkCqgILAgwCDQIIAggCCAIIAggCCAIIAggCCAIIAggCCAIIAggCCAIIAggCEwIDArJzcQB+AAAAAAACc3EAfgAE///////////////+/////v////91cQB+AAcAAAADEpbAeHh3RQIeAAKpAgICQwIEAgUCBgIHAggCCQKqAgsCDAINAggCCAIIAggCCAIIAggCCAIIAggCCAIIAggCCAIIAggCCAITAgMCs3NxAH4AAAAAAAJzcQB+AAT///////////////7////+/////3VxAH4ABwAAAAMSfwZ4eHdFAh4AAqkCAgJKAgQCBQIGAgcCCAIJAgoCCwIMAg0CCAIIAggCCAIIAggCCAIIAggCCAIIAggCCAIIAggCCAIIAhMCAwK0c3EAfgAAAAAAAnNxAH4ABP///////////////v////7/////dXEAfgAHAAAABDO8lpJ4eHdFAh4AAqkCAgJKAgQCBQIGAgcCCAIJAqoCCwIMAg0CCAIIAggCCAIIAggCCAIIAggCCAIIAggCCAIIAggCCAIIAhMCAwK1c3EAfgAAAAAAAnNxAH4ABP///////////////v////7/////dXEAfgAHAAAAAxJzNXh4d0UCHgACqQICAkMCBAIFAgYCBwIIAgkCCgILAgwCDQIIAggCCAIIAggCCAIIAggCCAIIAggCCAIIAggCCAIIAggCEwIDArZzcQB+AAAAAAACc3EAfgAE///////////////+/////v////91cQB+AAcAAAAEFay1n3h4d0UCHgACqQICAjwCBAIFAgYCBwIIAgkCqgILAgwCDQIIAggCCAIIAggCCAIIAggCCAIIAggCCAIIAggCCAIIAggCEwIDArdzcQB+AAAAAAACc3EAfgAE///////////////+/////v////91cQB+AAcAAAADEmN/eHh3zwIeAAKpAgICMwIEAgUCBgIHAggCCQI9AgsCDAINAggCCAIIAggCCAIIAggCCAIIAggCCAIIAggCCAIIAggCCAITAgMCmQIeAAKpAgICIwIEAgUCBgIHAggCCQI9AgsCDAINAggCCAIIAggCCAIIAggCCAIIAggCCAIIAggCCAIIAggCCAITAgMCmAIeAAKpAgICYwIEAgUCBgIHAggCCQI9AgsCDAINAggCCAIIAggCCAIIAggCCAIIAggCCAIIAggCCAIIAggCCAITAgMCuHNxAH4AAAAAAAJzcQB+AAT///////////////7////+/////3VxAH4ABwAAAAQBBpRgeHh3igIeAAKpAgICNQIEAgUCBgIHAggCCQKqAgsCDAINAggCCAIIAggCCAIIAggCCAIIAggCCAIIAggCCAIIAggCCAITAgMCUAIeAAKpAgICLQIEAgUCBgIHAggCCQKqAgsCDAINAggCCAIIAggCCAIIAggCCAIIAggCCAIIAggCCAIIAggCCAITAgMCuXNxAH4AAAAAAAJzcQB+AAT///////////////7////+/////3VxAH4ABwAAAAMSgvh4eHoAAAGeAh4AAqkCAgIbAgQCBQIGAgcCCAIJAgoCCwIMAg0CCAIIAggCCAIIAggCCAIIAggCCAIIAggCCAIIAggCCAIIAhMCAwIcAh4AAqkCAgIhAgQCBQIGAgcCCAIJAgoCCwIMAg0CCAIIAggCCAIIAggCCAIIAggCCAIIAggCCAIIAggCCAIIAhMCAwIiAh4AAqkCAgIpAgQCBQIGAgcCCAIJAqoCCwIMAg0CCAIIAggCCAIIAggCCAIIAggCCAIIAggCCAIIAggCCAIIAhMCAwJQAh4AAqkCAgItAgQCBQIGAgcCCAIJAgoCCwIMAg0CCAIIAggCCAIIAggCCAIIAggCCAIIAggCCAIIAggCCAIIAhMCAwIuAh4AAqkCAgI1AgQCBQIGAgcCCAIJAgoCCwIMAg0CCAIIAggCCAIIAggCCAIIAggCCAIIAggCCAIIAggCCAIIAhMCAwI2Ah4AAqkCAgJTAgQCBQIGAgcCCAIJAgoCCwIMAg0CCAIIAggCCAIIAggCCAIIAggCCAIIAggCCAIIAggCCAIIAhMCAwK6c3EAfgAAAAAAAnNxAH4ABP///////////////v////7/////dXEAfgAHAAAABAvREnR4eHdFAh4AAqkCAgJhAgQCBQIGAgcCCAIJAgoCCwIMAg0CCAIIAggCCAIIAggCCAIIAggCCAIIAggCCAIIAggCCAIIAhMCAwK7c3EAfgAAAAAAAnNxAH4ABP///////////////v////7/////dXEAfgAHAAAABCsQC1F4eHdFAh4AAqkCAgJTAgQCBQIGAgcCCAIJAqoCCwIMAg0CCAIIAggCCAIIAggCCAIIAggCCAIIAggCCAIIAggCCAIIAhMCAwK8c3EAfgAAAAAAAnNxAH4ABP///////////////v////7/////dXEAfgAHAAAAAxJ7FXh4d0UCHgACqQICAi8CBAIFAgYCBwIIAgkCqgILAgwCDQIIAggCCAIIAggCCAIIAggCCAIIAggCCAIIAggCCAIIAggCEwIDAr1zcQB+AAAAAAACc3EAfgAE///////////////+/////v////91cQB+AAcAAAADEpq3eHh3zwIeAAKpAgICLwIEAgUCBgIHAggCCQIKAgsCDAINAggCCAIIAggCCAIIAggCCAIIAggCCAIIAggCCAIIAggCCAITAgMCMAIeAAKpAgICIQIEAgUCBgIHAggCCQI9AgsCDAINAggCCAIIAggCCAIIAggCCAIIAggCCAIIAggCCAIIAggCCAITAgMCpQIeAAKpAgICTAIEAgUCBgIHAggCCQI9AgsCDAINAggCCAIIAggCCAIIAggCCAIIAggCCAIIAggCCAIIAggCCAITAgMCvnNxAH4AAAAAAAJzcQB+AAT///////////////7////+/////3VxAH4ABwAAAAQCUB7peHh3igIeAAKpAgICAwIEAgUCBgIHAggCCQI9AgsCDAINAggCCAIIAggCCAIIAggCCAIIAggCCAIIAggCCAIIAggCCAITAgMCnQIeAAKpAgICQwIEAgUCBgIHAggCCQI9AgsCDAINAggCCAIIAggCCAIIAggCCAIIAggCCAIIAggCCAIIAggCCAITAgMCv3NxAH4AAAAAAAJzcQB+AAT///////////////7////+/////3VxAH4ABwAAAAQdEKl0eHh3RQIeAAKpAgICJQIEAgUCBgIHAggCCQKqAgsCDAINAggCCAIIAggCCAIIAggCCAIIAggCCAIIAggCCAIIAggCCAITAgMCwHNxAH4AAAAAAAJzcQB+AAT///////////////7////+/////3VxAH4ABwAAAAMSjtR4eHdFAh4AAqkCAgJBAgQCBQIGAgcCCAIJAqoCCwIMAg0CCAIIAggCCAIIAggCCAIIAggCCAIIAggCCAIIAggCCAIIAhMCAwLBc3EAfgAAAAAAAnNxAH4ABP///////////////v////7/////dXEAfgAHAAAAAxJbqXh4d0UCHgACqQICAkECBAIFAgYCBwIIAgkCCgILAgwCDQIIAggCCAIIAggCCAIIAggCCAIIAggCCAIIAggCCAIIAggCEwIDAsJzcQB+AAAAAAACc3EAfgAE///////////////+/////v////91cQB+AAcAAAAEHq4JT3h4d4oCHgACqQICAiUCBAIFAgYCBwIIAgkCCgILAgwCDQIIAggCCAIIAggCCAIIAggCCAIIAggCCAIIAggCCAIIAggCEwIDAiYCHgACqQICAjMCBAIFAgYCBwIIAgkCqgILAgwCDQIIAggCCAIIAggCCAIIAggCCAIIAggCCAIIAggCCAIIAggCEwIDAsNzcQB+AAAAAAACc3EAfgAE///////////////+/////v////91cQB+AAcAAAADEqaieHh3RQIeAAKpAgICUwIEAgUCBgIHAggCCQI9AgsCDAINAggCCAIIAggCCAIIAggCCAIIAggCCAIIAggCCAIIAggCCAITAgMCxHNxAH4AAAAAAAJzcQB+AAT///////////////7////+/////3VxAH4ABwAAAAQlkNH7eHh3RQIeAAKpAgICPAIEAgUCBgIHAggCCQI9AgsCDAINAggCCAIIAggCCAIIAggCCAIIAggCCAIIAggCCAIIAggCCAITAgMCxXNxAH4AAAAAAAJzcQB+AAT///////////////7////+/////3VxAH4ABwAAAAQBzUp3eHh6AAABFAIeAAKpAgICNQIEAgUCBgIHAggCCQI9AgsCDAINAggCCAIIAggCCAIIAggCCAIIAggCCAIIAggCCAIIAggCCAITAgMCngIeAAKpAgICHwIEAgUCBgIHAggCCQI9AgsCDAINAggCCAIIAggCCAIIAggCCAIIAggCCAIIAggCCAIIAggCCAITAgMCpgIeAAKpAgICMwIEAgUCBgIHAggCCQIKAgsCDAINAggCCAIIAggCCAIIAggCCAIIAggCCAIIAggCCAIIAggCCAITAgMCNAIeAAKpAgICMQIEAgUCBgIHAggCCQKqAgsCDAINAggCCAIIAggCCAIIAggCCAIIAggCCAIIAggCCAIIAggCCAITAgMCxnNxAH4AAAAAAAJzcQB+AAT///////////////7////+/////3VxAH4ABwAAAAMSit94eHdFAh4AAqkCAgJHAgQCBQIGAgcCCAIJAgoCCwIMAg0CCAIIAggCCAIIAggCCAIIAggCCAIIAggCCAIIAggCCAIIAhMCAwLHc3EAfgAAAAAAAnNxAH4ABP///////////////v////7/////dXEAfgAHAAAABBuzHlx4eHdFAh4AAqkCAgJMAgQCBQIGAgcCCAIJAgoCCwIMAg0CCAIIAggCCAIIAggCCAIIAggCCAIIAggCCAIIAggCCAIIAhMCAwLIc3EAfgAAAAAAAnNxAH4ABP///////////////v////7/////dXEAfgAHAAAABCPGeP14eHdFAh4AAqkCAgJHAgQCBQIGAgcCCAIJAqoCCwIMAg0CCAIIAggCCAIIAggCCAIIAggCCAIIAggCCAIIAggCCAIIAhMCAwLJc3EAfgAAAAAAAnNxAH4ABP///////////////v////7/////dXEAfgAHAAAAAxJXv3h4d0UCHgACqQICAmECBAIFAgYCBwIIAgkCPQILAgwCDQIIAggCCAIIAggCCAIIAggCCAIIAggCCAIIAggCCAIIAggCEwIDAspzcQB+AAAAAAACc3EAfgAE///////////////+/////v////91cQB+AAcAAAAEAWTK8nh4egAAARQCHgACqQICAgMCBAIFAgYCBwIIAgkCCgILAgwCDQIIAggCCAIIAggCCAIIAggCCAIIAggCCAIIAggCCAIIAggCEwIDAg4CHgACqQICAicCBAIFAgYCBwIIAgkCPQILAgwCDQIIAggCCAIIAggCCAIIAggCCAIIAggCCAIIAggCCAIIAggCEwIDAqACHgACqQICAi8CBAIFAgYCBwIIAgkCPQILAgwCDQIIAggCCAIIAggCCAIIAggCCAIIAggCCAIIAggCCAIIAggCEwIDAqECHgACqQICAj8CBAIFAgYCBwIIAgkCPQILAgwCDQIIAggCCAIIAggCCAIIAggCCAIIAggCCAIIAggCCAIIAggCEwIDAstzcQB+AAAAAAACc3EAfgAE///////////////+/////gAAAAF1cQB+AAcAAAADuXJ8eHh3RQIeAAKpAgICIQIEAgUCBgIHAggCCQKqAgsCDAINAggCCAIIAggCCAIIAggCCAIIAggCCAIIAggCCAIIAggCCAITAgMCzHNxAH4AAAAAAAJzcQB+AAT///////////////7////+/////3VxAH4ABwAAAAMShut4eHeKAh4AAqkCAgIbAgQCBQIGAgcCCAIJAqoCCwIMAg0CCAIIAggCCAIIAggCCAIIAggCCAIIAggCCAIIAggCCAIIAhMCAwJQAh4AAqkCAgJBAgQCBQIGAgcCCAIJAj0CCwIMAg0CCAIIAggCCAIIAggCCAIIAggCCAIIAggCCAIIAggCCAIIAhMCAwLNc3EAfgAAAAAAAnNxAH4ABP///////////////v////7/////dXEAfgAHAAAABAL7S4t4eHdFAh4AAqkCAgI8AgQCBQIGAgcCCAIJAgoCCwIMAg0CCAIIAggCCAIIAggCCAIIAggCCAIIAggCCAIIAggCCAIIAhMCAwLOc3EAfgAAAAAAAnNxAH4ABP///////////////v////7/////dXEAfgAHAAAABCYvMsJ4eHfPAh4AAqkCAgIfAgQCBQIGAgcCCAIJAgoCCwIMAg0CCAIIAggCCAIIAggCCAIIAggCCAIIAggCCAIIAggCCAIIAhMCAwIgAh4AAqkCAgIlAgQCBQIGAgcCCAIJAj0CCwIMAg0CCAIIAggCCAIIAggCCAIIAggCCAIIAggCCAIIAggCCAIIAhMCAwKkAh4AAqkCAgJHAgQCBQIGAgcCCAIJAj0CCwIMAg0CCAIIAggCCAIIAggCCAIIAggCCAIIAggCCAIIAggCCAIIAhMCAwLPc3EAfgAAAAAAAnNxAH4ABP///////////////v////7/////dXEAfgAHAAAABARbkhB4eHdFAh4AAqkCAgIDAgQCBQIGAgcCCAIJAqoCCwIMAg0CCAIIAggCCAIIAggCCAIIAggCCAIIAggCCAIIAggCCAIIAhMCAwLQc3EAfgAAAAAAAnNxAH4ABP///////////////v////7/////dXEAfgAHAAAAAxKSynh4d0UCHgACqQICAkwCBAIFAgYCBwIIAgkCqgILAgwCDQIIAggCCAIIAggCCAIIAggCCAIIAggCCAIIAggCCAIIAggCEwIDAtFzcQB+AAAAAAACc3EAfgAE///////////////+/////v////91cQB+AAcAAAADEl+UeHh3RQIeAAKpAgICPwIEAgUCBgIHAggCCQKqAgsCDAINAggCCAIIAggCCAIIAggCCAIIAggCCAIIAggCCAIIAggCCAITAgMC0nNxAH4AAAAAAAJzcQB+AAT///////////////7////+/////3VxAH4ABwAAAAMSdyV4eHfPAh4AAqkCAgInAgQCBQIGAgcCCAIJAqoCCwIMAg0CCAIIAggCCAIIAggCCAIIAggCCAIIAggCCAIIAggCCAIIAhMCAwJQAh4AAqkCAgIxAgQCBQIGAgcCCAIJAgoCCwIMAg0CCAIIAggCCAIIAggCCAIIAggCCAIIAggCCAIIAggCCAIIAhMCAwIyAh4AAqkCAgJqAgQCBQIGAgcCCAIJAj0CCwIMAg0CCAIIAggCCAIIAggCCAIIAggCCAIIAggCCAIIAggCCAIIAhMCAwLTc3EAfgAAAAAAAnNxAH4ABP///////////////v////7/////dXEAfgAHAAAAA56yqnh4egAAARQCHgACqQICAisCBAIFAgYCBwIIAgkCPQILAgwCDQIIAggCCAIIAggCCAIIAggCCAIIAggCCAIIAggCCAIIAggCEwIDAqICHgACqQICAh0CBAIFAgYCBwIIAgkCqgILAgwCDQIIAggCCAIIAggCCAIIAggCCAIIAggCCAIIAggCCAIIAggCEwIDAlACHgACqQICAicCBAIFAgYCBwIIAgkCCgILAgwCDQIIAggCCAIIAggCCAIIAggCCAIIAggCCAIIAggCCAIIAggCEwIDAigCHgACqQICAmMCBAIFAgYCBwIIAgkCCgILAgwCDQIIAggCCAIIAggCCAIIAggCCAIIAggCCAIIAggCCAIIAggCEwIDAtRzcQB+AAAAAAACc3EAfgAE///////////////+/////v////91cQB+AAcAAAAELv3gknh4d0UCHgACqQICAj8CBAIFAgYCBwIIAgkCCgILAgwCDQIIAggCCAIIAggCCAIIAggCCAIIAggCCAIIAggCCAIIAggCEwIDAtVzcQB+AAAAAAACc3EAfgAE///////////////+/////v////91cQB+AAcAAAAENJhHI3h4egAABAACHgACqQICAiMCBAIFAgYCBwIIAgkCCgILAgwCDQIIAggCCAIIAggCCAIIAggCCAIIAggCCAIIAggCCAIIAggCEwIDAiQCHgACqQICAikCBAIFAgYCBwIIAgkCPQILAgwCDQIIAggCCAIIAggCCAIIAggCCAIIAggCCAIIAggCCAIIAggCEwIDApsCHgAC1gAJNDIxMjA5NDE2AgICSgIEAgUCBgIHAggCCQI9AgsCDAINAggCCAIIAggCCAIIAggCCAIIAggCCAIIAggCCAIIAggCCAIVAgMCrQIeAALWAgICLQIEAgUCBgIHAggCCQI9AgsCDAINAggCCAIIAggCCAIIAggCCAIIAggCCAIIAggCCAIIAggCCAIVAgMCmgIeAALWAgICYwIEAgUCBgIHAggCCQIKAgsCDAINAggCCAIIAggCCAIIAggCCAIIAggCCAIIAggCCAIIAggCCAIVAgMC1AIeAALWAgICYwIEAgUCBgIHAggCCQKqAgsCDAINAggCCAIIAggCCAIIAggCCAIIAggCCAIIAggCCAIIAggCCAIVAgMCqwIeAALWAgICKQIEAgUCBgIHAggCCQI9AgsCDAINAggCCAIIAggCCAIIAggCCAIIAggCCAIIAggCCAIIAggCCAIVAgMCmwIeAALWAgICYQIEAgUCBgIHAggCCQKqAgsCDAINAggCCAIIAggCCAIIAggCCAIIAggCCAIIAggCCAIIAggCCAIVAgMCrgIeAALWAgICLwIEAgUCBgIHAggCCQKqAgsCDAINAggCCAIIAggCCAIIAggCCAIIAggCCAIIAggCCAIIAggCCAIVAgMCvQIeAALWAgICKwIEAgUCBgIHAggCCQIKAgsCDAINAggCCAIIAggCCAIIAggCCAIIAggCCAIIAggCCAIIAggCCAIVAgMCLAIeAALWAgICagIEAgUCBgIHAggCCQI9AgsCDAINAggCCAIIAggCCAIIAggCCAIIAggCCAIIAggCCAIIAggCCAIVAgMC0wIeAALWAgICIQIEAgUCBgIHAggCCQI9AgsCDAINAggCCAIIAggCCAIIAggCCAIIAggCCAIIAggCCAIIAggCCAIVAgMCpQIeAALWAgICHQIEAgUCBgIHAggCCQIKAgsCDAINAggCCAIIAggCCAIIAggCCAIIAggCCAIIAggCCAIIAggCCAIVAgMCHgIeAALWAgICKwIEAgUCBgIHAggCCQI9AgsCDAINAggCCAIIAggCCAIIAggCCAIIAggCCAIIAggCCAIIAggCCAIVAgMCogIeAALWAgICagIEAgUCBgIHAggCCQIKAgsCDAINAggCCAIIAggCCAIIAggCCAIIegAABAACCAIIAggCCAIIAggCCAIIAhUCAwKvAh4AAtYCAgJqAgQCBQIGAgcCCAIJAqoCCwIMAg0CCAIIAggCCAIIAggCCAIIAggCCAIIAggCCAIIAggCCAIIAhUCAwKwAh4AAtYCAgIjAgQCBQIGAgcCCAIJAqoCCwIMAg0CCAIIAggCCAIIAggCCAIIAggCCAIIAggCCAIIAggCCAIIAhUCAwKsAh4AAtYCAgIdAgQCBQIGAgcCCAIJAqoCCwIMAg0CCAIIAggCCAIIAggCCAIIAggCCAIIAggCCAIIAggCCAIIAhUCAwJQAh4AAtYCAgIjAgQCBQIGAgcCCAIJAgoCCwIMAg0CCAIIAggCCAIIAggCCAIIAggCCAIIAggCCAIIAggCCAIIAhUCAwIkAh4AAtYCAgI8AgQCBQIGAgcCCAIJAgoCCwIMAg0CCAIIAggCCAIIAggCCAIIAggCCAIIAggCCAIIAggCCAIIAhUCAwLOAh4AAtYCAgI1AgQCBQIGAgcCCAIJAqoCCwIMAg0CCAIIAggCCAIIAggCCAIIAggCCAIIAggCCAIIAggCCAIIAhUCAwJQAh4AAtYCAgJTAgQCBQIGAgcCCAIJAgoCCwIMAg0CCAIIAggCCAIIAggCCAIIAggCCAIIAggCCAIIAggCCAIIAhUCAwK6Ah4AAtYCAgJTAgQCBQIGAgcCCAIJAqoCCwIMAg0CCAIIAggCCAIIAggCCAIIAggCCAIIAggCCAIIAggCCAIIAhUCAwK8Ah4AAtYCAgIzAgQCBQIGAgcCCAIJAj0CCwIMAg0CCAIIAggCCAIIAggCCAIIAggCCAIIAggCCAIIAggCCAIIAhUCAwKZAh4AAtYCAgIvAgQCBQIGAgcCCAIJAj0CCwIMAg0CCAIIAggCCAIIAggCCAIIAggCCAIIAggCCAIIAggCCAIIAhUCAwKhAh4AAtYCAgIpAgQCBQIGAgcCCAIJAqoCCwIMAg0CCAIIAggCCAIIAggCCAIIAggCCAIIAggCCAIIAggCCAIIAhUCAwJQAh4AAtYCAgIpAgQCBQIGAgcCCAIJAgoCCwIMAg0CCAIIAggCCAIIAggCCAIIAggCCAIIAggCCAIIAggCCAIIAhUCAwIqAh4AAtYCAgItAgQCBQIGAgcCCAIJAgoCCwIMAg0CCAIIAggCCAIIAggCCAIIAggCCAIIAggCCAIIAggCCAIIAhUCAwIuAh4AAtYCAgIrAgQCBQIGAgcCCAIJAqoCCwIMAg0CCAIIAggCCAIIAggCCAIIAggCCAIIAggCCAIIAggCCAIIAhUCAwKxAh4AAtYCAgItAgQCBQIGAgcCCAIJAqoCCwIMAg0CCAIIAggCegAABAAIAggCCAIIAggCCAIIAggCCAIIAggCCAIIAggCFQIDArkCHgAC1gICAjUCBAIFAgYCBwIIAgkCCgILAgwCDQIIAggCCAIIAggCCAIIAggCCAIIAggCCAIIAggCCAIIAggCFQIDAjYCHgAC1gICAmECBAIFAgYCBwIIAgkCPQILAgwCDQIIAggCCAIIAggCCAIIAggCCAIIAggCCAIIAggCCAIIAggCFQIDAsoCHgAC1gICAjwCBAIFAgYCBwIIAgkCqgILAgwCDQIIAggCCAIIAggCCAIIAggCCAIIAggCCAIIAggCCAIIAggCFQIDArcCHgAC1gICAh8CBAIFAgYCBwIIAgkCqgILAgwCDQIIAggCCAIIAggCCAIIAggCCAIIAggCCAIIAggCCAIIAggCFQIDArICHgAC1gICAiUCBAIFAgYCBwIIAgkCPQILAgwCDQIIAggCCAIIAggCCAIIAggCCAIIAggCCAIIAggCCAIIAggCFQIDAqQCHgAC1gICAkECBAIFAgYCBwIIAgkCPQILAgwCDQIIAggCCAIIAggCCAIIAggCCAIIAggCCAIIAggCCAIIAggCFQIDAs0CHgAC1gICAh8CBAIFAgYCBwIIAgkCCgILAgwCDQIIAggCCAIIAggCCAIIAggCCAIIAggCCAIIAggCCAIIAggCFQIDAiACHgAC1gICAkcCBAIFAgYCBwIIAgkCqgILAgwCDQIIAggCCAIIAggCCAIIAggCCAIIAggCCAIIAggCCAIIAggCFQIDAskCHgAC1gICAjECBAIFAgYCBwIIAgkCqgILAgwCDQIIAggCCAIIAggCCAIIAggCCAIIAggCCAIIAggCCAIIAggCFQIDAsYCHgAC1gICAjMCBAIFAgYCBwIIAgkCCgILAgwCDQIIAggCCAIIAggCCAIIAggCCAIIAggCCAIIAggCCAIIAggCFQIDAjQCHgAC1gICAlMCBAIFAgYCBwIIAgkCPQILAgwCDQIIAggCCAIIAggCCAIIAggCCAIIAggCCAIIAggCCAIIAggCFQIDAsQCHgAC1gICAjUCBAIFAgYCBwIIAgkCPQILAgwCDQIIAggCCAIIAggCCAIIAggCCAIIAggCCAIIAggCCAIIAggCFQIDAp4CHgAC1gICAkECBAIFAgYCBwIIAgkCCgILAgwCDQIIAggCCAIIAggCCAIIAggCCAIIAggCCAIIAggCCAIIAggCFQIDAsICHgAC1gICAjECBAIFAgYCBwIIAgkCCgILAgwCDQIIAggCCAIIAggCCAIIAggCCAIIAggCCAIIAggCCAIIAggCFQIDAjICHgAC1gICAkcCBAIFAgYCBwIIAgkCCgILegAABAACDAINAggCCAIIAggCCAIIAggCCAIIAggCCAIIAggCCAIIAggCCAIVAgMCxwIeAALWAgICAwIEAgUCBgIHAggCCQI9AgsCDAINAggCCAIIAggCCAIIAggCCAIIAggCCAIIAggCCAIIAggCCAIVAgMCnQIeAALWAgICMwIEAgUCBgIHAggCCQKqAgsCDAINAggCCAIIAggCCAIIAggCCAIIAggCCAIIAggCCAIIAggCCAIVAgMCwwIeAALWAgICTAIEAgUCBgIHAggCCQI9AgsCDAINAggCCAIIAggCCAIIAggCCAIIAggCCAIIAggCCAIIAggCCAIVAgMCvgIeAALWAgICQwIEAgUCBgIHAggCCQI9AgsCDAINAggCCAIIAggCCAIIAggCCAIIAggCCAIIAggCCAIIAggCCAIVAgMCvwIeAALWAgICJQIEAgUCBgIHAggCCQKqAgsCDAINAggCCAIIAggCCAIIAggCCAIIAggCCAIIAggCCAIIAggCCAIVAgMCwAIeAALWAgICPwIEAgUCBgIHAggCCQIKAgsCDAINAggCCAIIAggCCAIIAggCCAIIAggCCAIIAggCCAIIAggCCAIVAgMC1QIeAALWAgICTAIEAgUCBgIHAggCCQIKAgsCDAINAggCCAIIAggCCAIIAggCCAIIAggCCAIIAggCCAIIAggCCAIVAgMCyAIeAALWAgICQQIEAgUCBgIHAggCCQKqAgsCDAINAggCCAIIAggCCAIIAggCCAIIAggCCAIIAggCCAIIAggCCAIVAgMCwQIeAALWAgICPwIEAgUCBgIHAggCCQKqAgsCDAINAggCCAIIAggCCAIIAggCCAIIAggCCAIIAggCCAIIAggCCAIVAgMC0gIeAALWAgICPAIEAgUCBgIHAggCCQI9AgsCDAINAggCCAIIAggCCAIIAggCCAIIAggCCAIIAggCCAIIAggCCAIVAgMCxQIeAALWAgICHwIEAgUCBgIHAggCCQI9AgsCDAINAggCCAIIAggCCAIIAggCCAIIAggCCAIIAggCCAIIAggCCAIVAgMCpgIeAALWAgICJwIEAgUCBgIHAggCCQKqAgsCDAINAggCCAIIAggCCAIIAggCCAIIAggCCAIIAggCCAIIAggCCAIVAgMCUAIeAALWAgICJwIEAgUCBgIHAggCCQIKAgsCDAINAggCCAIIAggCCAIIAggCCAIIAggCCAIIAggCCAIIAggCCAIVAgMCKAIeAALWAgICJQIEAgUCBgIHAggCCQIKAgsCDAINAggCCAIIAggCCAIIAggCCAIIAggCCAIIAggCCAIIAggCCAIVAgMCJgIeAALWAgICMQIEAgUCegAABAAGAgcCCAIJAj0CCwIMAg0CCAIIAggCCAIIAggCCAIIAggCCAIIAggCCAIIAggCCAIIAhUCAwKcAh4AAtYCAgJMAgQCBQIGAgcCCAIJAqoCCwIMAg0CCAIIAggCCAIIAggCCAIIAggCCAIIAggCCAIIAggCCAIIAhUCAwLRAh4AAtYCAgJKAgQCBQIGAgcCCAIJAqoCCwIMAg0CCAIIAggCCAIIAggCCAIIAggCCAIIAggCCAIIAggCCAIIAhUCAwK1Ah4AAtYCAgIDAgQCBQIGAgcCCAIJAgoCCwIMAg0CCAIIAggCCAIIAggCCAIIAggCCAIIAggCCAIIAggCCAIIAhUCAwIOAh4AAtYCAgIDAgQCBQIGAgcCCAIJAqoCCwIMAg0CCAIIAggCCAIIAggCCAIIAggCCAIIAggCCAIIAggCCAIIAhUCAwLQAh4AAtYCAgJHAgQCBQIGAgcCCAIJAj0CCwIMAg0CCAIIAggCCAIIAggCCAIIAggCCAIIAggCCAIIAggCCAIIAhUCAwLPAh4AAtYCAgIvAgQCBQIGAgcCCAIJAgoCCwIMAg0CCAIIAggCCAIIAggCCAIIAggCCAIIAggCCAIIAggCCAIIAhUCAwIwAh4AAtYCAgJhAgQCBQIGAgcCCAIJAgoCCwIMAg0CCAIIAggCCAIIAggCCAIIAggCCAIIAggCCAIIAggCCAIIAhUCAwK7Ah4AAtYCAgIhAgQCBQIGAgcCCAIJAqoCCwIMAg0CCAIIAggCCAIIAggCCAIIAggCCAIIAggCCAIIAggCCAIIAhUCAwLMAh4AAtYCAgJDAgQCBQIGAgcCCAIJAqoCCwIMAg0CCAIIAggCCAIIAggCCAIIAggCCAIIAggCCAIIAggCCAIIAhUCAwKzAh4AAtYCAgIdAgQCBQIGAgcCCAIJAj0CCwIMAg0CCAIIAggCCAIIAggCCAIIAggCCAIIAggCCAIIAggCCAIIAhUCAwKfAh4AAtYCAgJDAgQCBQIGAgcCCAIJAgoCCwIMAg0CCAIIAggCCAIIAggCCAIIAggCCAIIAggCCAIIAggCCAIIAhUCAwK2Ah4AAtYCAgJKAgQCBQIGAgcCCAIJAgoCCwIMAg0CCAIIAggCCAIIAggCCAIIAggCCAIIAggCCAIIAggCCAIIAhUCAwK0Ah4AAtYCAgIjAgQCBQIGAgcCCAIJAj0CCwIMAg0CCAIIAggCCAIIAggCCAIIAggCCAIIAggCCAIIAggCCAIIAhUCAwKYAh4AAtYCAgInAgQCBQIGAgcCCAIJAj0CCwIMAg0CCAIIAggCCAIIAggCCAIIAggCCAIIAggCCAIIAggCCAIIAhUCAwKgAh4AegAABAAC1gICAmMCBAIFAgYCBwIIAgkCPQILAgwCDQIIAggCCAIIAggCCAIIAggCCAIIAggCCAIIAggCCAIIAggCFQIDArgCHgAC1gICAj8CBAIFAgYCBwIIAgkCPQILAgwCDQIIAggCCAIIAggCCAIIAggCCAIIAggCCAIIAggCCAIIAggCFQIDAssCHgAC1gICAiECBAIFAgYCBwIIAgkCCgILAgwCDQIIAggCCAIIAggCCAIIAggCCAIIAggCCAIIAggCCAIIAggCFQIDAiICHgAC1wAJNDIxMjExNzM2AgICHQIEAgUCBgIHAggCCQIKAgsCDAINAggCCAIIAggCCAIIAggCCAIIAggCCAIIAggCCAIIAggCCAIXAgMCHgIeAALXAgICKwIEAgUCBgIHAggCCQIKAgsCDAINAggCCAIIAggCCAIIAggCCAIIAggCCAIIAggCCAIIAggCCAIXAgMCLAIeAALXAgICIQIEAgUCBgIHAggCCQI9AgsCDAINAggCCAIIAggCCAIIAggCCAIIAggCCAIIAggCCAIIAggCCAIXAgMCpQIeAALXAgICKwIEAgUCBgIHAggCCQKqAgsCDAINAggCCAIIAggCCAIIAggCCAIIAggCCAIIAggCCAIIAggCCAIXAgMCsQIeAALXAgICagIEAgUCBgIHAggCCQKqAgsCDAINAggCCAIIAggCCAIIAggCCAIIAggCCAIIAggCCAIIAggCCAIXAgMCsAIeAALXAgICagIEAgUCBgIHAggCCQIKAgsCDAINAggCCAIIAggCCAIIAggCCAIIAggCCAIIAggCCAIIAggCCAIXAgMCrwIeAALXAgICSgIEAgUCBgIHAggCCQI9AgsCDAINAggCCAIIAggCCAIIAggCCAIIAggCCAIIAggCCAIIAggCCAIXAgMCrQIeAALXAgICIwIEAgUCBgIHAggCCQIKAgsCDAINAggCCAIIAggCCAIIAggCCAIIAggCCAIIAggCCAIIAggCCAIXAgMCJAIeAALXAgICLQIEAgUCBgIHAggCCQI9AgsCDAINAggCCAIIAggCCAIIAggCCAIIAggCCAIIAggCCAIIAggCCAIXAgMCmgIeAALXAgICIwIEAgUCBgIHAggCCQKqAgsCDAINAggCCAIIAggCCAIIAggCCAIIAggCCAIIAggCCAIIAggCCAIXAgMCrAIeAALXAgICHQIEAgUCBgIHAggCCQKqAgsCDAINAggCCAIIAggCCAIIAggCCAIIAggCCAIIAggCCAIIAggCCAIXAgMCUAIeAALXAgICYwIEAgUCBgIHAggCCQKqAgsCDAINAggCCAIIAggCCAIIAggCCAIIAggCegAABAAIAggCCAIIAggCCAIIAhcCAwKrAh4AAtcCAgJjAgQCBQIGAgcCCAIJAgoCCwIMAg0CCAIIAggCCAIIAggCCAIIAggCCAIIAggCCAIIAggCCAIIAhcCAwLUAh4AAtcCAgJBAgQCBQIGAgcCCAIJAj0CCwIMAg0CCAIIAggCCAIIAggCCAIIAggCCAIIAggCCAIIAggCCAIIAhcCAwLNAh4AAtcCAgJqAgQCBQIGAgcCCAIJAj0CCwIMAg0CCAIIAggCCAIIAggCCAIIAggCCAIIAggCCAIIAggCCAIIAhcCAwLTAh4AAtcCAgIrAgQCBQIGAgcCCAIJAj0CCwIMAg0CCAIIAggCCAIIAggCCAIIAggCCAIIAggCCAIIAggCCAIIAhcCAwKiAh4AAtcCAgIlAgQCBQIGAgcCCAIJAj0CCwIMAg0CCAIIAggCCAIIAggCCAIIAggCCAIIAggCCAIIAggCCAIIAhcCAwKkAh4AAtcCAgIxAgQCBQIGAgcCCAIJAgoCCwIMAg0CCAIIAggCCAIIAggCCAIIAggCCAIIAggCCAIIAggCCAIIAhcCAwIyAh4AAtcCAgItAgQCBQIGAgcCCAIJAqoCCwIMAg0CCAIIAggCCAIIAggCCAIIAggCCAIIAggCCAIIAggCCAIIAhcCAwK5Ah4AAtcCAgI1AgQCBQIGAgcCCAIJAqoCCwIMAg0CCAIIAggCCAIIAggCCAIIAggCCAIIAggCCAIIAggCCAIIAhcCAwJQAh4AAtcCAgJTAgQCBQIGAgcCCAIJAqoCCwIMAg0CCAIIAggCCAIIAggCCAIIAggCCAIIAggCCAIIAggCCAIIAhcCAwK8Ah4AAtcCAgJHAgQCBQIGAgcCCAIJAgoCCwIMAg0CCAIIAggCCAIIAggCCAIIAggCCAIIAggCCAIIAggCCAIIAhcCAwLHAh4AAtcCAgJHAgQCBQIGAgcCCAIJAqoCCwIMAg0CCAIIAggCCAIIAggCCAIIAggCCAIIAggCCAIIAggCCAIIAhcCAwLJAh4AAtcCAgItAgQCBQIGAgcCCAIJAgoCCwIMAg0CCAIIAggCCAIIAggCCAIIAggCCAIIAggCCAIIAggCCAIIAhcCAwIuAh4AAtcCAgIfAgQCBQIGAgcCCAIJAgoCCwIMAg0CCAIIAggCCAIIAggCCAIIAggCCAIIAggCCAIIAggCCAIIAhcCAwIgAh4AAtcCAgI1AgQCBQIGAgcCCAIJAgoCCwIMAg0CCAIIAggCCAIIAggCCAIIAggCCAIIAggCCAIIAggCCAIIAhcCAwI2Ah4AAtcCAgIzAgQCBQIGAgcCCAIJAj0CCwIMAg0CCAIIAggCCAIIegAABAACCAIIAggCCAIIAggCCAIIAggCCAIIAggCFwIDApkCHgAC1wICAi8CBAIFAgYCBwIIAgkCPQILAgwCDQIIAggCCAIIAggCCAIIAggCCAIIAggCCAIIAggCCAIIAggCFwIDAqECHgAC1wICAh8CBAIFAgYCBwIIAgkCqgILAgwCDQIIAggCCAIIAggCCAIIAggCCAIIAggCCAIIAggCCAIIAggCFwIDArICHgAC1wICAjwCBAIFAgYCBwIIAgkCqgILAgwCDQIIAggCCAIIAggCCAIIAggCCAIIAggCCAIIAggCCAIIAggCFwIDArcCHgAC1wICAjwCBAIFAgYCBwIIAgkCCgILAgwCDQIIAggCCAIIAggCCAIIAggCCAIIAggCCAIIAggCCAIIAggCFwIDAs4CHgAC1wICAiUCBAIFAgYCBwIIAgkCqgILAgwCDQIIAggCCAIIAggCCAIIAggCCAIIAggCCAIIAggCCAIIAggCFwIDAsACHgAC1wICAkECBAIFAgYCBwIIAgkCqgILAgwCDQIIAggCCAIIAggCCAIIAggCCAIIAggCCAIIAggCCAIIAggCFwIDAsECHgAC1wICAicCBAIFAgYCBwIIAgkCCgILAgwCDQIIAggCCAIIAggCCAIIAggCCAIIAggCCAIIAggCCAIIAggCFwIDAigCHgAC1wICAkMCBAIFAgYCBwIIAgkCPQILAgwCDQIIAggCCAIIAggCCAIIAggCCAIIAggCCAIIAggCCAIIAggCFwIDAr8CHgAC1wICAh8CBAIFAgYCBwIIAgkCPQILAgwCDQIIAggCCAIIAggCCAIIAggCCAIIAggCCAIIAggCCAIIAggCFwIDAqYCHgAC1wICAmECBAIFAgYCBwIIAgkCPQILAgwCDQIIAggCCAIIAggCCAIIAggCCAIIAggCCAIIAggCCAIIAggCFwIDAsoCHgAC1wICAjMCBAIFAgYCBwIIAgkCqgILAgwCDQIIAggCCAIIAggCCAIIAggCCAIIAggCCAIIAggCCAIIAggCFwIDAsMCHgAC1wICAgMCBAIFAgYCBwIIAgkCCgILAgwCDQIIAggCCAIIAggCCAIIAggCCAIIAggCCAIIAggCCAIIAggCFwIDAg4CHgAC1wICAlMCBAIFAgYCBwIIAgkCCgILAgwCDQIIAggCCAIIAggCCAIIAggCCAIIAggCCAIIAggCCAIIAggCFwIDAroCHgAC1wICAkwCBAIFAgYCBwIIAgkCqgILAgwCDQIIAggCCAIIAggCCAIIAggCCAIIAggCCAIIAggCCAIIAggCFwIDAtECHgAC1wICAkwCBAIFAgYCBwIIAgkCCgILAgwCegAABAANAggCCAIIAggCCAIIAggCCAIIAggCCAIIAggCCAIIAggCCAIXAgMCyAIeAALXAgICMQIEAgUCBgIHAggCCQKqAgsCDAINAggCCAIIAggCCAIIAggCCAIIAggCCAIIAggCCAIIAggCCAIXAgMCxgIeAALXAgICMwIEAgUCBgIHAggCCQIKAgsCDAINAggCCAIIAggCCAIIAggCCAIIAggCCAIIAggCCAIIAggCCAIXAgMCNAIeAALXAgICUwIEAgUCBgIHAggCCQI9AgsCDAINAggCCAIIAggCCAIIAggCCAIIAggCCAIIAggCCAIIAggCCAIXAgMCxAIeAALXAgICTAIEAgUCBgIHAggCCQI9AgsCDAINAggCCAIIAggCCAIIAggCCAIIAggCCAIIAggCCAIIAggCCAIXAgMCvgIeAALXAgICAwIEAgUCBgIHAggCCQI9AgsCDAINAggCCAIIAggCCAIIAggCCAIIAggCCAIIAggCCAIIAggCCAIXAgMCnQIeAALXAgICNQIEAgUCBgIHAggCCQI9AgsCDAINAggCCAIIAggCCAIIAggCCAIIAggCCAIIAggCCAIIAggCCAIXAgMCngIeAALXAgICPwIEAgUCBgIHAggCCQKqAgsCDAINAggCCAIIAggCCAIIAggCCAIIAggCCAIIAggCCAIIAggCCAIXAgMC0gIeAALXAgICJwIEAgUCBgIHAggCCQKqAgsCDAINAggCCAIIAggCCAIIAggCCAIIAggCCAIIAggCCAIIAggCCAIXAgMCUAIeAALXAgICPAIEAgUCBgIHAggCCQI9AgsCDAINAggCCAIIAggCCAIIAggCCAIIAggCCAIIAggCCAIIAggCCAIXAgMCxQIeAALXAgICJQIEAgUCBgIHAggCCQIKAgsCDAINAggCCAIIAggCCAIIAggCCAIIAggCCAIIAggCCAIIAggCCAIXAgMCJgIeAALXAgICPwIEAgUCBgIHAggCCQIKAgsCDAINAggCCAIIAggCCAIIAggCCAIIAggCCAIIAggCCAIIAggCCAIXAgMC1QIeAALXAgICQQIEAgUCBgIHAggCCQIKAgsCDAINAggCCAIIAggCCAIIAggCCAIIAggCCAIIAggCCAIIAggCCAIXAgMCwgIeAALXAgICLwIEAgUCBgIHAggCCQIKAgsCDAINAggCCAIIAggCCAIIAggCCAIIAggCCAIIAggCCAIIAggCCAIXAgMCMAIeAALXAgICIQIEAgUCBgIHAggCCQIKAgsCDAINAggCCAIIAggCCAIIAggCCAIIAggCCAIIAggCCAIIAggCCAIXAgMCIgIeAALXAgICJwIEAgUCBgIHegAABAACCAIJAj0CCwIMAg0CCAIIAggCCAIIAggCCAIIAggCCAIIAggCCAIIAggCCAIIAhcCAwKgAh4AAtcCAgJhAgQCBQIGAgcCCAIJAqoCCwIMAg0CCAIIAggCCAIIAggCCAIIAggCCAIIAggCCAIIAggCCAIIAhcCAwKuAh4AAtcCAgIdAgQCBQIGAgcCCAIJAj0CCwIMAg0CCAIIAggCCAIIAggCCAIIAggCCAIIAggCCAIIAggCCAIIAhcCAwKfAh4AAtcCAgIvAgQCBQIGAgcCCAIJAqoCCwIMAg0CCAIIAggCCAIIAggCCAIIAggCCAIIAggCCAIIAggCCAIIAhcCAwK9Ah4AAtcCAgJhAgQCBQIGAgcCCAIJAgoCCwIMAg0CCAIIAggCCAIIAggCCAIIAggCCAIIAggCCAIIAggCCAIIAhcCAwK7Ah4AAtcCAgIxAgQCBQIGAgcCCAIJAj0CCwIMAg0CCAIIAggCCAIIAggCCAIIAggCCAIIAggCCAIIAggCCAIIAhcCAwKcAh4AAtcCAgJHAgQCBQIGAgcCCAIJAj0CCwIMAg0CCAIIAggCCAIIAggCCAIIAggCCAIIAggCCAIIAggCCAIIAhcCAwLPAh4AAtcCAgIDAgQCBQIGAgcCCAIJAqoCCwIMAg0CCAIIAggCCAIIAggCCAIIAggCCAIIAggCCAIIAggCCAIIAhcCAwLQAh4AAtcCAgIjAgQCBQIGAgcCCAIJAj0CCwIMAg0CCAIIAggCCAIIAggCCAIIAggCCAIIAggCCAIIAggCCAIIAhcCAwKYAh4AAtcCAgJjAgQCBQIGAgcCCAIJAj0CCwIMAg0CCAIIAggCCAIIAggCCAIIAggCCAIIAggCCAIIAggCCAIIAhcCAwK4Ah4AAtcCAgI/AgQCBQIGAgcCCAIJAj0CCwIMAg0CCAIIAggCCAIIAggCCAIIAggCCAIIAggCCAIIAggCCAIIAhcCAwLLAh4AAtcCAgIhAgQCBQIGAgcCCAIJAqoCCwIMAg0CCAIIAggCCAIIAggCCAIIAggCCAIIAggCCAIIAggCCAIIAhcCAwLMAh4AAtcCAgJDAgQCBQIGAgcCCAIJAqoCCwIMAg0CCAIIAggCCAIIAggCCAIIAggCCAIIAggCCAIIAggCCAIIAhcCAwKzAh4AAtcCAgJKAgQCBQIGAgcCCAIJAqoCCwIMAg0CCAIIAggCCAIIAggCCAIIAggCCAIIAggCCAIIAggCCAIIAhcCAwK1Ah4AAtcCAgJDAgQCBQIGAgcCCAIJAgoCCwIMAg0CCAIIAggCCAIIAggCCAIIAggCCAIIAggCCAIIAggCCAIIAhcCAwK2Ah4AAtcCegAABAACAkoCBAIFAgYCBwIIAgkCCgILAgwCDQIIAggCCAIIAggCCAIIAggCCAIIAggCCAIIAggCCAIIAggCFwIDArQCHgAC2AAJNDIxMjEwNTc2AgICRwIEAgUCBgIHAggCCQI9AgsCOQINAggCCAIIAggCCAIIAggCCAIIAggCCAIIAggCCAIIAggCCAIWAgMCiAIeAALYAgICIwIEAgUCBgIHAggCCQI4AgsCOQINAggCCAIIAggCCAIIAggCCAIIAggCCAIIAggCCAIIAggCCAIWAgMCXwIeAALYAgICLQIEAgUCBgIHAggCCQIKAgsCOQINAggCCAIIAggCCAIIAggCCAIIAggCCAIIAggCCAIIAggCCAIWAgMCXgIeAALYAgICSgIEAgUCBgIHAggCCQIKAgsCOQINAggCCAIIAggCCAIIAggCCAIIAggCCAIIAggCCAIIAggCCAIWAgMCiQIeAALYAgICIQIEAgUCBgIHAggCCQIKAgsCOQINAggCCAIIAggCCAIIAggCCAIIAggCCAIIAggCCAIIAggCCAIWAgMCfQIeAALYAgICIQIEAgUCBgIHAggCCQI9AgsCOQINAggCCAIIAggCCAIIAggCCAIIAggCCAIIAggCCAIIAggCCAIWAgMCbgIeAALYAgICYQIEAgUCBgIHAggCCQI4AgsCOQINAggCCAIIAggCCAIIAggCCAIIAggCCAIIAggCCAIIAggCCAIWAgMCbwIeAALYAgICJQIEAgUCBgIHAggCCQI9AgsCOQINAggCCAIIAggCCAIIAggCCAIIAggCCAIIAggCCAIIAggCCAIWAgMCWgIeAALYAgICagIEAgUCBgIHAggCCQI4AgsCOQINAggCCAIIAggCCAIIAggCCAIIAggCCAIIAggCCAIIAggCCAIWAgMChgIeAALYAgICKwIEAgUCBgIHAggCCQI4AgsCOQINAggCCAIIAggCCAIIAggCCAIIAggCCAIIAggCCAIIAggCCAIWAgMCfAIeAALYAgICMQIEAgUCBgIHAggCCQIKAgsCOQINAggCCAIIAggCCAIIAggCCAIIAggCCAIIAggCCAIIAggCCAIWAgMCTgIeAALYAgICTAIEAgUCBgIHAggCCQI9AgsCOQINAggCCAIIAggCCAIIAggCCAIIAggCCAIIAggCCAIIAggCCAIWAgMCTQIeAALYAgICQwIEAgUCBgIHAggCCQI4AgsCOQINAggCCAIIAggCCAIIAggCCAIIAggCCAIIAggCCAIIAggCCAIWAgMCewIeAALYAgICAwIEAgUCBgIHAggCCQI9AgsCOQINAggCCAIIAggCCAIIAggCCAIIAggCCAIIegAABAACCAIIAggCCAIIAhYCAwJJAh4AAtgCAgItAgQCBQIGAgcCCAIJAj0CCwI5Ag0CCAIIAggCCAIIAggCCAIIAggCCAIIAggCCAIIAggCCAIIAhYCAwJ3Ah4AAtgCAgI8AgQCBQIGAgcCCAIJAjgCCwI5Ag0CCAIIAggCCAIIAggCCAIIAggCCAIIAggCCAIIAggCCAIIAhYCAwJ4Ah4AAtgCAgJKAgQCBQIGAgcCCAIJAjgCCwI5Ag0CCAIIAggCCAIIAggCCAIIAggCCAIIAggCCAIIAggCCAIIAhYCAwJLAh4AAtgCAgJKAgQCBQIGAgcCCAIJAj0CCwI5Ag0CCAIIAggCCAIIAggCCAIIAggCCAIIAggCCAIIAggCCAIIAhYCAwJtAh4AAtgCAgJTAgQCBQIGAgcCCAIJAj0CCwI5Ag0CCAIIAggCCAIIAggCCAIIAggCCAIIAggCCAIIAggCCAIIAhYCAwJUAh4AAtgCAgIfAgQCBQIGAgcCCAIJAjgCCwI5Ag0CCAIIAggCCAIIAggCCAIIAggCCAIIAggCCAIIAggCCAIIAhYCAwJ1Ah4AAtgCAgJBAgQCBQIGAgcCCAIJAgoCCwI5Ag0CCAIIAggCCAIIAggCCAIIAggCCAIIAggCCAIIAggCCAIIAhYCAwJCAh4AAtgCAgJHAgQCBQIGAgcCCAIJAgoCCwI5Ag0CCAIIAggCCAIIAggCCAIIAggCCAIIAggCCAIIAggCCAIIAhYCAwJSAh4AAtgCAgIlAgQCBQIGAgcCCAIJAgoCCwI5Ag0CCAIIAggCCAIIAggCCAIIAggCCAIIAggCCAIIAggCCAIIAhYCAwJFAh4AAtgCAgIDAgQCBQIGAgcCCAIJAjgCCwI5Ag0CCAIIAggCCAIIAggCCAIIAggCCAIIAggCCAIIAggCCAIIAhYCAwJXAh4AAtgCAgJMAgQCBQIGAgcCCAIJAjgCCwI5Ag0CCAIIAggCCAIIAggCCAIIAggCCAIIAggCCAIIAggCCAIIAhYCAwJZAh4AAtgCAgIdAgQCBQIGAgcCCAIJAjgCCwI5Ag0CCAIIAggCCAIIAggCCAIIAggCCAIIAggCCAIIAggCCAIIAhYCAwJQAh4AAtgCAgInAgQCBQIGAgcCCAIJAjgCCwI5Ag0CCAIIAggCCAIIAggCCAIIAggCCAIIAggCCAIIAggCCAIIAhYCAwJQAh4AAtgCAgJBAgQCBQIGAgcCCAIJAj0CCwI5Ag0CCAIIAggCCAIIAggCCAIIAggCCAIIAggCCAIIAggCCAIIAhYCAwJWAh4AAtgCAgIrAgQCBQIGAgcCCAIJAgoCCwI5Ag0CCAIIAggCCAIIAggCegAABAAIAggCCAIIAggCCAIIAggCCAIIAggCFgIDAmkCHgAC2AICAmoCBAIFAgYCBwIIAgkCCgILAjkCDQIIAggCCAIIAggCCAIIAggCCAIIAggCCAIIAggCCAIIAggCFgIDAmsCHgAC2AICAmECBAIFAgYCBwIIAgkCPQILAjkCDQIIAggCCAIIAggCCAIIAggCCAIIAggCCAIIAggCCAIIAggCFgIDAmICHgAC2AICAjMCBAIFAgYCBwIIAgkCPQILAjkCDQIIAggCCAIIAggCCAIIAggCCAIIAggCCAIIAggCCAIIAggCFgIDAmYCHgAC2AICAj8CBAIFAgYCBwIIAgkCOAILAjkCDQIIAggCCAIIAggCCAIIAggCCAIIAggCCAIIAggCCAIIAggCFgIDAmcCHgAC2AICAmMCBAIFAgYCBwIIAgkCOAILAjkCDQIIAggCCAIIAggCCAIIAggCCAIIAggCCAIIAggCCAIIAggCFgIDAmQCHgAC2AICAi8CBAIFAgYCBwIIAgkCPQILAjkCDQIIAggCCAIIAggCCAIIAggCCAIIAggCCAIIAggCCAIIAggCFgIDAmUCHgAC2AICAh8CBAIFAgYCBwIIAgkCCgILAjkCDQIIAggCCAIIAggCCAIIAggCCAIIAggCCAIIAggCCAIIAggCFgIDAlgCHgAC2AICAjMCBAIFAgYCBwIIAgkCOAILAjkCDQIIAggCCAIIAggCCAIIAggCCAIIAggCCAIIAggCCAIIAggCFgIDAoECHgAC2AICAmMCBAIFAgYCBwIIAgkCPQILAjkCDQIIAggCCAIIAggCCAIIAggCCAIIAggCCAIIAggCCAIIAggCFgIDAoQCHgAC2AICAlMCBAIFAgYCBwIIAgkCCgILAjkCDQIIAggCCAIIAggCCAIIAggCCAIIAggCCAIIAggCCAIIAggCFgIDAlsCHgAC2AICAjUCBAIFAgYCBwIIAgkCCgILAjkCDQIIAggCCAIIAggCCAIIAggCCAIIAggCCAIIAggCCAIIAggCFgIDAlwCHgAC2AICAjwCBAIFAgYCBwIIAgkCCgILAjkCDQIIAggCCAIIAggCCAIIAggCCAIIAggCCAIIAggCCAIIAggCFgIDAmACHgAC2AICAjECBAIFAgYCBwIIAgkCOAILAjkCDQIIAggCCAIIAggCCAIIAggCCAIIAggCCAIIAggCCAIIAggCFgIDAl0CHgAC2AICAkcCBAIFAgYCBwIIAgkCOAILAjkCDQIIAggCCAIIAggCCAIIAggCCAIIAggCCAIIAggCCAIIAggCFgIDAkgCHgAC2AICAiMCBAIFAgYCBwIIAgkCPQILAjkCDQIIegAABAACCAIIAggCCAIIAggCCAIIAggCCAIIAggCCAIIAggCCAIWAgMChQIeAALYAgICYQIEAgUCBgIHAggCCQIKAgsCOQINAggCCAIIAggCCAIIAggCCAIIAggCCAIIAggCCAIIAggCCAIWAgMCgAIeAALYAgICQwIEAgUCBgIHAggCCQI9AgsCOQINAggCCAIIAggCCAIIAggCCAIIAggCCAIIAggCCAIIAggCCAIWAgMCRAIeAALYAgICLwIEAgUCBgIHAggCCQIKAgsCOQINAggCCAIIAggCCAIIAggCCAIIAggCCAIIAggCCAIIAggCCAIWAgMCeQIeAALYAgICagIEAgUCBgIHAggCCQI9AgsCOQINAggCCAIIAggCCAIIAggCCAIIAggCCAIIAggCCAIIAggCCAIWAgMCegIeAALYAgICIQIEAgUCBgIHAggCCQI4AgsCOQINAggCCAIIAggCCAIIAggCCAIIAggCCAIIAggCCAIIAggCCAIWAgMCOgIeAALYAgICPwIEAgUCBgIHAggCCQIKAgsCOQINAggCCAIIAggCCAIIAggCCAIIAggCCAIIAggCCAIIAggCCAIWAgMCQAIeAALYAgICJwIEAgUCBgIHAggCCQIKAgsCOQINAggCCAIIAggCCAIIAggCCAIIAggCCAIIAggCCAIIAggCCAIWAgMCOwIeAALYAgICNQIEAgUCBgIHAggCCQI9AgsCOQINAggCCAIIAggCCAIIAggCCAIIAggCCAIIAggCCAIIAggCCAIWAgMCVQIeAALYAgICKwIEAgUCBgIHAggCCQI9AgsCOQINAggCCAIIAggCCAIIAggCCAIIAggCCAIIAggCCAIIAggCCAIWAgMCdgIeAALYAgICMwIEAgUCBgIHAggCCQIKAgsCOQINAggCCAIIAggCCAIIAggCCAIIAggCCAIIAggCCAIIAggCCAIWAgMCTwIeAALYAgICLQIEAgUCBgIHAggCCQI4AgsCOQINAggCCAIIAggCCAIIAggCCAIIAggCCAIIAggCCAIIAggCCAIWAgMCUQIeAALYAgICIwIEAgUCBgIHAggCCQIKAgsCOQINAggCCAIIAggCCAIIAggCCAIIAggCCAIIAggCCAIIAggCCAIWAgMCcgIeAALYAgICNQIEAgUCBgIHAggCCQI4AgsCOQINAggCCAIIAggCCAIIAggCCAIIAggCCAIIAggCCAIIAggCCAIWAgMCUAIeAALYAgICYwIEAgUCBgIHAggCCQIKAgsCOQINAggCCAIIAggCCAIIAggCCAIIAggCCAIIAggCCAIIAggCCAIWAgMCcwIeAALYAgICPAIEAgUCBgIHAggCegAABAAJAj0CCwI5Ag0CCAIIAggCCAIIAggCCAIIAggCCAIIAggCCAIIAggCCAIIAhYCAwI+Ah4AAtgCAgIdAgQCBQIGAgcCCAIJAj0CCwI5Ag0CCAIIAggCCAIIAggCCAIIAggCCAIIAggCCAIIAggCCAIIAhYCAwKCAh4AAtgCAgJTAgQCBQIGAgcCCAIJAjgCCwI5Ag0CCAIIAggCCAIIAggCCAIIAggCCAIIAggCCAIIAggCCAIIAhYCAwJwAh4AAtgCAgInAgQCBQIGAgcCCAIJAj0CCwI5Ag0CCAIIAggCCAIIAggCCAIIAggCCAIIAggCCAIIAggCCAIIAhYCAwKHAh4AAtgCAgIdAgQCBQIGAgcCCAIJAgoCCwI5Ag0CCAIIAggCCAIIAggCCAIIAggCCAIIAggCCAIIAggCCAIIAhYCAwJxAh4AAtgCAgIfAgQCBQIGAgcCCAIJAj0CCwI5Ag0CCAIIAggCCAIIAggCCAIIAggCCAIIAggCCAIIAggCCAIIAhYCAwJGAh4AAtgCAgIvAgQCBQIGAgcCCAIJAjgCCwI5Ag0CCAIIAggCCAIIAggCCAIIAggCCAIIAggCCAIIAggCCAIIAhYCAwJsAh4AAtgCAgI/AgQCBQIGAgcCCAIJAj0CCwI5Ag0CCAIIAggCCAIIAggCCAIIAggCCAIIAggCCAIIAggCCAIIAhYCAwKDAh4AAtgCAgIDAgQCBQIGAgcCCAIJAgoCCwI5Ag0CCAIIAggCCAIIAggCCAIIAggCCAIIAggCCAIIAggCCAIIAhYCAwKLAh4AAtgCAgJMAgQCBQIGAgcCCAIJAgoCCwI5Ag0CCAIIAggCCAIIAggCCAIIAggCCAIIAggCCAIIAggCCAIIAhYCAwKKAh4AAtgCAgJDAgQCBQIGAgcCCAIJAgoCCwI5Ag0CCAIIAggCCAIIAggCCAIIAggCCAIIAggCCAIIAggCCAIIAhYCAwJ/Ah4AAtgCAgIlAgQCBQIGAgcCCAIJAjgCCwI5Ag0CCAIIAggCCAIIAggCCAIIAggCCAIIAggCCAIIAggCCAIIAhYCAwJ+Ah4AAtgCAgJBAgQCBQIGAgcCCAIJAjgCCwI5Ag0CCAIIAggCCAIIAggCCAIIAggCCAIIAggCCAIIAggCCAIIAhYCAwKMAh4AAtgCAgIxAgQCBQIGAgcCCAIJAj0CCwI5Ag0CCAIIAggCCAIIAggCCAIIAggCCAIIAggCCAIIAggCCAIIAhYCAwKNAh4AAtkACTMzMDU2Mjg0MAICAh8CBAIFAgYCBwIIAgkCqgILAgwCDQIIAggCCAIIAggCCAIIAggCCAIIAggCCAIIAggCCAIIAggAAgMCegAABACyAh4AAtkCAgI8AgQCBQIGAgcCCAIJAqoCCwIMAg0CCAIIAggCCAIIAggCCAIIAggCCAIIAggCCAIIAggCCAIIAAIDArcCHgAC2QICAkMCBAIFAgYCBwIIAgkCCgILAgwCDQIIAggCCAIIAggCCAIIAggCCAIIAggCCAIIAggCCAIIAggAAgMCtgIeAALZAgICLwIEAgUCBgIHAggCCQIKAgsCDAINAggCCAIIAggCCAIIAggCCAIIAggCCAIIAggCCAIIAggCCAACAwIwAh4AAtkCAgJjAgQCBQIGAgcCCAIJAj0CCwIMAg0CCAIIAggCCAIIAggCCAIIAggCCAIIAggCCAIIAggCCAIIAAIDArgCHgAC2QICAmoCBAIFAgYCBwIIAgkCPQILAgwCDQIIAggCCAIIAggCCAIIAggCCAIIAggCCAIIAggCCAIIAggAAgMC0wIeAALZAgICKwIEAgUCBgIHAggCCQI9AgsCDAINAggCCAIIAggCCAIIAggCCAIIAggCCAIIAggCCAIIAggCCAACAwKiAh4AAtkCAgJDAgQCBQIGAgcCCAIJAqoCCwIMAg0CCAIIAggCCAIIAggCCAIIAggCCAIIAggCCAIIAggCCAIIAAIDArMCHgAC2QICAjwCBAIFAgYCBwIIAgkCCgILAgwCDQIIAggCCAIIAggCCAIIAggCCAIIAggCCAIIAggCCAIIAggAAgMCzgIeAALZAgICLwIEAgUCBgIHAggCCQKqAgsCDAINAggCCAIIAggCCAIIAggCCAIIAggCCAIIAggCCAIIAggCCAACAwK9Ah4AAtkCAgIfAgQCBQIGAgcCCAIJAgoCCwIMAg0CCAIIAggCCAIIAggCCAIIAggCCAIIAggCCAIIAggCCAIIAAIDAiACHgAC2QICAiMCBAIFAgYCBwIIAgkCPQILAgwCDQIIAggCCAIIAggCCAIIAggCCAIIAggCCAIIAggCCAIIAggAAgMCmAIeAALZAgICYQIEAgUCBgIHAggCCQIKAgsCDAINAggCCAIIAggCCAIIAggCCAIIAggCCAIIAggCCAIIAggCCAACAwK7Ah4AAtkCAgJhAgQCBQIGAgcCCAIJAqoCCwIMAg0CCAIIAggCCAIIAggCCAIIAggCCAIIAggCCAIIAggCCAIIAAIDAq4CHgAC2QICAh0CBAIFAgYCBwIIAgkCPQILAgwCDQIIAggCCAIIAggCCAIIAggCCAIIAggCCAIIAggCCAIIAggAAgMCnwIeAALZAgICagIEAgUCBgIHAggCCQIKAgsCDAINAggCCAIIAggCCAIIAggCCAIIAggCCAIIAggCCAIIAggCCAACAwKvAh4AegAABAAC2QICAiUCBAIFAgYCBwIIAgkCqgILAgwCDQIIAggCCAIIAggCCAIIAggCCAIIAggCCAIIAggCCAIIAggAAgMCwAIeAALZAgICJQIEAgUCBgIHAggCCQIKAgsCDAINAggCCAIIAggCCAIIAggCCAIIAggCCAIIAggCCAIIAggCCAACAwImAh4AAtkCAgIzAgQCBQIGAgcCCAIJAqoCCwIMAg0CCAIIAggCCAIIAggCCAIIAggCCAIIAggCCAIIAggCCAIIAAIDAsMCHgAC2QICAisCBAIFAgYCBwIIAgkCCgILAgwCDQIIAggCCAIIAggCCAIIAggCCAIIAggCCAIIAggCCAIIAggAAgMCLAIeAALZAgICQwIEAgUCBgIHAggCCQI9AgsCDAINAggCCAIIAggCCAIIAggCCAIIAggCCAIIAggCCAIIAggCCAACAwK/Ah4AAtkCAgJBAgQCBQIGAgcCCAIJAgoCCwIMAg0CCAIIAggCCAIIAggCCAIIAggCCAIIAggCCAIIAggCCAIIAAIDAsICHgAC2QICAi8CBAIFAgYCBwIIAgkCPQILAgwCDQIIAggCCAIIAggCCAIIAggCCAIIAggCCAIIAggCCAIIAggAAgMCoQIeAALZAgICQQIEAgUCBgIHAggCCQKqAgsCDAINAggCCAIIAggCCAIIAggCCAIIAggCCAIIAggCCAIIAggCCAACAwLBAh4AAtkCAgIpAgQCBQIGAgcCCAIJAgoCCwIMAg0CCAIIAggCCAIIAggCCAIIAggCCAIIAggCCAIIAggCCAIIAAIDAioCHgAC2QICAlMCBAIFAgYCBwIIAgkCCgILAgwCDQIIAggCCAIIAggCCAIIAggCCAIIAggCCAIIAggCCAIIAggAAgMCugIeAALZAgICYQIEAgUCBgIHAggCCQI9AgsCDAINAggCCAIIAggCCAIIAggCCAIIAggCCAIIAggCCAIIAggCCAACAwLKAh4AAtkCAgItAgQCBQIGAgcCCAIJAgoCCwIMAg0CCAIIAggCCAIIAggCCAIIAggCCAIIAggCCAIIAggCCAIIAAIDAi4CHgAC2QICAisCBAIFAgYCBwIIAgkCqgILAgwCDQIIAggCCAIIAggCCAIIAggCCAIIAggCCAIIAggCCAIIAggAAgMCsQIeAALZAgICSgIEAgUCBgIHAggCCQI9AgsCDAINAggCCAIIAggCCAIIAggCCAIIAggCCAIIAggCCAIIAggCCAACAwKtAh4AAtkCAgI1AgQCBQIGAgcCCAIJAgoCCwIMAg0CCAIIAggCCAIIAggCCAIIAggCCAIIAggCCAIIAggCCAIIAAIDAjYCHgAC2QICegAABAACGwIEAgUCBgIHAggCCQI9AgsCDAINAggCCAIIAggCCAIIAggCCAIIAggCCAIIAggCCAIIAggCCAACAwKjAh4AAtkCAgI1AgQCBQIGAgcCCAIJAqoCCwIMAg0CCAIIAggCCAIIAggCCAIIAggCCAIIAggCCAIIAggCCAIIAAIDAlACHgAC2QICAlMCBAIFAgYCBwIIAgkCqgILAgwCDQIIAggCCAIIAggCCAIIAggCCAIIAggCCAIIAggCCAIIAggAAgMCvAIeAALZAgICagIEAgUCBgIHAggCCQKqAgsCDAINAggCCAIIAggCCAIIAggCCAIIAggCCAIIAggCCAIIAggCCAACAwKwAh4AAtkCAgIhAgQCBQIGAgcCCAIJAj0CCwIMAg0CCAIIAggCCAIIAggCCAIIAggCCAIIAggCCAIIAggCCAIIAAIDAqUCHgAC2QICAhsCBAIFAgYCBwIIAgkCCgILAgwCDQIIAggCCAIIAggCCAIIAggCCAIIAggCCAIIAggCCAIIAggAAgMCHAIeAALZAgICIQIEAgUCBgIHAggCCQIKAgsCDAINAggCCAIIAggCCAIIAggCCAIIAggCCAIIAggCCAIIAggCCAACAwIiAh4AAtkCAgIlAgQCBQIGAgcCCAIJAj0CCwIMAg0CCAIIAggCCAIIAggCCAIIAggCCAIIAggCCAIIAggCCAIIAAIDAqQCHgAC2QICAi0CBAIFAgYCBwIIAgkCqgILAgwCDQIIAggCCAIIAggCCAIIAggCCAIIAggCCAIIAggCCAIIAggAAgMCuQIeAALZAgICQQIEAgUCBgIHAggCCQI9AgsCDAINAggCCAIIAggCCAIIAggCCAIIAggCCAIIAggCCAIIAggCCAACAwLNAh4AAtkCAgIhAgQCBQIGAgcCCAIJAqoCCwIMAg0CCAIIAggCCAIIAggCCAIIAggCCAIIAggCCAIIAggCCAIIAAIDAswCHgAC2QICAkoCBAIFAgYCBwIIAgkCqgILAgwCDQIIAggCCAIIAggCCAIIAggCCAIIAggCCAIIAggCCAIIAggAAgMCtQIeAALZAgICKQIEAgUCBgIHAggCCQKqAgsCDAINAggCCAIIAggCCAIIAggCCAIIAggCCAIIAggCCAIIAggCCAACAwJQAh4AAtkCAgIzAgQCBQIGAgcCCAIJAj0CCwIMAg0CCAIIAggCCAIIAggCCAIIAggCCAIIAggCCAIIAggCCAIIAAIDApkCHgAC2QICAjECBAIFAgYCBwIIAgkCPQILAgwCDQIIAggCCAIIAggCCAIIAggCCAIIAggCCAIIAggCCAIIAggAAgMCnAIeAALZAgICkgIEdzkCBQIGAgcCCAIJAj0CCwIMAg0CCAIIAggCCAIIAggCCAIIAggCCAIIAggCCAIIAggCCAIIAAIDAtpzcQB+AAAAAAACc3EAfgAE///////////////+/////v////91cQB+AAcAAAAEATJrz3h4d8wCHgAC2QICAkwCBAIFAgYCBwIIAgkCPQILAgwCDQIIAggCCAIIAggCCAIIAggCCAIIAggCCAIIAggCCAIIAggAAgMCvgIeAALZAgICAwIEAgUCBgIHAggCCQI9AgsCDAINAggCCAIIAggCCAIIAggCCAIIAggCCAIIAggCCAIIAggCCAACAwKdAh4AAtkCAgKSAgQCBQIGAgcCCAIJAgoCCwIMAg0CCAIIAggCCAIIAggCCAIIAggCCAIIAggCCAIIAggCCAIIAAIDAttzcQB+AAAAAAACc3EAfgAE///////////////+/////v////91cQB+AAcAAAAELvQU/3h4egAABAACHgAC2QICAkcCBAIFAgYCBwIIAgkCCgILAgwCDQIIAggCCAIIAggCCAIIAggCCAIIAggCCAIIAggCCAIIAggAAgMCxwIeAALZAgICSgIEAgUCBgIHAggCCQIKAgsCDAINAggCCAIIAggCCAIIAggCCAIIAggCCAIIAggCCAIIAggCCAACAwK0Ah4AAtkCAgIxAgQCBQIGAgcCCAIJAgoCCwIMAg0CCAIIAggCCAIIAggCCAIIAggCCAIIAggCCAIIAggCCAIIAAIDAjICHgAC2QICAjECBAIFAgYCBwIIAgkCqgILAgwCDQIIAggCCAIIAggCCAIIAggCCAIIAggCCAIIAggCCAIIAggAAgMCxgIeAALZAgICMwIEAgUCBgIHAggCCQIKAgsCDAINAggCCAIIAggCCAIIAggCCAIIAggCCAIIAggCCAIIAggCCAACAwI0Ah4AAtkCAgJTAgQCBQIGAgcCCAIJAj0CCwIMAg0CCAIIAggCCAIIAggCCAIIAggCCAIIAggCCAIIAggCCAIIAAIDAsQCHgAC2QICAj8CBAIFAgYCBwIIAgkCPQILAgwCDQIIAggCCAIIAggCCAIIAggCCAIIAggCCAIIAggCCAIIAggAAgMCywIeAALZAgICGwIEAgUCBgIHAggCCQKqAgsCDAINAggCCAIIAggCCAIIAggCCAIIAggCCAIIAggCCAIIAggCCAACAwJQAh4AAtkCAgJHAgQCBQIGAgcCCAIJAqoCCwIMAg0CCAIIAggCCAIIAggCCAIIAggCCAIIAggCCAIIAggCCAIIAAIDAskCHgAC2QICAicCBAIFAgYCBwIIAgkCPQILAgwCDQIIAggCCAIIAggCCAIIAggCCAIIAggCCAIIAggCCAIIAggAAgMCoAIeAALZAgICHwIEAgUCBgIHAggCCQI9AgsCDAINAggCCAIIAggCCAIIAggCCAIIAggCCAIIAggCCAIIAggCCAACAwKmAh4AAtkCAgI/AgQCBQIGAgcCCAIJAgoCCwIMAg0CCAIIAggCCAIIAggCCAIIAggCCAIIAggCCAIIAggCCAIIAAIDAtUCHgAC2QICAiMCBAIFAgYCBwIIAgkCqgILAgwCDQIIAggCCAIIAggCCAIIAggCCAIIAggCCAIIAggCCAIIAggAAgMCrAIeAALZAgICPAIEAgUCBgIHAggCCQI9AgsCDAINAggCCAIIAggCCAIIAggCCAIIAggCCAIIAggCCAIIAggCCAACAwLFAh4AAtkCAgInAgQCBQIGAgcCCAIJAgoCCwIMAg0CCAIIAggCCAIIAggCCAIIAggCCAIIAggCCAIIAggCCAIIAAIDAigCHgACegAABADZAgICLQIEAgUCBgIHAggCCQI9AgsCDAINAggCCAIIAggCCAIIAggCCAIIAggCCAIIAggCCAIIAggCCAACAwKaAh4AAtkCAgI1AgQCBQIGAgcCCAIJAj0CCwIMAg0CCAIIAggCCAIIAggCCAIIAggCCAIIAggCCAIIAggCCAIIAAIDAp4CHgAC2QICAikCBAIFAgYCBwIIAgkCPQILAgwCDQIIAggCCAIIAggCCAIIAggCCAIIAggCCAIIAggCCAIIAggAAgMCmwIeAALZAgICkgIEAgUCBgIHAggCCQKqAgsCDAINAggCCAIIAggCCAIIAggCCAIIAggCCAIIAggCCAIIAggCCAACAwJQAh4AAtkCAgI/AgQCBQIGAgcCCAIJAqoCCwIMAg0CCAIIAggCCAIIAggCCAIIAggCCAIIAggCCAIIAggCCAIIAAIDAtICHgAC2QICAmMCBAIFAgYCBwIIAgkCqgILAgwCDQIIAggCCAIIAggCCAIIAggCCAIIAggCCAIIAggCCAIIAggAAgMCqwIeAALZAgICTAIEAgUCBgIHAggCCQKqAgsCDAINAggCCAIIAggCCAIIAggCCAIIAggCCAIIAggCCAIIAggCCAACAwLRAh4AAtkCAgJjAgQCBQIGAgcCCAIJAgoCCwIMAg0CCAIIAggCCAIIAggCCAIIAggCCAIIAggCCAIIAggCCAIIAAIDAtQCHgAC2QICAh0CBAIFAgYCBwIIAgkCqgILAgwCDQIIAggCCAIIAggCCAIIAggCCAIIAggCCAIIAggCCAIIAggAAgMCUAIeAALZAgICRwIEAgUCBgIHAggCCQI9AgsCDAINAggCCAIIAggCCAIIAggCCAIIAggCCAIIAggCCAIIAggCCAACAwLPAh4AAtkCAgIjAgQCBQIGAgcCCAIJAgoCCwIMAg0CCAIIAggCCAIIAggCCAIIAggCCAIIAggCCAIIAggCCAIIAAIDAiQCHgAC2QICAicCBAIFAgYCBwIIAgkCqgILAgwCDQIIAggCCAIIAggCCAIIAggCCAIIAggCCAIIAggCCAIIAggAAgMCUAIeAALZAgICAwIEAgUCBgIHAggCCQIKAgsCDAINAggCCAIIAggCCAIIAggCCAIIAggCCAIIAggCCAIIAggCCAACAwIOAh4AAtkCAgIDAgQCBQIGAgcCCAIJAqoCCwIMAg0CCAIIAggCCAIIAggCCAIIAggCCAIIAggCCAIIAggCCAIIAAIDAtACHgAC2QICAkwCBAIFAgYCBwIIAgkCCgILAgwCDQIIAggCCAIIAggCCAIIAggCCAIIAggCCAIIAggCCAIIAggAAgMCyAIeAALZAgICegAABAAdAgQCBQIGAgcCCAIJAgoCCwIMAg0CCAIIAggCCAIIAggCCAIIAggCCAIIAggCCAIIAggCCAIIAAIDAh4CHgAC3AAJMzE2Nzg1MjgwAgICLwIEAgUCBgIHAggCCQI9AgsCOQINAggCCAIIAggCCAIIAggCCAIIAggCCAIIAggCCAIIAggCCAIgAgMCZQIeAALcAgICHQIEAgUCBgIHAggCCQI9AgsCOQINAggCCAIIAggCCAIIAggCCAIIAggCCAIIAggCCAIIAggCCAIgAgMCggIeAALcAgICKwIEAgUCBgIHAggCCQI9AgsCOQINAggCCAIIAggCCAIIAggCCAIIAggCCAIIAggCCAIIAggCCAIgAgMCdgIeAALcAgICAwIEAgUCBgIHAggCCQI9AgsCOQINAggCCAIIAggCCAIIAggCCAIIAggCCAIIAggCCAIIAggCCAIgAgMCSQIeAALcAgICIQIEAgUCBgIHAggCCQI9AgsCOQINAggCCAIIAggCCAIIAggCCAIIAggCCAIIAggCCAIIAggCCAIgAgMCbgIeAALcAgICJwIEAgUCBgIHAggCCQI9AgsCOQINAggCCAIIAggCCAIIAggCCAIIAggCCAIIAggCCAIIAggCCAIgAgMChwIeAALcAgICGwIEAgUCBgIHAggCCQI9AgsCOQINAggCCAIIAggCCAIIAggCCAIIAggCCAIIAggCCAIIAggCCAIgAgMCkwIeAALcAgICMwIEAgUCBgIHAggCCQI9AgsCOQINAggCCAIIAggCCAIIAggCCAIIAggCCAIIAggCCAIIAggCCAIgAgMCZgIeAALcAgICLQIEAgUCBgIHAggCCQI9AgsCOQINAggCCAIIAggCCAIIAggCCAIIAggCCAIIAggCCAIIAggCCAIgAgMCdwIeAALcAgICHwIEAgUCBgIHAggCCQI9AgsCOQINAggCCAIIAggCCAIIAggCCAIIAggCCAIIAggCCAIIAggCCAIgAgMCRgIeAALcAgICJQIEAgUCBgIHAggCCQI9AgsCOQINAggCCAIIAggCCAIIAggCCAIIAggCCAIIAggCCAIIAggCCAIgAgMCWgIeAALcAgICIwIEAgUCBgIHAggCCQI9AgsCOQINAggCCAIIAggCCAIIAggCCAIIAggCCAIIAggCCAIIAggCCAIgAgMChQIeAALcAgICNQIEAgUCBgIHAggCCQI9AgsCOQINAggCCAIIAggCCAIIAggCCAIIAggCCAIIAggCCAIIAggCCAIgAgMCVQIeAALcAgICMQIEAgUCBgIHAggCCQI9AgsCOQINAggCCAIIAggCCAIIAggCCAIIAggCCAIIAggCegAABAAIAggCCAIIAiACAwKNAh4AAtwCAgIpAgQCBQIGAgcCCAIJAj0CCwI5Ag0CCAIIAggCCAIIAggCCAIIAggCCAIIAggCCAIIAggCCAIIAiACAwJ0Ah4AAt0ACTMzMDU1OTM2MAICAicCBAIFAgYCBwIIAgkCOAILAjkCDQIIAggCCAIIAggCCAIIAggCCAIIAggCCAIIAggCCAIIAggCEAIDAlACHgAC3QICAj8CBAIFAgYCBwIIAgkCOAILAjkCDQIIAggCCAIIAggCCAIIAggCCAIIAggCCAIIAggCCAIIAggCEAIDAmcCHgAC3QICAmECBAIFAgYCBwIIAgkCCgILAjkCDQIIAggCCAIIAggCCAIIAggCCAIIAggCCAIIAggCCAIIAggCEAIDAoACHgAC3QICAmoCBAIFAgYCBwIIAgkCPQILAjkCDQIIAggCCAIIAggCCAIIAggCCAIIAggCCAIIAggCCAIIAggCEAIDAnoCHgAC3QICAi8CBAIFAgYCBwIIAgkCCgILAjkCDQIIAggCCAIIAggCCAIIAggCCAIIAggCCAIIAggCCAIIAggCEAIDAnkCHgAC3QICAiUCBAIFAgYCBwIIAgkCOAILAjkCDQIIAggCCAIIAggCCAIIAggCCAIIAggCCAIIAggCCAIIAggCEAIDAn4CHgAC3QICAkMCBAIFAgYCBwIIAgkCCgILAjkCDQIIAggCCAIIAggCCAIIAggCCAIIAggCCAIIAggCCAIIAggCEAIDAn8CHgAC3QICAisCBAIFAgYCBwIIAgkCPQILAjkCDQIIAggCCAIIAggCCAIIAggCCAIIAggCCAIIAggCCAIIAggCEAIDAnYCHgAC3QICAkECBAIFAgYCBwIIAgkCOAILAjkCDQIIAggCCAIIAggCCAIIAggCCAIIAggCCAIIAggCCAIIAggCEAIDAowCHgAC3QICAlMCBAIFAgYCBwIIAgkCOAILAjkCDQIIAggCCAIIAggCCAIIAggCCAIIAggCCAIIAggCCAIIAggCEAIDAnACHgAC3QICAjUCBAIFAgYCBwIIAgkCOAILAjkCDQIIAggCCAIIAggCCAIIAggCCAIIAggCCAIIAggCCAIIAggCEAIDAlACHgAC3QICAjwCBAIFAgYCBwIIAgkCCgILAjkCDQIIAggCCAIIAggCCAIIAggCCAIIAggCCAIIAggCCAIIAggCEAIDAmACHgAC3QICAh8CBAIFAgYCBwIIAgkCCgILAjkCDQIIAggCCAIIAggCCAIIAggCCAIIAggCCAIIAggCCAIIAggCEAIDAlgCHgAC3QICAh0CBAIFAgYCBwIIAgkCPQILAjkCDQIIAggCegAABAAIAggCCAIIAggCCAIIAggCCAIIAggCCAIIAggCCAIQAgMCggIeAALdAgICTAIEAgUCBgIHAggCCQI4AgsCOQINAggCCAIIAggCCAIIAggCCAIIAggCCAIIAggCCAIIAggCCAIQAgMCWQIeAALdAgICAwIEAgUCBgIHAggCCQI4AgsCOQINAggCCAIIAggCCAIIAggCCAIIAggCCAIIAggCCAIIAggCCAIQAgMCVwIeAALdAgICIwIEAgUCBgIHAggCCQI9AgsCOQINAggCCAIIAggCCAIIAggCCAIIAggCCAIIAggCCAIIAggCCAIQAgMChQIeAALdAgICYwIEAgUCBgIHAggCCQI9AgsCOQINAggCCAIIAggCCAIIAggCCAIIAggCCAIIAggCCAIIAggCCAIQAgMChAIeAALdAgICagIEAgUCBgIHAggCCQIKAgsCOQINAggCCAIIAggCCAIIAggCCAIIAggCCAIIAggCCAIIAggCCAIQAgMCawIeAALdAgICKwIEAgUCBgIHAggCCQIKAgsCOQINAggCCAIIAggCCAIIAggCCAIIAggCCAIIAggCCAIIAggCCAIQAgMCaQIeAALdAgICQwIEAgUCBgIHAggCCQI9AgsCOQINAggCCAIIAggCCAIIAggCCAIIAggCCAIIAggCCAIIAggCCAIQAgMCRAIeAALdAgICQQIEAgUCBgIHAggCCQIKAgsCOQINAggCCAIIAggCCAIIAggCCAIIAggCCAIIAggCCAIIAggCCAIQAgMCQgIeAALdAgICYQIEAgUCBgIHAggCCQI9AgsCOQINAggCCAIIAggCCAIIAggCCAIIAggCCAIIAggCCAIIAggCCAIQAgMCYgIeAALdAgICLwIEAgUCBgIHAggCCQI9AgsCOQINAggCCAIIAggCCAIIAggCCAIIAggCCAIIAggCCAIIAggCCAIQAgMCZQIeAALdAgICHwIEAgUCBgIHAggCCQI4AgsCOQINAggCCAIIAggCCAIIAggCCAIIAggCCAIIAggCCAIIAggCCAIQAgMCdQIeAALdAgICPAIEAgUCBgIHAggCCQI4AgsCOQINAggCCAIIAggCCAIIAggCCAIIAggCCAIIAggCCAIIAggCCAIQAgMCeAIeAALdAgICYwIEAgUCBgIHAggCCQI4AgsCOQINAggCCAIIAggCCAIIAggCCAIIAggCCAIIAggCCAIIAggCCAIQAgMCZAIeAALdAgICKQIEAgUCBgIHAggCCQIKAgsCOQINAggCCAIIAggCCAIIAggCCAIIAggCCAIIAggCCAIIAggCCAIQAgMCaAIeAALdAgICUwIEAgUCBgIHAggCCQIKegAABAACCwI5Ag0CCAIIAggCCAIIAggCCAIIAggCCAIIAggCCAIIAggCCAIIAhACAwJbAh4AAt0CAgKSAgQCBQIGAgcCCAIJAjgCCwI5Ag0CCAIIAggCCAIIAggCCAIIAggCCAIIAggCCAIIAggCCAIIAhACAwJQAh4AAt0CAgJKAgQCBQIGAgcCCAIJAj0CCwI5Ag0CCAIIAggCCAIIAggCCAIIAggCCAIIAggCCAIIAggCCAIIAhACAwJtAh4AAt0CAgItAgQCBQIGAgcCCAIJAgoCCwI5Ag0CCAIIAggCCAIIAggCCAIIAggCCAIIAggCCAIIAggCCAIIAhACAwJeAh4AAt0CAgI1AgQCBQIGAgcCCAIJAgoCCwI5Ag0CCAIIAggCCAIIAggCCAIIAggCCAIIAggCCAIIAggCCAIIAhACAwJcAh4AAt0CAgIlAgQCBQIGAgcCCAIJAgoCCwI5Ag0CCAIIAggCCAIIAggCCAIIAggCCAIIAggCCAIIAggCCAIIAhACAwJFAh4AAt0CAgIxAgQCBQIGAgcCCAIJAjgCCwI5Ag0CCAIIAggCCAIIAggCCAIIAggCCAIIAggCCAIIAggCCAIIAhACAwJdAh4AAt0CAgJHAgQCBQIGAgcCCAIJAjgCCwI5Ag0CCAIIAggCCAIIAggCCAIIAggCCAIIAggCCAIIAggCCAIIAhACAwJIAh4AAt0CAgIbAgQCBQIGAgcCCAIJAj0CCwI5Ag0CCAIIAggCCAIIAggCCAIIAggCCAIIAggCCAIIAggCCAIIAhACAwKTAh4AAt0CAgIhAgQCBQIGAgcCCAIJAj0CCwI5Ag0CCAIIAggCCAIIAggCCAIIAggCCAIIAggCCAIIAggCCAIIAhACAwJuAh4AAt0CAgIrAgQCBQIGAgcCCAIJAjgCCwI5Ag0CCAIIAggCCAIIAggCCAIIAggCCAIIAggCCAIIAggCCAIIAhACAwJ8Ah4AAt0CAgJBAgQCBQIGAgcCCAIJAj0CCwI5Ag0CCAIIAggCCAIIAggCCAIIAggCCAIIAggCCAIIAggCCAIIAhACAwJWAh4AAt0CAgIlAgQCBQIGAgcCCAIJAj0CCwI5Ag0CCAIIAggCCAIIAggCCAIIAggCCAIIAggCCAIIAggCCAIIAhACAwJaAh4AAt0CAgJqAgQCBQIGAgcCCAIJAjgCCwI5Ag0CCAIIAggCCAIIAggCCAIIAggCCAIIAggCCAIIAggCCAIIAhACAwKGAh4AAt0CAgIhAgQCBQIGAgcCCAIJAgoCCwI5Ag0CCAIIAggCCAIIAggCCAIIAggCCAIIAggCCAIIAggCCAIIAhACAwJ9Ah4AAt0CAgI/AgQCegAABAAFAgYCBwIIAgkCPQILAjkCDQIIAggCCAIIAggCCAIIAggCCAIIAggCCAIIAggCCAIIAggCEAIDAoMCHgAC3QICAh0CBAIFAgYCBwIIAgkCOAILAjkCDQIIAggCCAIIAggCCAIIAggCCAIIAggCCAIIAggCCAIIAggCEAIDAlACHgAC3QICAjMCBAIFAgYCBwIIAgkCPQILAjkCDQIIAggCCAIIAggCCAIIAggCCAIIAggCCAIIAggCCAIIAggCEAIDAmYCHgAC3QICAgMCBAIFAgYCBwIIAgkCPQILAjkCDQIIAggCCAIIAggCCAIIAggCCAIIAggCCAIIAggCCAIIAggCEAIDAkkCHgAC3QICApICBAIFAgYCBwIIAgkCCgILAjkCDQIIAggCCAIIAggCCAIIAggCCAIIAggCCAIIAggCCAIIAggCEAIDApQCHgAC3QICAkoCBAIFAgYCBwIIAgkCOAILAjkCDQIIAggCCAIIAggCCAIIAggCCAIIAggCCAIIAggCCAIIAggCEAIDAksCHgAC3QICAikCBAIFAgYCBwIIAgkCOAILAjkCDQIIAggCCAIIAggCCAIIAggCCAIIAggCCAIIAggCCAIIAggCEAIDAlACHgAC3QICAi0CBAIFAgYCBwIIAgkCOAILAjkCDQIIAggCCAIIAggCCAIIAggCCAIIAggCCAIIAggCCAIIAggCEAIDAlECHgAC3QICApICBAIFAgYCBwIIAgkCPQILAjkCDQIIAggCCAIIAggCCAIIAggCCAIIAggCCAIIAggCCAIIAggCEAIDApYCHgAC3QICAiMCBAIFAgYCBwIIAgkCOAILAjkCDQIIAggCCAIIAggCCAIIAggCCAIIAggCCAIIAggCCAIIAggCEAIDAl8CHgAC3QICAlMCBAIFAgYCBwIIAgkCPQILAjkCDQIIAggCCAIIAggCCAIIAggCCAIIAggCCAIIAggCCAIIAggCEAIDAlQCHgAC3QICAkoCBAIFAgYCBwIIAgkCCgILAjkCDQIIAggCCAIIAggCCAIIAggCCAIIAggCCAIIAggCCAIIAggCEAIDAokCHgAC3QICAkwCBAIFAgYCBwIIAgkCPQILAjkCDQIIAggCCAIIAggCCAIIAggCCAIIAggCCAIIAggCCAIIAggCEAIDAk0CHgAC3QICAjECBAIFAgYCBwIIAgkCCgILAjkCDQIIAggCCAIIAggCCAIIAggCCAIIAggCCAIIAggCCAIIAggCEAIDAk4CHgAC3QICAjMCBAIFAgYCBwIIAgkCCgILAjkCDQIIAggCCAIIAggCCAIIAggCCAIIAggCCAIIAggCCAIIAggCEAIDAk8CegAABAAeAALdAgICRwIEAgUCBgIHAggCCQIKAgsCOQINAggCCAIIAggCCAIIAggCCAIIAggCCAIIAggCCAIIAggCCAIQAgMCUgIeAALdAgICJwIEAgUCBgIHAggCCQI9AgsCOQINAggCCAIIAggCCAIIAggCCAIIAggCCAIIAggCCAIIAggCCAIQAgMChwIeAALdAgICGwIEAgUCBgIHAggCCQIKAgsCOQINAggCCAIIAggCCAIIAggCCAIIAggCCAIIAggCCAIIAggCCAIQAgMClQIeAALdAgICJwIEAgUCBgIHAggCCQIKAgsCOQINAggCCAIIAggCCAIIAggCCAIIAggCCAIIAggCCAIIAggCCAIQAgMCOwIeAALdAgICHQIEAgUCBgIHAggCCQIKAgsCOQINAggCCAIIAggCCAIIAggCCAIIAggCCAIIAggCCAIIAggCCAIQAgMCcQIeAALdAgICIQIEAgUCBgIHAggCCQI4AgsCOQINAggCCAIIAggCCAIIAggCCAIIAggCCAIIAggCCAIIAggCCAIQAgMCOgIeAALdAgICPwIEAgUCBgIHAggCCQIKAgsCOQINAggCCAIIAggCCAIIAggCCAIIAggCCAIIAggCCAIIAggCCAIQAgMCQAIeAALdAgICPAIEAgUCBgIHAggCCQI9AgsCOQINAggCCAIIAggCCAIIAggCCAIIAggCCAIIAggCCAIIAggCCAIQAgMCPgIeAALdAgICGwIEAgUCBgIHAggCCQI4AgsCOQINAggCCAIIAggCCAIIAggCCAIIAggCCAIIAggCCAIIAggCCAIQAgMCUAIeAALdAgICAwIEAgUCBgIHAggCCQIKAgsCOQINAggCCAIIAggCCAIIAggCCAIIAggCCAIIAggCCAIIAggCCAIQAgMCiwIeAALdAgICKQIEAgUCBgIHAggCCQI9AgsCOQINAggCCAIIAggCCAIIAggCCAIIAggCCAIIAggCCAIIAggCCAIQAgMCdAIeAALdAgICNQIEAgUCBgIHAggCCQI9AgsCOQINAggCCAIIAggCCAIIAggCCAIIAggCCAIIAggCCAIIAggCCAIQAgMCVQIeAALdAgICLQIEAgUCBgIHAggCCQI9AgsCOQINAggCCAIIAggCCAIIAggCCAIIAggCCAIIAggCCAIIAggCCAIQAgMCdwIeAALdAgICQwIEAgUCBgIHAggCCQI4AgsCOQINAggCCAIIAggCCAIIAggCCAIIAggCCAIIAggCCAIIAggCCAIQAgMCewIeAALdAgICYwIEAgUCBgIHAggCCQIKAgsCOQINAggCCAIIAggCCAIIAggCCAIIAggCCAIIAggCCAIIegAABAACCAIIAhACAwJzAh4AAt0CAgIjAgQCBQIGAgcCCAIJAgoCCwI5Ag0CCAIIAggCCAIIAggCCAIIAggCCAIIAggCCAIIAggCCAIIAhACAwJyAh4AAt0CAgJHAgQCBQIGAgcCCAIJAj0CCwI5Ag0CCAIIAggCCAIIAggCCAIIAggCCAIIAggCCAIIAggCCAIIAhACAwKIAh4AAt0CAgIxAgQCBQIGAgcCCAIJAj0CCwI5Ag0CCAIIAggCCAIIAggCCAIIAggCCAIIAggCCAIIAggCCAIIAhACAwKNAh4AAt0CAgJMAgQCBQIGAgcCCAIJAgoCCwI5Ag0CCAIIAggCCAIIAggCCAIIAggCCAIIAggCCAIIAggCCAIIAhACAwKKAh4AAt0CAgIvAgQCBQIGAgcCCAIJAjgCCwI5Ag0CCAIIAggCCAIIAggCCAIIAggCCAIIAggCCAIIAggCCAIIAhACAwJsAh4AAt0CAgIfAgQCBQIGAgcCCAIJAj0CCwI5Ag0CCAIIAggCCAIIAggCCAIIAggCCAIIAggCCAIIAggCCAIIAhACAwJGAh4AAt0CAgIzAgQCBQIGAgcCCAIJAjgCCwI5Ag0CCAIIAggCCAIIAggCCAIIAggCCAIIAggCCAIIAggCCAIIAhACAwKBAh4AAt0CAgJhAgQCBQIGAgcCCAIJAjgCCwI5Ag0CCAIIAggCCAIIAggCCAIIAggCCAIIAggCCAIIAggCCAIIAhACAwJvAh4AAt4ACTMzMDU2MDUyMAICAi8CBAIFAgYCBwIIAgkCqgILAgwCDQIIAggCCAIIAggCCAIIAggCCAIIAggCCAIIAggCCAIIAggCEQIDAr0CHgAC3gICAmECBAIFAgYCBwIIAgkCqgILAgwCDQIIAggCCAIIAggCCAIIAggCCAIIAggCCAIIAggCCAIIAggCEQIDAq4CHgAC3gICAmMCBAIFAgYCBwIIAgkCCgILAgwCDQIIAggCCAIIAggCCAIIAggCCAIIAggCCAIIAggCCAIIAggCEQIDAtQCHgAC3gICAh0CBAIFAgYCBwIIAgkCPQILAgwCDQIIAggCCAIIAggCCAIIAggCCAIIAggCCAIIAggCCAIIAggCEQIDAp8CHgAC3gICAiMCBAIFAgYCBwIIAgkCCgILAgwCDQIIAggCCAIIAggCCAIIAggCCAIIAggCCAIIAggCCAIIAggCEQIDAiQCHgAC3gICAkoCBAIFAgYCBwIIAgkCPQILAgwCDQIIAggCCAIIAggCCAIIAggCCAIIAggCCAIIAggCCAIIAggCEQIDAq0CHgAC3gICAmMCBAIFAgYCBwIIAgkCqgILAgwCDQIIAggCCAIIegAABAACCAIIAggCCAIIAggCCAIIAggCCAIIAggCCAIRAgMCqwIeAALeAgICIwIEAgUCBgIHAggCCQKqAgsCDAINAggCCAIIAggCCAIIAggCCAIIAggCCAIIAggCCAIIAggCCAIRAgMCrAIeAALeAgICYQIEAgUCBgIHAggCCQIKAgsCDAINAggCCAIIAggCCAIIAggCCAIIAggCCAIIAggCCAIIAggCCAIRAgMCuwIeAALeAgICLwIEAgUCBgIHAggCCQIKAgsCDAINAggCCAIIAggCCAIIAggCCAIIAggCCAIIAggCCAIIAggCCAIRAgMCMAIeAALeAgICKQIEAgUCBgIHAggCCQI9AgsCDAINAggCCAIIAggCCAIIAggCCAIIAggCCAIIAggCCAIIAggCCAIRAgMCmwIeAALeAgICagIEAgUCBgIHAggCCQI9AgsCDAINAggCCAIIAggCCAIIAggCCAIIAggCCAIIAggCCAIIAggCCAIRAgMC0wIeAALeAgICKwIEAgUCBgIHAggCCQI9AgsCDAINAggCCAIIAggCCAIIAggCCAIIAggCCAIIAggCCAIIAggCCAIRAgMCogIeAALeAgICLQIEAgUCBgIHAggCCQI9AgsCDAINAggCCAIIAggCCAIIAggCCAIIAggCCAIIAggCCAIIAggCCAIRAgMCmgIeAALeAgICSgIEAgUCBgIHAggCCQIKAgsCDAINAggCCAIIAggCCAIIAggCCAIIAggCCAIIAggCCAIIAggCCAIRAgMCtAIeAALeAgICTAIEAgUCBgIHAggCCQKqAgsCDAINAggCCAIIAggCCAIIAggCCAIIAggCCAIIAggCCAIIAggCCAIRAgMC0QIeAALeAgICPwIEAgUCBgIHAggCCQKqAgsCDAINAggCCAIIAggCCAIIAggCCAIIAggCCAIIAggCCAIIAggCCAIRAgMC0gIeAALeAgICJwIEAgUCBgIHAggCCQKqAgsCDAINAggCCAIIAggCCAIIAggCCAIIAggCCAIIAggCCAIIAggCCAIRAgMCUAIeAALeAgICAwIEAgUCBgIHAggCCQKqAgsCDAINAggCCAIIAggCCAIIAggCCAIIAggCCAIIAggCCAIIAggCCAIRAgMC0AIeAALeAgICTAIEAgUCBgIHAggCCQIKAgsCDAINAggCCAIIAggCCAIIAggCCAIIAggCCAIIAggCCAIIAggCCAIRAgMCyAIeAALeAgICYwIEAgUCBgIHAggCCQI9AgsCDAINAggCCAIIAggCCAIIAggCCAIIAggCCAIIAggCCAIIAggCCAIRAgMCuAIeAALeAgICHQIEAgUCBgIHAggCCQKqAgsCegAABAAMAg0CCAIIAggCCAIIAggCCAIIAggCCAIIAggCCAIIAggCCAIIAhECAwJQAh4AAt4CAgIdAgQCBQIGAgcCCAIJAgoCCwIMAg0CCAIIAggCCAIIAggCCAIIAggCCAIIAggCCAIIAggCCAIIAhECAwIeAh4AAt4CAgIjAgQCBQIGAgcCCAIJAj0CCwIMAg0CCAIIAggCCAIIAggCCAIIAggCCAIIAggCCAIIAggCCAIIAhECAwKYAh4AAt4CAgJDAgQCBQIGAgcCCAIJAgoCCwIMAg0CCAIIAggCCAIIAggCCAIIAggCCAIIAggCCAIIAggCCAIIAhECAwK2Ah4AAt4CAgIhAgQCBQIGAgcCCAIJAgoCCwIMAg0CCAIIAggCCAIIAggCCAIIAggCCAIIAggCCAIIAggCCAIIAhECAwIiAh4AAt4CAgJKAgQCBQIGAgcCCAIJAqoCCwIMAg0CCAIIAggCCAIIAggCCAIIAggCCAIIAggCCAIIAggCCAIIAhECAwK1Ah4AAt4CAgIDAgQCBQIGAgcCCAIJAgoCCwIMAg0CCAIIAggCCAIIAggCCAIIAggCCAIIAggCCAIIAggCCAIIAhECAwIOAh4AAt4CAgKSAgQCBQIGAgcCCAIJAj0CCwIMAg0CCAIIAggCCAIIAggCCAIIAggCCAIIAggCCAIIAggCCAIIAhECAwLaAh4AAt4CAgJDAgQCBQIGAgcCCAIJAqoCCwIMAg0CCAIIAggCCAIIAggCCAIIAggCCAIIAggCCAIIAggCCAIIAhECAwKzAh4AAt4CAgJHAgQCBQIGAgcCCAIJAj0CCwIMAg0CCAIIAggCCAIIAggCCAIIAggCCAIIAggCCAIIAggCCAIIAhECAwLPAh4AAt4CAgIxAgQCBQIGAgcCCAIJAj0CCwIMAg0CCAIIAggCCAIIAggCCAIIAggCCAIIAggCCAIIAggCCAIIAhECAwKcAh4AAt4CAgIxAgQCBQIGAgcCCAIJAgoCCwIMAg0CCAIIAggCCAIIAggCCAIIAggCCAIIAggCCAIIAggCCAIIAhECAwIyAh4AAt4CAgJMAgQCBQIGAgcCCAIJAj0CCwIMAg0CCAIIAggCCAIIAggCCAIIAggCCAIIAggCCAIIAggCCAIIAhECAwK+Ah4AAt4CAgJHAgQCBQIGAgcCCAIJAgoCCwIMAg0CCAIIAggCCAIIAggCCAIIAggCCAIIAggCCAIIAggCCAIIAhECAwLHAh4AAt4CAgIbAgQCBQIGAgcCCAIJAqoCCwIMAg0CCAIIAggCCAIIAggCCAIIAggCCAIIAggCCAIIAggCCAIIAhECAwJQAh4AAt4CAgIhAgQCBQIGegAABAACBwIIAgkCqgILAgwCDQIIAggCCAIIAggCCAIIAggCCAIIAggCCAIIAggCCAIIAggCEQIDAswCHgAC3gICAkcCBAIFAgYCBwIIAgkCqgILAgwCDQIIAggCCAIIAggCCAIIAggCCAIIAggCCAIIAggCCAIIAggCEQIDAskCHgAC3gICAj8CBAIFAgYCBwIIAgkCPQILAgwCDQIIAggCCAIIAggCCAIIAggCCAIIAggCCAIIAggCCAIIAggCEQIDAssCHgAC3gICAicCBAIFAgYCBwIIAgkCPQILAgwCDQIIAggCCAIIAggCCAIIAggCCAIIAggCCAIIAggCCAIIAggCEQIDAqACHgAC3gICAhsCBAIFAgYCBwIIAgkCCgILAgwCDQIIAggCCAIIAggCCAIIAggCCAIIAggCCAIIAggCCAIIAggCEQIDAhwCHgAC3gICAiUCBAIFAgYCBwIIAgkCPQILAgwCDQIIAggCCAIIAggCCAIIAggCCAIIAggCCAIIAggCCAIIAggCEQIDAqQCHgAC3gICAh8CBAIFAgYCBwIIAgkCPQILAgwCDQIIAggCCAIIAggCCAIIAggCCAIIAggCCAIIAggCCAIIAggCEQIDAqYCHgAC3gICAjwCBAIFAgYCBwIIAgkCPQILAgwCDQIIAggCCAIIAggCCAIIAggCCAIIAggCCAIIAggCCAIIAggCEQIDAsUCHgAC3gICAicCBAIFAgYCBwIIAgkCCgILAgwCDQIIAggCCAIIAggCCAIIAggCCAIIAggCCAIIAggCCAIIAggCEQIDAigCHgAC3gICAkECBAIFAgYCBwIIAgkCCgILAgwCDQIIAggCCAIIAggCCAIIAggCCAIIAggCCAIIAggCCAIIAggCEQIDAsICHgAC3gICAkECBAIFAgYCBwIIAgkCqgILAgwCDQIIAggCCAIIAggCCAIIAggCCAIIAggCCAIIAggCCAIIAggCEQIDAsECHgAC3gICAiUCBAIFAgYCBwIIAgkCCgILAgwCDQIIAggCCAIIAggCCAIIAggCCAIIAggCCAIIAggCCAIIAggCEQIDAiYCHgAC3gICAj8CBAIFAgYCBwIIAgkCCgILAgwCDQIIAggCCAIIAggCCAIIAggCCAIIAggCCAIIAggCCAIIAggCEQIDAtUCHgAC3gICAiUCBAIFAgYCBwIIAgkCqgILAgwCDQIIAggCCAIIAggCCAIIAggCCAIIAggCCAIIAggCCAIIAggCEQIDAsACHgAC3gICAjMCBAIFAgYCBwIIAgkCqgILAgwCDQIIAggCCAIIAggCCAIIAggCCAIIAggCCAIIAggCCAIIAggCEQIDAsMCHgACegAABADeAgICUwIEAgUCBgIHAggCCQI9AgsCDAINAggCCAIIAggCCAIIAggCCAIIAggCCAIIAggCCAIIAggCCAIRAgMCxAIeAALeAgICNQIEAgUCBgIHAggCCQI9AgsCDAINAggCCAIIAggCCAIIAggCCAIIAggCCAIIAggCCAIIAggCCAIRAgMCngIeAALeAgICMQIEAgUCBgIHAggCCQKqAgsCDAINAggCCAIIAggCCAIIAggCCAIIAggCCAIIAggCCAIIAggCCAIRAgMCxgIeAALeAgICkgIEAgUCBgIHAggCCQKqAgsCDAINAggCCAIIAggCCAIIAggCCAIIAggCCAIIAggCCAIIAggCCAIRAgMCUAIeAALeAgICMwIEAgUCBgIHAggCCQIKAgsCDAINAggCCAIIAggCCAIIAggCCAIIAggCCAIIAggCCAIIAggCCAIRAgMCNAIeAALeAgICAwIEAgUCBgIHAggCCQI9AgsCDAINAggCCAIIAggCCAIIAggCCAIIAggCCAIIAggCCAIIAggCCAIRAgMCnQIeAALeAgICkgIEAgUCBgIHAggCCQIKAgsCDAINAggCCAIIAggCCAIIAggCCAIIAggCCAIIAggCCAIIAggCCAIRAgMC2wIeAALeAgICUwIEAgUCBgIHAggCCQIKAgsCDAINAggCCAIIAggCCAIIAggCCAIIAggCCAIIAggCCAIIAggCCAIRAgMCugIeAALeAgICNQIEAgUCBgIHAggCCQIKAgsCDAINAggCCAIIAggCCAIIAggCCAIIAggCCAIIAggCCAIIAggCCAIRAgMCNgIeAALeAgICYQIEAgUCBgIHAggCCQI9AgsCDAINAggCCAIIAggCCAIIAggCCAIIAggCCAIIAggCCAIIAggCCAIRAgMCygIeAALeAgICLQIEAgUCBgIHAggCCQIKAgsCDAINAggCCAIIAggCCAIIAggCCAIIAggCCAIIAggCCAIIAggCCAIRAgMCLgIeAALeAgICKwIEAgUCBgIHAggCCQKqAgsCDAINAggCCAIIAggCCAIIAggCCAIIAggCCAIIAggCCAIIAggCCAIRAgMCsQIeAALeAgICGwIEAgUCBgIHAggCCQI9AgsCDAINAggCCAIIAggCCAIIAggCCAIIAggCCAIIAggCCAIIAggCCAIRAgMCowIeAALeAgICHwIEAgUCBgIHAggCCQIKAgsCDAINAggCCAIIAggCCAIIAggCCAIIAggCCAIIAggCCAIIAggCCAIRAgMCIAIeAALeAgICQwIEAgUCBgIHAggCCQI9AgsCDAINAggCCAIIAggCCAIIAggCCAIIAggCCAIIAggCCAIIAggCegAABAAIAhECAwK/Ah4AAt4CAgJTAgQCBQIGAgcCCAIJAqoCCwIMAg0CCAIIAggCCAIIAggCCAIIAggCCAIIAggCCAIIAggCCAIIAhECAwK8Ah4AAt4CAgJqAgQCBQIGAgcCCAIJAqoCCwIMAg0CCAIIAggCCAIIAggCCAIIAggCCAIIAggCCAIIAggCCAIIAhECAwKwAh4AAt4CAgIhAgQCBQIGAgcCCAIJAj0CCwIMAg0CCAIIAggCCAIIAggCCAIIAggCCAIIAggCCAIIAggCCAIIAhECAwKlAh4AAt4CAgI8AgQCBQIGAgcCCAIJAqoCCwIMAg0CCAIIAggCCAIIAggCCAIIAggCCAIIAggCCAIIAggCCAIIAhECAwK3Ah4AAt4CAgIfAgQCBQIGAgcCCAIJAqoCCwIMAg0CCAIIAggCCAIIAggCCAIIAggCCAIIAggCCAIIAggCCAIIAhECAwKyAh4AAt4CAgIrAgQCBQIGAgcCCAIJAgoCCwIMAg0CCAIIAggCCAIIAggCCAIIAggCCAIIAggCCAIIAggCCAIIAhECAwIsAh4AAt4CAgJBAgQCBQIGAgcCCAIJAj0CCwIMAg0CCAIIAggCCAIIAggCCAIIAggCCAIIAggCCAIIAggCCAIIAhECAwLNAh4AAt4CAgItAgQCBQIGAgcCCAIJAqoCCwIMAg0CCAIIAggCCAIIAggCCAIIAggCCAIIAggCCAIIAggCCAIIAhECAwK5Ah4AAt4CAgJqAgQCBQIGAgcCCAIJAgoCCwIMAg0CCAIIAggCCAIIAggCCAIIAggCCAIIAggCCAIIAggCCAIIAhECAwKvAh4AAt4CAgI1AgQCBQIGAgcCCAIJAqoCCwIMAg0CCAIIAggCCAIIAggCCAIIAggCCAIIAggCCAIIAggCCAIIAhECAwJQAh4AAt4CAgI8AgQCBQIGAgcCCAIJAgoCCwIMAg0CCAIIAggCCAIIAggCCAIIAggCCAIIAggCCAIIAggCCAIIAhECAwLOAh4AAt4CAgIzAgQCBQIGAgcCCAIJAj0CCwIMAg0CCAIIAggCCAIIAggCCAIIAggCCAIIAggCCAIIAggCCAIIAhECAwKZAh4AAt4CAgIpAgQCBQIGAgcCCAIJAqoCCwIMAg0CCAIIAggCCAIIAggCCAIIAggCCAIIAggCCAIIAggCCAIIAhECAwJQAh4AAt4CAgIpAgQCBQIGAgcCCAIJAgoCCwIMAg0CCAIIAggCCAIIAggCCAIIAggCCAIIAggCCAIIAggCCAIIAhECAwIqAh4AAt4CAgIvAgQCBQIGAgcCCAIJAj0CCwIMAg0CCAIIAggCCAIIAggCCAIIAggCCAIIdxICCAIIAggCCAIIAggCEQIDAqE=]]></xxe4awand>
</file>

<file path=customXml/item14.xml><?xml version="1.0" encoding="utf-8"?>
<xxe4awand xmlns="http://www.excel4apps.com"><![CDATA[rO0ABXfZCMCtii8ABEkDAh4AAERjb20uZXhjZWw0YXBwcy53YW5kLm9yYWNsZS5n
bHdhbmQuY2FsY3VsYXRpb25zLmdldGJhbGFuY2UuR2V0QmFsYW5jZQIBAAkzMjYx
NTgxOTICAgABMAIDAAYyMDE3MDcCBAADWVREAgUAA1VTRAIGAAVUb3RhbAIHAAFB
AggAAAIJAAMwMDECCgAGMTkxMDAwAgsAAkdEAgwAAklEAg0AAkRMAggCCAIIAggC
CAIIAggCCAIIAggCCAIIAggCCAIIAggCCAIiAgMCDnNyAg8AFGphdmEubWF0aC5C
aWdEZWNpbWFsVMcVV/mBKE8DAAJJAhAABXNjYWxlTAIRAAZpbnRWYWx0ABZMamF2
YS9tYXRoL0JpZ0ludGVnZXI7eHICEgAQamF2YS5sYW5nLk51bWJlcoaslR0LlOCL
AgAAeHAAAAACc3ICEwAUamF2YS5tYXRoLkJpZ0ludGVnZXKM/J8fqTv7HQMABkkC
FAAIYml0Q291bnRJAhUACWJpdExlbmd0aEkCFgATZmlyc3ROb256ZXJvQnl0ZU51
bUkCFwAMbG93ZXN0U2V0Qml0SQIYAAZzaWdudW1bAhkACW1hZ25pdHVkZXQAAltC
eHEAfgAC///////////////+/////v////91cgIaAAJbQqzzF/gGCFTgAgAAeHAA
AAADTrgKeHh3TQIeAAIBAgICGwAGMjAxNzExAgQCBQIGAgcCCAIJAgoCCwIMAg0C
CAIIAggCCAIIAggCCAIIAggCCAIIAggCCAIIAggCCAIIAiICAwIcc3EAfgAAAAAA
AnNxAH4ABP///////////////v////7/////dXEAfgAHAAAABB7AdGx4eHdNAh4A
AgECAgIdAAYyMDE3MDkCBAIFAgYCBwIIAgkCCgILAgwCDQIIAggCCAIIAggCCAII
AggCCAIIAggCCAIIAggCCAIIAggCIgIDAh5zcQB+AAAAAAACc3EAfgAE////////
///////+/////gAAAAF1cQB+AAcAAAAEAloS0nh4d00CHgACAQICAh8ABjIwMTcw
NQIEAgUCBgIHAggCCQIKAgsCDAINAggCCAIIAggCCAIIAggCCAIIAggCCAIIAggC
CAIIAggCCAIiAgMCIHNxAH4AAAAAAAJzcQB+AAT///////////////7////+////
/3VxAH4ABwAAAAQC12dUeHh3TQIeAAIBAgICIQAGMjAxODAzAgQCBQIGAgcCCAIJ
AgoCCwIMAg0CCAIIAggCCAIIAggCCAIIAggCCAIIAggCCAIIAggCCAIIAiICAwIi
c3EAfgAAAAAAAnNxAH4ABP///////////////v////7/////dXEAfgAHAAAABATh
3pl4eHdNAh4AAgECAgIjAAYyMDE4MDECBAIFAgYCBwIIAgkCCgILAgwCDQIIAggC
CAIIAggCCAIIAggCCAIIAggCCAIIAggCCAIIAggCIgIDAiRzcQB+AAAAAAACc3EA
fgAE///////////////+/////v////91cQB+AAcAAAAEEKaLJHh4d00CHgACAQIC
AiUABjIwMTcwMwIEAgUCBgIHAggCCQIKAgsCDAINAggCCAIIAggCCAIIAggCCAII
AggCCAIIAggCCAIIAggCCAIiAgMCJnNxAH4AAAAAAAJzcQB+AAT/////////////
//7////+/////3VxAH4ABwAAAAQIvUgheHh3TQIeAAIBAgICJwAGMjAxNzEyAgQC
BQIGAgcCCAIJAgoCCwIMAg0CCAIIAggCCAIIAggCCAIIAggCCAIIAggCCAIIAggC
CAIIAiICAwIoc3EAfgAAAAAAAnNxAH4ABP///////////////v////7/////dXEA
fgAHAAAABBa3qKJ4eHdNAh4AAgECAgIpAAYyMDE3MDYCBAIFAgYCBwIIAgkCCgIL
AgwCDQIIAggCCAIIAggCCAIIAggCCAIIAggCCAIIAggCCAIIAggCIgIDAipzcQB+
AAAAAAACc3EAfgAE///////////////+/////v////91cQB+AAcAAAAEAW1K0nh4
d00CHgACAQICAisABjIwMTcwOAIEAgUCBgIHAggCCQIKAgsCDAINAggCCAIIAggC
CAIIAggCCAIIAggCCAIIAggCCAIIAggCCAIiAgMCLHNxAH4AAAAAAAJzcQB+AAT///////////////7////+AAAAAXVxAH4ABwAAAAP/iV54eHdNAh4AAgECAgItAAYyMDE3MTACBAIFAgYCBwIIAgkCCgILAgwCDQIIAggCCAIIAggCCAIIAggCCAIIAggCCAIIAggCCAIIAggCIgIDAi5zcQB+AAAAAAACc3EAfgAE///////////////+/////gAAAAF1cQB+AAcAAAAEBhtaanh4d00CHgACAQICAi8ABjIwMTcwMQIEAgUCBgIHAggCCQIKAgsCDAINAggCCAIIAggCCAIIAggCCAIIAggCCAIIAggCCAIIAggCCAIiAgMCMHNxAH4AAAAAAAJzcQB+AAT///////////////7////+/////3VxAH4ABwAAAAQUOveDeHh3TQIeAAIBAgICMQAGMjAxODAyAgQCBQIGAgcCCAIJAgoCCwIMAg0CCAIIAggCCAIIAggCCAIIAggCCAIIAggCCAIIAggCCAIIAiICAwIyc3EAfgAAAAAAAnNxAH4ABP///////////////v////7/////dXEAfgAHAAAABAor0+d4eHdNAh4AAgECAgIzAAYyMDE3MDICBAIFAgYCBwIIAgkCCgILAgwCDQIIAggCCAIIAggCCAIIAggCCAIIAggCCAIIAggCCAIIAggCIgIDAjRzcQB+AAAAAAACc3EAfgAE///////////////+/////v////91cQB+AAcAAAAEDgscSnh4d00CHgACAQICAjUABjIwMTcwNAIEAgUCBgIHAggCCQIKAgsCDAINAggCCAIIAggCCAIIAggCCAIIAggCCAIIAggCCAIIAggCCAIiAgMCNnNxAH4AAAAAAAJzcQB+AAT///////////////7////+/////3VxAH4ABwAAAAQFBKNBeHh3VAIeAAI3AAk0MjY0NTQ3OTICAgIpAgQCBQIGAgcCCAIJAgoCCwI4AAJXQQINAggCCAIIAggCCAIIAggCCAIIAggCCAIIAggCCAIIAggCCAIgAgMCOXNxAH4AAAAAAAJzcQB+AAT///////////////7////+/////3VxAH4ABwAAAAQD3U0geHh3RQIeAAI3AgICNQIEAgUCBgIHAggCCQIKAgsCOAINAggCCAIIAggCCAIIAggCCAIIAggCCAIIAggCCAIIAggCCAIgAgMCOnNxAH4AAAAAAAJzcQB+AAT///////////////7////+/////3VxAH4ABwAAAAQJ8GpGeHh3RQIeAAI3AgICMQIEAgUCBgIHAggCCQIKAgsCOAINAggCCAIIAggCCAIIAggCCAIIAggCCAIIAggCCAIIAggCCAIgAgMCO3NxAH4AAAAAAAJzcQB+AAT///////////////7////+/////3VxAH4ABwAAAAQZYudleHh3RQIeAAI3AgICIQIEAgUCBgIHAggCCQIKAgsCOAINAggCCAIIAggCCAIIAggCCAIIAggCCAIIAggCCAIIAggCCAIgAgMCPHNxAH4AAAAAAAJzcQB+AAT///////////////7////+/////3VxAH4ABwAAAAQOU8mMeHh3RQIeAAI3AgICJwIEAgUCBgIHAggCCQIKAgsCOAINAggCCAIIAggCCAIIAggCCAIIAggCCAIIAggCCAIIAggCCAIgAgMCPXNxAH4AAAAAAAJzcQB+AAT///////////////7////+/////3VxAH4ABwAAAAQ0Sb4jeHh3RQIeAAI3AgICHQIEAgUCBgIHAggCCQIKAgsCOAINAggCCAIIAggCCAIIAggCCAIIAggCCAIIAggCCAIIAggCCAIgAgMCPnNxAH4AAAAAAAJzcQB+AAT///////////////7////+AAAAAXVxAH4ABwAAAAQCjrCgeHh3RQIeAAI3AgICLwIEAgUCBgIHAggCCQIKAgsCOAINAggCCAIIAggCCAIIAggCCAIIAggCCAIIAggCCAIIAggCCAIgAgMCP3NxAH4AAAAAAAJzcQB+AAT///////////////7////+/////3VxAH4ABwAAAAQo6Ya2eHh3RQIeAAI3AgICJQIEAgUCBgIHAggCCQIKAgsCOAINAggCCAIIAggCCAIIAggCCAIIAggCCAIIAggCCAIIAggCCAIgAgMCQHNxAH4AAAAAAAJzcQB+AAT///////////////7////+/////3VxAH4ABwAAAAQQ/fIjeHh3RQIeAAI3AgICLQIEAgUCBgIHAggCCQIKAgsCOAINAggCCAIIAggCCAIIAggCCAIIAggCCAIIAggCCAIIAggCCAIgAgMCQXNxAH4AAAAAAAJzcQB+AAT///////////////7////+AAAAAXVxAH4ABwAAAAQJDRX9eHh3RQIeAAI3AgICHwIEAgUCBgIHAggCCQIKAgsCOAINAggCCAIIAggCCAIIAggCCAIIAggCCAIIAggCCAIIAggCCAIgAgMCQnNxAH4AAAAAAAJzcQB+AAT///////////////7////+/////3VxAH4ABwAAAAQGIRiFeHh3RQIeAAI3AgICAwIEAgUCBgIHAggCCQIKAgsCOAINAggCCAIIAggCCAIIAggCCAIIAggCCAIIAggCCAIIAggCCAIgAgMCQ3NxAH4AAAAAAAJzcQB+AAT///////////////7////+/////3VxAH4ABwAAAAQCCvb0eHh3RQIeAAI3AgICIwIEAgUCBgIHAggCCQIKAgsCOAINAggCCAIIAggCCAIIAggCCAIIAggCCAIIAggCCAIIAggCCAIgAgMCRHNxAH4AAAAAAAJzcQB+AAT///////////////7////+/////3VxAH4ABwAAAAQmcaNXeHh3RQIeAAI3AgICGwIEAgUCBgIHAggCCQIKAgsCOAINAggCCAIIAggCCAIIAggCCAIIAggCCAIIAggCCAIIAggCCAIgAgMCRXNxAH4AAAAAAAJzcQB+AAT///////////////7////+/////3VxAH4ABwAAAAREule8eHh3RQIeAAI3AgICMwIEAgUCBgIHAggCCQIKAgsCOAINAggCCAIIAggCCAIIAggCCAIIAggCCAIIAggCCAIIAggCCAIgAgMCRnNxAH4AAAAAAAJzcQB+AAT///////////////7////+/////3VxAH4ABwAAAAQbRzHTeHh3RQIeAAI3AgICKwIEAgUCBgIHAggCCQIKAgsCOAINAggCCAIIAggCCAIIAggCCAIIAggCCAIIAggCCAIIAggCCAIgAgMCR3NxAH4AAAAAAAJzcQB+AAT///////////////7////+/////3VxAH4ABwAAAAMylNZ4eHdYAh4AAkgACTMyOTgwNTA5NgICAgMCBAIFAgYCBwIIAgkCSQAGMTkxMDE1AgsCDAINAggCCAIIAggCCAIIAggCCAIIAggCCAIIAggCCAIIAggCCAIXAgMCSnNxAH4AAAAAAAJzcQB+AAT///////////////7////+/////3VxAH4ABwAAAAMSmrd4eHdNAh4AAkgCAgIrAgQCBQIGAgcCCAIJAksABjE5MTAxMAILAgwCDQIIAggCCAIIAggCCAIIAggCCAIIAggCCAIIAggCCAIIAggCFwIDAkxzcQB+AAAAAAACc3EAfgAE///////////////+/////v////91cQB+AAcAAAAENDlU6Hh4d00CHgACSAICAk0ABjIwMTYwOQIEAgUCBgIHAggCCQIKAgsCDAINAggCCAIIAggCCAIIAggCCAIIAggCCAIIAggCCAIIAggCCAIXAgMCTnNxAH4AAAAAAAJzcQB+AAT///////////////7////+/////3VxAH4ABwAAAAMy9xF4eHfPAh4AAkgCAgIvAgQCBQIGAgcCCAIJAgoCCwIMAg0CCAIIAggCCAIIAggCCAIIAggCCAIIAggCCAIIAggCCAIIAhcCAwIwAh4AAkgCAgIdAgQCBQIGAgcCCAIJAgoCCwIMAg0CCAIIAggCCAIIAggCCAIIAggCCAIIAggCCAIIAggCCAIIAhcCAwIeAh4AAkgCAgIrAgQCBQIGAgcCCAIJAkkCCwIMAg0CCAIIAggCCAIIAggCCAIIAggCCAIIAggCCAIIAggCCAIIAhcCAwJPc3EAfgAAAAAAAnNxAH4ABP///////////////v////7/////dXEAfgAHAAAAAxKer3h4d00CHgACSAICAlAABjIwMTYwNwIEAgUCBgIHAggCCQJLAgsCDAINAggCCAIIAggCCAIIAggCCAIIAggCCAIIAggCCAIIAggCCAIXAgMCUXNxAH4AAAAAAAJzcQB+AAT///////////////7////+/////3VxAH4ABwAAAAQu/eCSeHh3TQIeAAJIAgICUgAGMjAxNjEyAgQCBQIGAgcCCAIJAkkCCwIMAg0CCAIIAggCCAIIAggCCAIIAggCCAIIAggCCAIIAggCCAIIAhcCAwJTc3EAfgAAAAAAAnNxAH4ABP///////////////v////7/////dXEAfgAHAAAAAxJ/Bnh4d0UCHgACSAICAlACBAIFAgYCBwIIAgkCSQILAgwCDQIIAggCCAIIAggCCAIIAggCCAIIAggCCAIIAggCCAIIAggCFwIDAlRzcQB+AAAAAAACc3EAfgAE///////////////+/////v////91cQB+AAcAAAADEmtYeHh3TQIeAAJIAgICVQAGMjAxNjA4AgQCBQIGAgcCCAIJAksCCwIMAg0CCAIIAggCCAIIAggCCAIIAggCCAIIAggCCAIIAggCCAIIAhcCAwJWc3EAfgAAAAAAAnNxAH4ABP///////////////v////7/////dXEAfgAHAAAABDHvtRl4eHdFAh4AAkgCAgIdAgQCBQIGAgcCCAIJAksCCwIMAg0CCAIIAggCCAIIAggCCAIIAggCCAIIAggCCAIIAggCCAIIAhcCAwJXc3EAfgAAAAAAAnNxAH4ABP///////////////v////7/////dXEAfgAHAAAABDlFLv54eHdFAh4AAkgCAgIjAgQCBQIGAgcCCAIJAksCCwIMAg0CCAIIAggCCAIIAggCCAIIAggCCAIIAggCCAIIAggCCAIIAhcCAwJYc3EAfgAAAAAAAnNxAH4ABP///////////////v////7/////dXEAfgAHAAAABCkgj4V4eHdFAh4AAkgCAgInAgQCBQIGAgcCCAIJAkkCCwIMAg0CCAIIAggCCAIIAggCCAIIAggCCAIIAggCCAIIAggCCAIIAhcCAwJZc3EAfgAAAAAAAnNxAH4ABP///////////////v////4AAAAAdXEAfgAHAAAAAHh4d00CHgACSAICAloABjIwMTYxMQIEAgUCBgIHAggCCQJJAgsCDAINAggCCAIIAggCCAIIAggCCAIIAggCCAIIAggCCAIIAggCCAIXAgMCW3NxAH4AAAAAAAJzcQB+AAT///////////////7////+/////3VxAH4ABwAAAAMSexV4eHdFAh4AAkgCAgJVAgQCBQIGAgcCCAIJAkkCCwIMAg0CCAIIAggCCAIIAggCCAIIAggCCAIIAggCCAIIAggCCAIIAhcCAwJcc3EAfgAAAAAAAnNxAH4ABP///////////////v////7/////dXEAfgAHAAAAAxJvRnh4d4oCHgACSAICAjMCBAIFAgYCBwIIAgkCCgILAgwCDQIIAggCCAIIAggCCAIIAggCCAIIAggCCAIIAggCCAIIAggCFwIDAjQCHgACSAICAh0CBAIFAgYCBwIIAgkCSQILAgwCDQIIAggCCAIIAggCCAIIAggCCAIIAggCCAIIAggCCAIIAggCFwIDAl1zcQB+AAAAAAACc3EAfgAE///////////////+/////v////91cQB+AAcAAAADEqKoeHh3TQIeAAJIAgICXgAGMjAxNjA0AgQCBQIGAgcCCAIJAkkCCwIMAg0CCAIIAggCCAIIAggCCAIIAggCCAIIAggCCAIIAggCCAIIAhcCAwJfc3EAfgAAAAAAAnNxAH4ABP///////////////v////7/////dXEAfgAHAAAAAxJflHh4d0UCHgACSAICAh8CBAIFAgYCBwIIAgkCSQILAgwCDQIIAggCCAIIAggCCAIIAggCCAIIAggCCAIIAggCCAIIAggCFwIDAmBzcQB+AAAAAAACc3EAfgAE///////////////+/////v////91cQB+AAcAAAADEpLKeHh3TQIeAAJIAgICYQAGMjAxNjAyAgQCBQIGAgcCCAIJAgoCCwIMAg0CCAIIAggCCAIIAggCCAIIAggCCAIIAggCCAIIAggCCAIIAhcCAwJic3EAfgAAAAAAAnNxAH4ABP///////////////v////7/////dXEAfgAHAAAABARbkhB4eHeKAh4AAkgCAgIlAgQCBQIGAgcCCAIJAgoCCwIMAg0CCAIIAggCCAIIAggCCAIIAggCCAIIAggCCAIIAggCCAIIAhcCAwImAh4AAkgCAgJQAgQCBQIGAgcCCAIJAgoCCwIMAg0CCAIIAggCCAIIAggCCAIIAggCCAIIAggCCAIIAggCCAIIAhcCAwJjc3EAfgAAAAAAAnNxAH4ABP///////////////v////7/////dXEAfgAHAAAABAEGlGB4eHdFAh4AAkgCAgJSAgQCBQIGAgcCCAIJAksCCwIMAg0CCAIIAggCCAIIAggCCAIIAggCCAIIAggCCAIIAggCCAIIAhcCAwJkc3EAfgAAAAAAAnNxAH4ABP///////////////v////7/////dXEAfgAHAAAABBWstZ94eHdFAh4AAkgCAgJNAgQCBQIGAgcCCAIJAksCCwIMAg0CCAIIAggCCAIIAggCCAIIAggCCAIIAggCCAIIAggCCAIIAhcCAwJlc3EAfgAAAAAAAnNxAH4ABP///////////////v////7/////dXEAfgAHAAAABDO8lpJ4eHdFAh4AAkgCAgJNAgQCBQIGAgcCCAIJAkkCCwIMAg0CCAIIAggCCAIIAggCCAIIAggCCAIIAggCCAIIAggCCAIIAhcCAwJmc3EAfgAAAAAAAnNxAH4ABP///////////////v////7/////dXEAfgAHAAAAAxJzNXh4d00CHgACSAICAmcABjIwMTYwMwIEAgUCBgIHAggCCQJJAgsCDAINAggCCAIIAggCCAIIAggCCAIIAggCCAIIAggCCAIIAggCCAIXAgMCaHNxAH4AAAAAAAJzcQB+AAT///////////////7////+/////3VxAH4ABwAAAAMSW6l4eHdFAh4AAkgCAgIzAgQCBQIGAgcCCAIJAksCCwIMAg0CCAIIAggCCAIIAggCCAIIAggCCAIIAggCCAIIAggCCAIIAhcCAwJpc3EAfgAAAAAAAnNxAH4ABP///////////////v////7/////dXEAfgAHAAAABCIKrDF4eHdFAh4AAkgCAgIDAgQCBQIGAgcCCAIJAksCCwIMAg0CCAIIAggCCAIIAggCCAIIAggCCAIIAggCCAIIAggCCAIIAhcCAwJqc3EAfgAAAAAAAnNxAH4ABP///////////////v////7/////dXEAfgAHAAAABC6RhSt4eHfPAh4AAkgCAgIrAgQCBQIGAgcCCAIJAgoCCwIMAg0CCAIIAggCCAIIAggCCAIIAggCCAIIAggCCAIIAggCCAIIAhcCAwIsAh4AAkgCAgIbAgQCBQIGAgcCCAIJAgoCCwIMAg0CCAIIAggCCAIIAggCCAIIAggCCAIIAggCCAIIAggCCAIIAhcCAwIcAh4AAkgCAgItAgQCBQIGAgcCCAIJAkkCCwIMAg0CCAIIAggCCAIIAggCCAIIAggCCAIIAggCCAIIAggCCAIIAhcCAwJrc3EAfgAAAAAAAnNxAH4ABP///////////////v////7/////dXEAfgAHAAAAAxKmonh4d00CHgACSAICAmwABjIwMTYwNgIEAgUCBgIHAggCCQJLAgsCDAINAggCCAIIAggCCAIIAggCCAIIAggCCAIIAggCCAIIAggCCAIXAgMCbXNxAH4AAAAAAAJzcQB+AAT///////////////7////+/////3VxAH4ABwAAAAQrEAtReHh3igIeAAJIAgICIwIEAgUCBgIHAggCCQIKAgsCDAINAggCCAIIAggCCAIIAggCCAIIAggCCAIIAggCCAIIAggCCAIXAgMCJAIeAAJIAgICbAIEAgUCBgIHAggCCQJJAgsCDAINAggCCAIIAggCCAIIAggCCAIIAggCCAIIAggCCAIIAggCCAIXAgMCbnNxAH4AAAAAAAJzcQB+AAT///////////////7////+/////3VxAH4ABwAAAAMSZ2t4eHdFAh4AAkgCAgJeAgQCBQIGAgcCCAIJAgoCCwIMAg0CCAIIAggCCAIIAggCCAIIAggCCAIIAggCCAIIAggCCAIIAhcCAwJvc3EAfgAAAAAAAnNxAH4ABP///////////////v////7/////dXEAfgAHAAAABAJQHul4eHeKAh4AAkgCAgIfAgQCBQIGAgcCCAIJAgoCCwIMAg0CCAIIAggCCAIIAggCCAIIAggCCAIIAggCCAIIAggCCAIIAhcCAwIgAh4AAkgCAgItAgQCBQIGAgcCCAIJAksCCwIMAg0CCAIIAggCCAIIAggCCAIIAggCCAIIAggCCAIIAggCCAIIAhcCAwJwc3EAfgAAAAAAAnNxAH4ABP///////////////v////7/////dXEAfgAHAAAABENETeB4eHdFAh4AAkgCAgIlAgQCBQIGAgcCCAIJAksCCwIMAg0CCAIIAggCCAIIAggCCAIIAggCCAIIAggCCAIIAggCCAIIAhcCAwJxc3EAfgAAAAAAAnNxAH4ABP///////////////v////7/////dXEAfgAHAAAABCZ4H3F4eHdNAh4AAkgCAgJyAAYyMDE2MTACBAIFAgYCBwIIAgkCCgILAgwCDQIIAggCCAIIAggCCAIIAggCCAIIAggCCAIIAggCCAIIAggCFwIDAnNzcQB+AAAAAAACc3EAfgAE///////////////+/////gAAAAF1cQB+AAcAAAADuXJ8eHh3igIeAAJIAgICJwIEAgUCBgIHAggCCQIKAgsCDAINAggCCAIIAggCCAIIAggCCAIIAggCCAIIAggCCAIIAggCCAIXAgMCKAIeAAJIAgICMwIEAgUCBgIHAggCCQJJAgsCDAINAggCCAIIAggCCAIIAggCCAIIAggCCAIIAggCCAIIAggCCAIXAgMCdHNxAH4AAAAAAAJzcQB+AAT///////////////7////+/////3VxAH4ABwAAAAMShut4eHdFAh4AAkgCAgJnAgQCBQIGAgcCCAIJAksCCwIMAg0CCAIIAggCCAIIAggCCAIIAggCCAIIAggCCAIIAggCCAIIAhcCAwJ1c3EAfgAAAAAAAnNxAH4ABP///////////////v////7/////dXEAfgAHAAAABB6uCU94eHdFAh4AAkgCAgIbAgQCBQIGAgcCCAIJAksCCwIMAg0CCAIIAggCCAIIAggCCAIIAggCCAIIAggCCAIIAggCCAIIAhcCAwJ2c3EAfgAAAAAAAnNxAH4ABP///////////////v////7/////dXEAfgAHAAAABBwjfJB4eHdFAh4AAkgCAgI1AgQCBQIGAgcCCAIJAkkCCwIMAg0CCAIIAggCCAIIAggCCAIIAggCCAIIAggCCAIIAggCCAIIAhcCAwJ3c3EAfgAAAAAAAnNxAH4ABP///////////////v////7/////dXEAfgAHAAAAAxKO1Hh4d0UCHgACSAICAlICBAIFAgYCBwIIAgkCCgILAgwCDQIIAggCCAIIAggCCAIIAggCCAIIAggCCAIIAggCCAIIAggCFwIDAnhzcQB+AAAAAAACc3EAfgAE///////////////+/////v////91cQB+AAcAAAAEHRCpdHh4d88CHgACSAICAi0CBAIFAgYCBwIIAgkCCgILAgwCDQIIAggCCAIIAggCCAIIAggCCAIIAggCCAIIAggCCAIIAggCFwIDAi4CHgACSAICAikCBAIFAgYCBwIIAgkCCgILAgwCDQIIAggCCAIIAggCCAIIAggCCAIIAggCCAIIAggCCAIIAggCFwIDAioCHgACSAICAjUCBAIFAgYCBwIIAgkCSwILAgwCDQIIAggCCAIIAggCCAIIAggCCAIIAggCCAIIAggCCAIIAggCFwIDAnlzcQB+AAAAAAACc3EAfgAE///////////////+/////v////91cQB+AAcAAAAEKeDlE3h4d00CHgACSAICAnoABjIwMTYwNQIEAgUCBgIHAggCCQIKAgsCDAINAggCCAIIAggCCAIIAggCCAIIAggCCAIIAggCCAIIAggCCAIXAgMCe3NxAH4AAAAAAAJzcQB+AAT///////////////7////+/////3VxAH4ABwAAAAQBzUp3eHh3RQIeAAJIAgICXgIEAgUCBgIHAggCCQJLAgsCDAINAggCCAIIAggCCAIIAggCCAIIAggCCAIIAggCCAIIAggCCAIXAgMCfHNxAH4AAAAAAAJzcQB+AAT///////////////7////+/////3VxAH4ABwAAAAQjxnj9eHh3RQIeAAJIAgICHwIEAgUCBgIHAggCCQJLAgsCDAINAggCCAIIAggCCAIIAggCCAIIAggCCAIIAggCCAIIAggCCAIXAgMCfXNxAH4AAAAAAAJzcQB+AAT///////////////7////+/////3VxAH4ABwAAAAQqJk8LeHh3RQIeAAJIAgICLwIEAgUCBgIHAggCCQJJAgsCDAINAggCCAIIAggCCAIIAggCCAIIAggCCAIIAggCCAIIAggCCAIXAgMCfnNxAH4AAAAAAAJzcQB+AAT///////////////7////+/////3VxAH4ABwAAAAMSgvh4eHdFAh4AAkgCAgJaAgQCBQIGAgcCCAIJAksCCwIMAg0CCAIIAggCCAIIAggCCAIIAggCCAIIAggCCAIIAggCCAIIAhcCAwJ/c3EAfgAAAAAAAnNxAH4ABP///////////////v////7/////dXEAfgAHAAAABAvREnR4eHdFAh4AAkgCAgInAgQCBQIGAgcCCAIJAksCCwIMAg0CCAIIAggCCAIIAggCCAIIAggCCAIIAggCCAIIAggCCAIIAhcCAwKAc3EAfgAAAAAAAnNxAH4ABP///////////////v////7/////dXEAfgAHAAAABCQ0bfR4eHdFAh4AAkgCAgIvAgQCBQIGAgcCCAIJAksCCwIMAg0CCAIIAggCCAIIAggCCAIIAggCCAIIAggCCAIIAggCCAIIAhcCAwKBc3EAfgAAAAAAAnNxAH4ABP///////////////v////7/////dXEAfgAHAAAABB2x+kx4eHdFAh4AAkgCAgJsAgQCBQIGAgcCCAIJAgoCCwIMAg0CCAIIAggCCAIIAggCCAIIAggCCAIIAggCCAIIAggCCAIIAhcCAwKCc3EAfgAAAAAAAnNxAH4ABP///////////////v////7/////dXEAfgAHAAAABAFkyvJ4eHfPAh4AAkgCAgIDAgQCBQIGAgcCCAIJAgoCCwIMAg0CCAIIAggCCAIIAggCCAIIAggCCAIIAggCCAIIAggCCAIIAhcCAwIOAh4AAkgCAgIjAgQCBQIGAgcCCAIJAkkCCwIMAg0CCAIIAggCCAIIAggCCAIIAggCCAIIAggCCAIIAggCCAIIAhcCAwJZAh4AAkgCAgIpAgQCBQIGAgcCCAIJAksCCwIMAg0CCAIIAggCCAIIAggCCAIIAggCCAIIAggCCAIIAggCCAIIAhcCAwKDc3EAfgAAAAAAAnNxAH4ABP///////////////v////7/////dXEAfgAHAAAABCoLRiF4eHeKAh4AAkgCAgIbAgQCBQIGAgcCCAIJAkkCCwIMAg0CCAIIAggCCAIIAggCCAIIAggCCAIIAggCCAIIAggCCAIIAhcCAwJZAh4AAkgCAgJyAgQCBQIGAgcCCAIJAkkCCwIMAg0CCAIIAggCCAIIAggCCAIIAggCCAIIAggCCAIIAggCCAIIAhcCAwKEc3EAfgAAAAAAAnNxAH4ABP///////////////v////7/////dXEAfgAHAAAAAxJ3JXh4d0UCHgACSAICAnICBAIFAgYCBwIIAgkCSwILAgwCDQIIAggCCAIIAggCCAIIAggCCAIIAggCCAIIAggCCAIIAggCFwIDAoVzcQB+AAAAAAACc3EAfgAE///////////////+/////v////91cQB+AAcAAAAENJhHI3h4d0UCHgACSAICAnoCBAIFAgYCBwIIAgkCSwILAgwCDQIIAggCCAIIAggCCAIIAggCCAIIAggCCAIIAggCCAIIAggCFwIDAoZzcQB+AAAAAAACc3EAfgAE///////////////+/////v////91cQB+AAcAAAAEJi8ywnh4d0UCHgACSAICAnoCBAIFAgYCBwIIAgkCSQILAgwCDQIIAggCCAIIAggCCAIIAggCCAIIAggCCAIIAggCCAIIAggCFwIDAodzcQB+AAAAAAACc3EAfgAE///////////////+/////v////91cQB+AAcAAAADEmN/eHh3igIeAAJIAgICNQIEAgUCBgIHAggCCQIKAgsCDAINAggCCAIIAggCCAIIAggCCAIIAggCCAIIAggCCAIIAggCCAIXAgMCNgIeAAJIAgICZwIEAgUCBgIHAggCCQIKAgsCDAINAggCCAIIAggCCAIIAggCCAIIAggCCAIIAggCCAIIAggCCAIXAgMCiHNxAH4AAAAAAAJzcQB+AAT///////////////7////+/////3VxAH4ABwAAAAQC+0uLeHh3RQIeAAJIAgICKQIEAgUCBgIHAggCCQJJAgsCDAINAggCCAIIAggCCAIIAggCCAIIAggCCAIIAggCCAIIAggCCAIXAgMCiXNxAH4AAAAAAAJzcQB+AAT///////////////7////+/////3VxAH4ABwAAAAMSlsB4eHdFAh4AAkgCAgJVAgQCBQIGAgcCCAIJAgoCCwIMAg0CCAIIAggCCAIIAggCCAIIAggCCAIIAggCCAIIAggCCAIIAhcCAwKKc3EAfgAAAAAAAnNxAH4ABP///////////////v////7/////dXEAfgAHAAAAA56yqnh4d0UCHgACSAICAloCBAIFAgYCBwIIAgkCCgILAgwCDQIIAggCCAIIAggCCAIIAggCCAIIAggCCAIIAggCCAIIAggCFwIDAotzcQB+AAAAAAACc3EAfgAE///////////////+/////v////91cQB+AAcAAAAEJZDR+3h4d0UCHgACSAICAiUCBAIFAgYCBwIIAgkCSQILAgwCDQIIAggCCAIIAggCCAIIAggCCAIIAggCCAIIAggCCAIIAggCFwIDAoxzcQB+AAAAAAACc3EAfgAE///////////////+/////v////91cQB+AAcAAAADEorfeHh3RQIeAAJIAgICYQIEAgUCBgIHAggCCQJLAgsCDAINAggCCAIIAggCCAIIAggCCAIIAggCCAIIAggCCAIIAggCCAIXAgMCjXNxAH4AAAAAAAJzcQB+AAT///////////////7////+/////3VxAH4ABwAAAAQbsx5ceHh3RQIeAAJIAgICYQIEAgUCBgIHAggCCQJJAgsCDAINAggCCAIIAggCCAIIAggCCAIIAggCCAIIAggCCAIIAggCCAIXAgMCjnNxAH4AAAAAAAJzcQB+AAT///////////////7////+/////3VxAH4ABwAAAAMSV794eHdQAh4AAo8ACTQyNjQ1MjQ3MgICAiUCBAIFAgYCBwIIAgkCSwILAjgCDQIIAggCCAIIAggCCAIIAggCCAIIAggCCAIIAggCCAIIAggCDgIDApBzcQB+AAAAAAACc3EAfgAE///////////////+/////v////91cQB+AAcAAAAEU2ObJnh4d0UCHgACjwICAjECBAIFAgYCBwIIAgkCSwILAjgCDQIIAggCCAIIAggCCAIIAggCCAIIAggCCAIIAggCCAIIAggCDgIDApFzcQB+AAAAAAACc3EAfgAE///////////////+/////v////91cQB+AAcAAAAETypx+Xh4d0UCHgACjwICAikCBAIFAgYCBwIIAgkCSwILAjgCDQIIAggCCAIIAggCCAIIAggCCAIIAggCCAIIAggCCAIIAggCDgIDApJzcQB+AAAAAAACc3EAfgAE///////////////+/////v////91cQB+AAcAAAAEWAsHLHh4d0UCHgACjwICAhsCBAIFAgYCBwIIAgkCSwILAjgCDQIIAggCCAIIAggCCAIIAggCCAIIAggCCAIIAggCCAIIAggCDgIDApNzcQB+AAAAAAACc3EAfgAE///////////////+/////v////91cQB+AAcAAAAEMNCqs3h4d0UCHgACjwICAisCBAIFAgYCBwIIAgkCSwILAjgCDQIIAggCCAIIAggCCAIIAggCCAIIAggCCAIIAggCCAIIAggCDgIDApRzcQB+AAAAAAACc3EAfgAE///////////////+/////v////91cQB+AAcAAAAEZTFBq3h4d0UCHgACjwICAjUCBAIFAgYCBwIIAgkCSwILAjgCDQIIAggCCAIIAggCCAIIAggCCAIIAggCCAIIAggCCAIIAggCDgIDApVzcQB+AAAAAAACc3EAfgAE///////////////+/////v////91cQB+AAcAAAAEWnDZd3h4d0UCHgACjwICAjMCBAIFAgYCBwIIAgkCSwILAjgCDQIIAggCCAIIAggCCAIIAggCCAIIAggCCAIIAggCCAIIAggCDgIDApZzcQB+AAAAAAACc3EAfgAE///////////////+/////v////91cQB+AAcAAAAESYtTyXh4d0UCHgACjwICAiECBAIFAgYCBwIIAgkCSwILAjgCDQIIAggCCAIIAggCCAIIAggCCAIIAggCCAIIAggCCAIIAggCDgIDApdzcQB+AAAAAAACc3EAfgAE///////////////+/////v////91cQB+AAcAAAAEUn6jGnh4d0UCHgACjwICAiMCBAIFAgYCBwIIAgkCSwILAjgCDQIIAggCCAIIAggCCAIIAggCCAIIAggCCAIIAggCCAIIAggCDgIDAphzcQB+AAAAAAACc3EAfgAE///////////////+/////v////91cQB+AAcAAAAETu7o2nh4d0UCHgACjwICAgMCBAIFAgYCBwIIAgkCSwILAjgCDQIIAggCCAIIAggCCAIIAggCCAIIAggCCAIIAggCCAIIAggCDgIDAplzcQB+AAAAAAACc3EAfgAE///////////////+/////v////91cQB+AAcAAAAEXtRi+Hh4d0UCHgACjwICAh0CBAIFAgYCBwIIAgkCSwILAjgCDQIIAggCCAIIAggCCAIIAggCCAIIAggCCAIIAggCCAIIAggCDgIDAppzcQB+AAAAAAACc3EAfgAE///////////////+/////v////91cQB+AAcAAAAEcQZZSXh4d0UCHgACjwICAh8CBAIFAgYCBwIIAgkCSwILAjgCDQIIAggCCAIIAggCCAIIAggCCAIIAggCCAIIAggCCAIIAggCDgIDAptzcQB+AAAAAAACc3EAfgAE///////////////+/////v////91cQB+AAcAAAAEWf3l8nh4d0UCHgACjwICAi8CBAIFAgYCBwIIAgkCSwILAjgCDQIIAggCCAIIAggCCAIIAggCCAIIAggCCAIIAggCCAIIAggCDgIDApxzcQB+AAAAAAACc3EAfgAE///////////////+/////v////91cQB+AAcAAAAEPRU7dnh4d0UCHgACjwICAicCBAIFAgYCBwIIAgkCSwILAjgCDQIIAggCCAIIAggCCAIIAggCCAIIAggCCAIIAggCCAIIAggCDgIDAp1zcQB+AAAAAAACc3EAfgAE///////////////+/////v////91cQB+AAcAAAAEQjS8fHh4d0UCHgACjwICAi0CBAIFAgYCBwIIAgkCSwILAjgCDQIIAggCCAIIAggCCAIIAggCCAIIAggCCAIIAggCCAIIAggCDgIDAp5zcQB+AAAAAAACc3EAfgAE///////////////+/////v////91cQB+AAcAAAAEgtyI8Xh4d50CHgACnwAJMzY0NTI1MjcyAgICIwIEAgUCBgIHAggCCQIKAgsCOAINAggCCAIIAggCCAIIAggCCAIIAggCCAIIAggCCAIIAggCCAIBAgMCRAIeAAKfAgICHwIEAgUCBgIHAggCCQKgAAYxOTEwMjUCCwI4Ag0CCAIIAggCCAIIAggCCAIIAggCCAIIAggCCAIIAggCCAIIAgECAwKhc3EAfgAAAAAAAnNxAH4ABP///////////////v////7/////dXEAfgAHAAAAAwRWK3h4d0UCHgACnwICAl4CBAIFAgYCBwIIAgkCoAILAjgCDQIIAggCCAIIAggCCAIIAggCCAIIAggCCAIIAggCCAIIAggCAQIDAqJzcQB+AAAAAAACc3EAfgAE///////////////+/////v////91cQB+AAcAAAADDMb+eHh3RQIeAAKfAgICWgIEAgUCBgIHAggCCQKgAgsCOAINAggCCAIIAggCCAIIAggCCAIIAggCCAIIAggCCAIIAggCCAIBAgMCo3NxAH4AAAAAAAJzcQB+AAT///////////////7////+/////3VxAH4ABwAAAAMGaCt4eHoAAAEUAh4AAp8CAgIdAgQCBQIGAgcCCAIJAgoCCwI4Ag0CCAIIAggCCAIIAggCCAIIAggCCAIIAggCCAIIAggCCAIIAgECAwI+Ah4AAp8CAgIrAgQCBQIGAgcCCAIJAksCCwI4Ag0CCAIIAggCCAIIAggCCAIIAggCCAIIAggCCAIIAggCCAIIAgECAwKUAh4AAp8CAgIbAgQCBQIGAgcCCAIJAqACCwI4Ag0CCAIIAggCCAIIAggCCAIIAggCCAIIAggCCAIIAggCCAIIAgECAwJZAh4AAp8CAgJNAgQCBQIGAgcCCAIJAgoCCwI4Ag0CCAIIAggCCAIIAggCCAIIAggCCAIIAggCCAIIAggCCAIIAgECAwKkc3EAfgAAAAAAAnNxAH4ABP///////////////v////7/////dXEAfgAHAAAABAIbp254eHeKAh4AAp8CAgIxAgQCBQIGAgcCCAIJAgoCCwI4Ag0CCAIIAggCCAIIAggCCAIIAggCCAIIAggCCAIIAggCCAIIAgECAwI7Ah4AAp8CAgIpAgQCBQIGAgcCCAIJAqACCwI4Ag0CCAIIAggCCAIIAggCCAIIAggCCAIIAggCCAIIAggCCAIIAgECAwKlc3EAfgAAAAAAAnNxAH4ABP///////////////v////7/////dXEAfgAHAAAAAwRDenh4d0UCHgACnwICAlACBAIFAgYCBwIIAgkCSwILAjgCDQIIAggCCAIIAggCCAIIAggCCAIIAggCCAIIAggCCAIIAggCAQIDAqZzcQB+AAAAAAACc3EAfgAE///////////////+/////v////91cQB+AAcAAAAEWi+1rXh4d0UCHgACnwICAlACBAIFAgYCBwIIAgkCCgILAjgCDQIIAggCCAIIAggCCAIIAggCCAIIAggCCAIIAggCCAIIAggCAQIDAqdzcQB+AAAAAAACc3EAfgAE///////////////+/////v////91cQB+AAcAAAAEAzaSmXh4d0UCHgACnwICAnoCBAIFAgYCBwIIAgkCoAILAjgCDQIIAggCCAIIAggCCAIIAggCCAIIAggCCAIIAggCCAIIAggCAQIDAqhzcQB+AAAAAAACc3EAfgAE///////////////+/////v////91cQB+AAcAAAADC4KteHh3igIeAAKfAgICLwIEAgUCBgIHAggCCQIKAgsCOAINAggCCAIIAggCCAIIAggCCAIIAggCCAIIAggCCAIIAggCCAIBAgMCPwIeAAKfAgICUgIEAgUCBgIHAggCCQKgAgsCOAINAggCCAIIAggCCAIIAggCCAIIAggCCAIIAggCCAIIAggCCAIBAgMCqXNxAH4AAAAAAAJzcQB+AAT///////////////7////+/////3VxAH4ABwAAAAMG3JN4eHeKAh4AAp8CAgIrAgQCBQIGAgcCCAIJAgoCCwI4Ag0CCAIIAggCCAIIAggCCAIIAggCCAIIAggCCAIIAggCCAIIAgECAwJHAh4AAp8CAgJsAgQCBQIGAgcCCAIJAksCCwI4Ag0CCAIIAggCCAIIAggCCAIIAggCCAIIAggCCAIIAggCCAIIAgECAwKqc3EAfgAAAAAAAnNxAH4ABP///////////////v////7/////dXEAfgAHAAAABFSIS5t4eHfPAh4AAp8CAgIDAgQCBQIGAgcCCAIJAksCCwI4Ag0CCAIIAggCCAIIAggCCAIIAggCCAIIAggCCAIIAggCCAIIAgECAwKZAh4AAp8CAgInAgQCBQIGAgcCCAIJAqACCwI4Ag0CCAIIAggCCAIIAggCCAIIAggCCAIIAggCCAIIAggCCAIIAgECAwJZAh4AAp8CAgJVAgQCBQIGAgcCCAIJAgoCCwI4Ag0CCAIIAggCCAIIAggCCAIIAggCCAIIAggCCAIIAggCCAIIAgECAwKrc3EAfgAAAAAAAnNxAH4ABP///////////////v////7/////dXEAfgAHAAAABAK9P6R4eHdFAh4AAp8CAgIlAgQCBQIGAgcCCAIJAqACCwI4Ag0CCAIIAggCCAIIAggCCAIIAggCCAIIAggCCAIIAggCCAIIAgECAwKsc3EAfgAAAAAAAnNxAH4ABP///////////////v////7/////dXEAfgAHAAAAAwSrl3h4d0UCHgACnwICAmwCBAIFAgYCBwIIAgkCCgILAjgCDQIIAggCCAIIAggCCAIIAggCCAIIAggCCAIIAggCCAIIAggCAQIDAq1zcQB+AAAAAAACc3EAfgAE///////////////+/////v////91cQB+AAcAAAAEA6uLrXh4d0UCHgACnwICAmECBAIFAgYCBwIIAgkCoAILAjgCDQIIAggCCAIIAggCCAIIAggCCAIIAggCCAIIAggCCAIIAggCAQIDAq5zcQB+AAAAAAACc3EAfgAE///////////////+/////v////91cQB+AAcAAAADEhXLeHh3RQIeAAKfAgICUAIEAgUCBgIHAggCCQKgAgsCOAINAggCCAIIAggCCAIIAggCCAIIAggCCAIIAggCCAIIAggCCAIBAgMCr3NxAH4AAAAAAAJzcQB+AAT///////////////7////+/////3VxAH4ABwAAAAMJnn94eHoAAAEUAh4AAp8CAgIzAgQCBQIGAgcCCAIJAgoCCwI4Ag0CCAIIAggCCAIIAggCCAIIAggCCAIIAggCCAIIAggCCAIIAgECAwJGAh4AAp8CAgIDAgQCBQIGAgcCCAIJAgoCCwI4Ag0CCAIIAggCCAIIAggCCAIIAggCCAIIAggCCAIIAggCCAIIAgECAwJDAh4AAp8CAgIxAgQCBQIGAgcCCAIJAksCCwI4Ag0CCAIIAggCCAIIAggCCAIIAggCCAIIAggCCAIIAggCCAIIAgECAwKRAh4AAp8CAgIrAgQCBQIGAgcCCAIJAqACCwI4Ag0CCAIIAggCCAIIAggCCAIIAggCCAIIAggCCAIIAggCCAIIAgECAwKwc3EAfgAAAAAAAnNxAH4ABP///////////////v////7/////dXEAfgAHAAAAAwQlCXh4d0UCHgACnwICAlICBAIFAgYCBwIIAgkCCgILAjgCDQIIAggCCAIIAggCCAIIAggCCAIIAggCCAIIAggCCAIIAggCAQIDArFzcQB+AAAAAAACc3EAfgAE///////////////+/////v////91cQB+AAcAAAAEO4uIvXh4d4oCHgACnwICAikCBAIFAgYCBwIIAgkCSwILAjgCDQIIAggCCAIIAggCCAIIAggCCAIIAggCCAIIAggCCAIIAggCAQIDApICHgACnwICAnoCBAIFAgYCBwIIAgkCSwILAjgCDQIIAggCCAIIAggCCAIIAggCCAIIAggCCAIIAggCCAIIAggCAQIDArJzcQB+AAAAAAACc3EAfgAE///////////////+/////v////91cQB+AAcAAAAETCsLgHh4d88CHgACnwICAjUCBAIFAgYCBwIIAgkCSwILAjgCDQIIAggCCAIIAggCCAIIAggCCAIIAggCCAIIAggCCAIIAggCAQIDApUCHgACnwICAi0CBAIFAgYCBwIIAgkCCgILAjgCDQIIAggCCAIIAggCCAIIAggCCAIIAggCCAIIAggCCAIIAggCAQIDAkECHgACnwICAnICBAIFAgYCBwIIAgkCoAILAjgCDQIIAggCCAIIAggCCAIIAggCCAIIAggCCAIIAggCCAIIAggCAQIDArNzcQB+AAAAAAACc3EAfgAE///////////////+/////v////91cQB+AAcAAAADBT+veHh6AAABWQIeAAKfAgICIQIEAgUCBgIHAggCCQIKAgsCOAINAggCCAIIAggCCAIIAggCCAIIAggCCAIIAggCCAIIAggCCAIBAgMCPAIeAAKfAgICHQIEAgUCBgIHAggCCQJLAgsCOAINAggCCAIIAggCCAIIAggCCAIIAggCCAIIAggCCAIIAggCCAIBAgMCmgIeAAKfAgICLwIEAgUCBgIHAggCCQJLAgsCOAINAggCCAIIAggCCAIIAggCCAIIAggCCAIIAggCCAIIAggCCAIBAgMCnAIeAAKfAgICJwIEAgUCBgIHAggCCQJLAgsCOAINAggCCAIIAggCCAIIAggCCAIIAggCCAIIAggCCAIIAggCCAIBAgMCnQIeAAKfAgICVQIEAgUCBgIHAggCCQJLAgsCOAINAggCCAIIAggCCAIIAggCCAIIAggCCAIIAggCCAIIAggCCAIBAgMCtHNxAH4AAAAAAAJzcQB+AAT///////////////7////+/////3VxAH4ABwAAAARdV1DJeHh3RQIeAAKfAgICWgIEAgUCBgIHAggCCQJLAgsCOAINAggCCAIIAggCCAIIAggCCAIIAggCCAIIAggCCAIIAggCCAIBAgMCtXNxAH4AAAAAAAJzcQB+AAT///////////////7////+/////3VxAH4ABwAAAAQSVBWqeHh31wIeAAKfAgICtgAGMjAxODA0AgQCBQIGAgcCCAIJAqACCwI4Ag0CCAIIAggCCAIIAggCCAIIAggCCAIIAggCCAIIAggCCAIIAgECAwJZAh4AAp8CAgIlAgQCBQIGAgcCCAIJAksCCwI4Ag0CCAIIAggCCAIIAggCCAIIAggCCAIIAggCCAIIAggCCAIIAgECAwKQAh4AAp8CAgJhAgQCBQIGAgcCCAIJAksCCwI4Ag0CCAIIAggCCAIIAggCCAIIAggCCAIIAggCCAIIAggCCAIIAgECAwK3c3EAfgAAAAAAAnNxAH4ABP///////////////v////7/////dXEAfgAHAAAABDc49U94eHdFAh4AAp8CAgJeAgQCBQIGAgcCCAIJAgoCCwI4Ag0CCAIIAggCCAIIAggCCAIIAggCCAIIAggCCAIIAggCCAIIAgECAwK4c3EAfgAAAAAAAnNxAH4ABP///////////////v////7/////dXEAfgAHAAAABATkMA94eHeKAh4AAp8CAgIbAgQCBQIGAgcCCAIJAgoCCwI4Ag0CCAIIAggCCAIIAggCCAIIAggCCAIIAggCCAIIAggCCAIIAgECAwJFAh4AAp8CAgK2AgQCBQIGAgcCCAIJAksCCwI4Ag0CCAIIAggCCAIIAggCCAIIAggCCAIIAggCCAIIAggCCAIIAgECAwK5c3EAfgAAAAAAAnNxAH4ABP///////////////v////7/////dXEAfgAHAAAABFqpyF94eHeKAh4AAp8CAgIfAgQCBQIGAgcCCAIJAgoCCwI4Ag0CCAIIAggCCAIIAggCCAIIAggCCAIIAggCCAIIAggCCAIIAgECAwJCAh4AAp8CAgJNAgQCBQIGAgcCCAIJAqACCwI4Ag0CCAIIAggCCAIIAggCCAIIAggCCAIIAggCCAIIAggCCAIIAgECAwK6c3EAfgAAAAAAAnNxAH4ABP///////////////v////7/////dXEAfgAHAAAAAweN1Hh4d4oCHgACnwICAiMCBAIFAgYCBwIIAgkCoAILAjgCDQIIAggCCAIIAggCCAIIAggCCAIIAggCCAIIAggCCAIIAggCAQIDAlkCHgACnwICAmcCBAIFAgYCBwIIAgkCCgILAjgCDQIIAggCCAIIAggCCAIIAggCCAIIAggCCAIIAggCCAIIAggCAQIDArtzcQB+AAAAAAACc3EAfgAE///////////////+/////v////91cQB+AAcAAAAEBeiObnh4d0UCHgACnwICAnICBAIFAgYCBwIIAgkCCgILAjgCDQIIAggCCAIIAggCCAIIAggCCAIIAggCCAIIAggCCAIIAggCAQIDArxzcQB+AAAAAAACc3EAfgAE///////////////+/////v////91cQB+AAcAAAADvFyyeHh3RQIeAAKfAgICZwIEAgUCBgIHAggCCQJLAgsCOAINAggCCAIIAggCCAIIAggCCAIIAggCCAIIAggCCAIIAggCCAIBAgMCvXNxAH4AAAAAAAJzcQB+AAT///////////////7////+/////3VxAH4ABwAAAAQ9+1bieHh6AAABWQIeAAKfAgICMwIEAgUCBgIHAggCCQJLAgsCOAINAggCCAIIAggCCAIIAggCCAIIAggCCAIIAggCCAIIAggCCAIBAgMClgIeAAKfAgICJwIEAgUCBgIHAggCCQIKAgsCOAINAggCCAIIAggCCAIIAggCCAIIAggCCAIIAggCCAIIAggCCAIBAgMCPQIeAAKfAgICNQIEAgUCBgIHAggCCQIKAgsCOAINAggCCAIIAggCCAIIAggCCAIIAggCCAIIAggCCAIIAggCCAIBAgMCOgIeAAKfAgICIQIEAgUCBgIHAggCCQJLAgsCOAINAggCCAIIAggCCAIIAggCCAIIAggCCAIIAggCCAIIAggCCAIBAgMClwIeAAKfAgICVQIEAgUCBgIHAggCCQKgAgsCOAINAggCCAIIAggCCAIIAggCCAIIAggCCAIIAggCCAIIAggCCAIBAgMCvnNxAH4AAAAAAAJzcQB+AAT///////////////7////+/////3VxAH4ABwAAAAMItpx4eHeKAh4AAp8CAgItAgQCBQIGAgcCCAIJAksCCwI4Ag0CCAIIAggCCAIIAggCCAIIAggCCAIIAggCCAIIAggCCAIIAgECAwKeAh4AAp8CAgJaAgQCBQIGAgcCCAIJAgoCCwI4Ag0CCAIIAggCCAIIAggCCAIIAggCCAIIAggCCAIIAggCCAIIAgECAwK/c3EAfgAAAAAAAnNxAH4ABP///////////////v////7/////dXEAfgAHAAAABExDDhV4eHdFAh4AAp8CAgIdAgQCBQIGAgcCCAIJAqACCwI4Ag0CCAIIAggCCAIIAggCCAIIAggCCAIIAggCCAIIAggCCAIIAgECAwLAc3EAfgAAAAAAAnNxAH4ABP///////////////v////7/////dXEAfgAHAAAAAwQOrnh4d0UCHgACnwICAi8CBAIFAgYCBwIIAgkCoAILAjgCDQIIAggCCAIIAggCCAIIAggCCAIIAggCCAIIAggCCAIIAggCAQIDAsFzcQB+AAAAAAACc3EAfgAE///////////////+/////v////91cQB+AAcAAAADBWT/eHh3igIeAAKfAgICMQIEAgUCBgIHAggCCQKgAgsCOAINAggCCAIIAggCCAIIAggCCAIIAggCCAIIAggCCAIIAggCCAIBAgMCWQIeAAKfAgICbAIEAgUCBgIHAggCCQKgAgsCOAINAggCCAIIAggCCAIIAggCCAIIAggCCAIIAggCCAIIAggCCAIBAgMCwnNxAH4AAAAAAAJzcQB+AAT///////////////7////+/////3VxAH4ABwAAAAMKgFR4eHfPAh4AAp8CAgIlAgQCBQIGAgcCCAIJAgoCCwI4Ag0CCAIIAggCCAIIAggCCAIIAggCCAIIAggCCAIIAggCCAIIAgECAwJAAh4AAp8CAgIbAgQCBQIGAgcCCAIJAksCCwI4Ag0CCAIIAggCCAIIAggCCAIIAggCCAIIAggCCAIIAggCCAIIAgECAwKTAh4AAp8CAgK2AgQCBQIGAgcCCAIJAgoCCwI4Ag0CCAIIAggCCAIIAggCCAIIAggCCAIIAggCCAIIAggCCAIIAgECAwLDc3EAfgAAAAAAAnNxAH4ABP///////////////v////7/////dXEAfgAHAAAABAcZP5l4eHeKAh4AAp8CAgIhAgQCBQIGAgcCCAIJAqACCwI4Ag0CCAIIAggCCAIIAggCCAIIAggCCAIIAggCCAIIAggCCAIIAgECAwJZAh4AAp8CAgIzAgQCBQIGAgcCCAIJAqACCwI4Ag0CCAIIAggCCAIIAggCCAIIAggCCAIIAggCCAIIAggCCAIIAgECAwLEc3EAfgAAAAAAAnNxAH4ABP///////////////v////7/////dXEAfgAHAAAAAwT7aHh4d0UCHgACnwICAnICBAIFAgYCBwIIAgkCSwILAjgCDQIIAggCCAIIAggCCAIIAggCCAIIAggCCAIIAggCCAIIAggCAQIDAsVzcQB+AAAAAAACc3EAfgAE///////////////+/////v////91cQB+AAcAAAAEYo3LFnh4d0UCHgACnwICAk0CBAIFAgYCBwIIAgkCSwILAjgCDQIIAggCCAIIAggCCAIIAggCCAIIAggCCAIIAggCCAIIAggCAQIDAsZzcQB+AAAAAAACc3EAfgAE///////////////+/////v////91cQB+AAcAAAAEYTEIFHh4d0UCHgACnwICAmcCBAIFAgYCBwIIAgkCoAILAjgCDQIIAggCCAIIAggCCAIIAggCCAIIAggCCAIIAggCCAIIAggCAQIDAsdzcQB+AAAAAAACc3EAfgAE///////////////+/////v////91cQB+AAcAAAADDoPdeHh3RQIeAAKfAgICNQIEAgUCBgIHAggCCQKgAgsCOAINAggCCAIIAggCCAIIAggCCAIIAggCCAIIAggCCAIIAggCCAIBAgMCyHNxAH4AAAAAAAJzcQB+AAT///////////////7////+/////3VxAH4ABwAAAAMEdI14eHdFAh4AAp8CAgJSAgQCBQIGAgcCCAIJAksCCwI4Ag0CCAIIAggCCAIIAggCCAIIAggCCAIIAggCCAIIAggCCAIIAgECAwLJc3EAfgAAAAAAAnNxAH4ABP///////////////v////7/////dXEAfgAHAAAABCij2ll4eHdFAh4AAp8CAgJ6AgQCBQIGAgcCCAIJAgoCCwI4Ag0CCAIIAggCCAIIAggCCAIIAggCCAIIAggCCAIIAggCCAIIAgECAwLKc3EAfgAAAAAAAnNxAH4ABP///////////////v////7/////dXEAfgAHAAAABAQ2ieN4eHfPAh4AAp8CAgIpAgQCBQIGAgcCCAIJAgoCCwI4Ag0CCAIIAggCCAIIAggCCAIIAggCCAIIAggCCAIIAggCCAIIAgECAwI5Ah4AAp8CAgIjAgQCBQIGAgcCCAIJAksCCwI4Ag0CCAIIAggCCAIIAggCCAIIAggCCAIIAggCCAIIAggCCAIIAgECAwKYAh4AAp8CAgIDAgQCBQIGAgcCCAIJAqACCwI4Ag0CCAIIAggCCAIIAggCCAIIAggCCAIIAggCCAIIAggCCAIIAgECAwLLc3EAfgAAAAAAAnNxAH4ABP///////////////v////7/////dXEAfgAHAAAAAwQ0OHh4d0UCHgACnwICAmECBAIFAgYCBwIIAgkCCgILAjgCDQIIAggCCAIIAggCCAIIAggCCAIIAggCCAIIAggCCAIIAggCAQIDAsxzcQB+AAAAAAACc3EAfgAE///////////////+/////v////91cQB+AAcAAAAECCX/sXh4d0UCHgACnwICAi0CBAIFAgYCBwIIAgkCoAILAjgCDQIIAggCCAIIAggCCAIIAggCCAIIAggCCAIIAggCCAIIAggCAQIDAs1zcQB+AAAAAAACc3EAfgAE///////////////+/////v////91cQB+AAcAAAADA9yreHh3igIeAAKfAgICHwIEAgUCBgIHAggCCQJLAgsCOAINAggCCAIIAggCCAIIAggCCAIIAggCCAIIAggCCAIIAggCCAIBAgMCmwIeAAKfAgICXgIEAgUCBgIHAggCCQJLAgsCOAINAggCCAIIAggCCAIIAggCCAIIAggCCAIIAggCCAIIAggCCAIBAgMCznNxAH4AAAAAAAJzcQB+AAT///////////////7////+/////3VxAH4ABwAAAARIcHiveHh6AAAEAAIeAALPAAk0MTQwMTQ5NDQCAgIdAgQCBQIGAgcCCAIJAksCCwIMAg0CCAIIAggCCAIIAggCCAIIAggCCAIIAggCCAIIAggCCAIIAhECAwJXAh4AAs8CAgJVAgQCBQIGAgcCCAIJAksCCwIMAg0CCAIIAggCCAIIAggCCAIIAggCCAIIAggCCAIIAggCCAIIAhECAwJWAh4AAs8CAgIrAgQCBQIGAgcCCAIJAkkCCwIMAg0CCAIIAggCCAIIAggCCAIIAggCCAIIAggCCAIIAggCCAIIAhECAwJPAh4AAs8CAgJVAgQCBQIGAgcCCAIJAkkCCwIMAg0CCAIIAggCCAIIAggCCAIIAggCCAIIAggCCAIIAggCCAIIAhECAwJcAh4AAs8CAgIhAgQCBQIGAgcCCAIJAgoCCwIMAg0CCAIIAggCCAIIAggCCAIIAggCCAIIAggCCAIIAggCCAIIAhECAwIiAh4AAs8CAgIjAgQCBQIGAgcCCAIJAkkCCwIMAg0CCAIIAggCCAIIAggCCAIIAggCCAIIAggCCAIIAggCCAIIAhECAwJZAh4AAs8CAgIjAgQCBQIGAgcCCAIJAksCCwIMAg0CCAIIAggCCAIIAggCCAIIAggCCAIIAggCCAIIAggCCAIIAhECAwJYAh4AAs8CAgIzAgQCBQIGAgcCCAIJAgoCCwIMAg0CCAIIAggCCAIIAggCCAIIAggCCAIIAggCCAIIAggCCAIIAhECAwI0Ah4AAs8CAgIrAgQCBQIGAgcCCAIJAksCCwIMAg0CCAIIAggCCAIIAggCCAIIAggCCAIIAggCCAIIAggCCAIIAhECAwJMAh4AAs8CAgJsAgQCBQIGAgcCCAIJAkkCCwIMAg0CCAIIAggCCAIIAggCCAIIAggCCAIIAggCCAIIAggCCAIIAhECAwJuAh4AAs8CAgIDAgQCBQIGAgcCCAIJAkkCCwIMAg0CCAIIAggCCAIIAggCCAIIAggCCAIIAggCCAIIAggCCAIIAhECAwJKAh4AAs8CAgJNAgQCBQIGAgcCCAIJAgoCCwIMAg0CCAIIAggCCAIIAggCCAIIAggCCAIIAggCCAIIAggCCAIIAhECAwJOAh4AAs8CAgJQAgQCBQIGAgcCCAIJAksCCwIMAg0CCAIIAggCCAIIAggCCAIIAggCCAIIAggCCAIIAggCCAIIAhECAwJRAh4AAs8CAgJVAgQCBQIGAgcCCAIJAgoCCwIMAg0CCAIIAggCCAIIAggCCAIIAggCCAIIAggCCAIIAggCCAIIAhECAwKKAh4AAs8CAgJQAgQCBQIGAgcCCAIJAkkCCwIMAg0CCAIIAggCCAIIAggCCAIIAgh6AAAD3AIIAggCCAIIAggCCAIIAggCEQIDAlQCHgACzwICAjECBAIFAgYCBwIIAgkCCgILAgwCDQIIAggCCAIIAggCCAIIAggCCAIIAggCCAIIAggCCAIIAggCEQIDAjICHgACzwICAh0CBAIFAgYCBwIIAgkCCgILAgwCDQIIAggCCAIIAggCCAIIAggCCAIIAggCCAIIAggCCAIIAggCEQIDAh4CHgACzwICAi8CBAIFAgYCBwIIAgkCCgILAgwCDQIIAggCCAIIAggCCAIIAggCCAIIAggCCAIIAggCCAIIAggCEQIDAjACHgACzwICAjMCBAIFAgYCBwIIAgkCSwILAgwCDQIIAggCCAIIAggCCAIIAggCCAIIAggCCAIIAggCCAIIAggCEQIDAmkCHgACzwICAgMCBAIFAgYCBwIIAgkCSwILAgwCDQIIAggCCAIIAggCCAIIAggCCAIIAggCCAIIAggCCAIIAggCEQIDAmoCHgACzwICAmwCBAIFAgYCBwIIAgkCSwILAgwCDQIIAggCCAIIAggCCAIIAggCCAIIAggCCAIIAggCCAIIAggCEQIDAm0CHgACzwICAlICBAIFAgYCBwIIAgkCSwILAgwCDQIIAggCCAIIAggCCAIIAggCCAIIAggCCAIIAggCCAIIAggCEQIDAmQCHgACzwICAjMCBAIFAgYCBwIIAgkCSQILAgwCDQIIAggCCAIIAggCCAIIAggCCAIIAggCCAIIAggCCAIIAggCEQIDAnQCHgACzwICAnICBAIFAgYCBwIIAgkCCgILAgwCDQIIAggCCAIIAggCCAIIAggCCAIIAggCCAIIAggCCAIIAggCEQIDAnMCHgACzwICAhsCBAIFAgYCBwIIAgkCCgILAgwCDQIIAggCCAIIAggCCAIIAggCCAIIAggCCAIIAggCCAIIAggCEQIDAhwCHgACzwICAlACBAIFAgYCBwIIAgkCCgILAgwCDQIIAggCCAIIAggCCAIIAggCCAIIAggCCAIIAggCCAIIAggCEQIDAmMCHgACzwICAiECBAIFAgYCBwIIAgkCSQILAgwCDQIIAggCCAIIAggCCAIIAggCCAIIAggCCAIIAggCCAIIAggCEQIDAlkCHgACzwICAiMCBAIFAgYCBwIIAgkCCgILAgwCDQIIAggCCAIIAggCCAIIAggCCAIIAggCCAIIAggCCAIIAggCEQIDAiQCHgACzwICAiECBAIFAgYCBwIIAgkCSwILAgwCDQIIAggCCAIIAggCCAIIAggCCAIIAggCCAIIAggCCAIIAggCEQIDAtBzcQB+AAAAAAACc3EAfgAE///////////////+/////v////91cQB+AAcAAAAEKsKx+Hh4egAAAVkCHgACzwICAisCBAIFAgYCBwIIAgkCCgILAgwCDQIIAggCCAIIAggCCAIIAggCCAIIAggCCAIIAggCCAIIAggCEQIDAiwCHgACzwICAl4CBAIFAgYCBwIIAgkCSQILAgwCDQIIAggCCAIIAggCCAIIAggCCAIIAggCCAIIAggCCAIIAggCEQIDAl8CHgACzwICAh8CBAIFAgYCBwIIAgkCSQILAgwCDQIIAggCCAIIAggCCAIIAggCCAIIAggCCAIIAggCCAIIAggCEQIDAmACHgACzwICAmECBAIFAgYCBwIIAgkCCgILAgwCDQIIAggCCAIIAggCCAIIAggCCAIIAggCCAIIAggCCAIIAggCEQIDAmICHgACzwICArYCBAIFAgYCBwIIAgkCCgILAgwCDQIIAggCCAIIAggCCAIIAggCCAIIAggCCAIIAggCCAIIAggCEQIDAtFzcQB+AAAAAAACc3EAfgAE///////////////+/////v////91cQB+AAcAAAAEATJrz3h4egAABAACHgACzwICAk0CBAIFAgYCBwIIAgkCSwILAgwCDQIIAggCCAIIAggCCAIIAggCCAIIAggCCAIIAggCCAIIAggCEQIDAmUCHgACzwICAh8CBAIFAgYCBwIIAgkCSwILAgwCDQIIAggCCAIIAggCCAIIAggCCAIIAggCCAIIAggCCAIIAggCEQIDAn0CHgACzwICAk0CBAIFAgYCBwIIAgkCSQILAgwCDQIIAggCCAIIAggCCAIIAggCCAIIAggCCAIIAggCCAIIAggCEQIDAmYCHgACzwICAlICBAIFAgYCBwIIAgkCSQILAgwCDQIIAggCCAIIAggCCAIIAggCCAIIAggCCAIIAggCCAIIAggCEQIDAlMCHgACzwICAiUCBAIFAgYCBwIIAgkCCgILAgwCDQIIAggCCAIIAggCCAIIAggCCAIIAggCCAIIAggCCAIIAggCEQIDAiYCHgACzwICAhsCBAIFAgYCBwIIAgkCSwILAgwCDQIIAggCCAIIAggCCAIIAggCCAIIAggCCAIIAggCCAIIAggCEQIDAnYCHgACzwICAnICBAIFAgYCBwIIAgkCSwILAgwCDQIIAggCCAIIAggCCAIIAggCCAIIAggCCAIIAggCCAIIAggCEQIDAoUCHgACzwICAmcCBAIFAgYCBwIIAgkCSQILAgwCDQIIAggCCAIIAggCCAIIAggCCAIIAggCCAIIAggCCAIIAggCEQIDAmgCHgACzwICAlICBAIFAgYCBwIIAgkCCgILAgwCDQIIAggCCAIIAggCCAIIAggCCAIIAggCCAIIAggCCAIIAggCEQIDAngCHgACzwICAnoCBAIFAgYCBwIIAgkCCgILAgwCDQIIAggCCAIIAggCCAIIAggCCAIIAggCCAIIAggCCAIIAggCEQIDAnsCHgACzwICAmcCBAIFAgYCBwIIAgkCSwILAgwCDQIIAggCCAIIAggCCAIIAggCCAIIAggCCAIIAggCCAIIAggCEQIDAnUCHgACzwICAjUCBAIFAgYCBwIIAgkCSQILAgwCDQIIAggCCAIIAggCCAIIAggCCAIIAggCCAIIAggCCAIIAggCEQIDAncCHgACzwICAi0CBAIFAgYCBwIIAgkCSQILAgwCDQIIAggCCAIIAggCCAIIAggCCAIIAggCCAIIAggCCAIIAggCEQIDAmsCHgACzwICAl4CBAIFAgYCBwIIAgkCSwILAgwCDQIIAggCCAIIAggCCAIIAggCCAIIAggCCAIIAggCCAIIAggCEQIDAnwCHgACzwICAjUCBAIFAgYCBwIIAgkCSwILAgwCDQIIAggCCAIIAggCCAIIAggCCAIIAggCCAIIAggCd50IAggCCAIRAgMCeQIeAALPAgIC0gAGMjAxODA1AgQCBQIGAgcCCAIJAkkCCwIMAg0CCAIIAggCCAIIAggCCAIIAggCCAIIAggCCAIIAggCCAIIAhECAwJZAh4AAs8CAgLSAgQCBQIGAgcCCAIJAksCCwIMAg0CCAIIAggCCAIIAggCCAIIAggCCAIIAggCCAIIAggCCAIIAhECAwLTc3EAfgAAAAAAAnNxAH4ABP///////////////v////7/////dXEAfgAHAAAABC70FP94eHoAAAQAAh4AAs8CAgIpAgQCBQIGAgcCCAIJAgoCCwIMAg0CCAIIAggCCAIIAggCCAIIAggCCAIIAggCCAIIAggCCAIIAhECAwIqAh4AAs8CAgJeAgQCBQIGAgcCCAIJAgoCCwIMAg0CCAIIAggCCAIIAggCCAIIAggCCAIIAggCCAIIAggCCAIIAhECAwJvAh4AAs8CAgIlAgQCBQIGAgcCCAIJAksCCwIMAg0CCAIIAggCCAIIAggCCAIIAggCCAIIAggCCAIIAggCCAIIAhECAwJxAh4AAs8CAgJhAgQCBQIGAgcCCAIJAksCCwIMAg0CCAIIAggCCAIIAggCCAIIAggCCAIIAggCCAIIAggCCAIIAhECAwKNAh4AAs8CAgJhAgQCBQIGAgcCCAIJAkkCCwIMAg0CCAIIAggCCAIIAggCCAIIAggCCAIIAggCCAIIAggCCAIIAhECAwKOAh4AAs8CAgIlAgQCBQIGAgcCCAIJAkkCCwIMAg0CCAIIAggCCAIIAggCCAIIAggCCAIIAggCCAIIAggCCAIIAhECAwKMAh4AAs8CAgItAgQCBQIGAgcCCAIJAksCCwIMAg0CCAIIAggCCAIIAggCCAIIAggCCAIIAggCCAIIAggCCAIIAhECAwJwAh4AAs8CAgIbAgQCBQIGAgcCCAIJAkkCCwIMAg0CCAIIAggCCAIIAggCCAIIAggCCAIIAggCCAIIAggCCAIIAhECAwJZAh4AAs8CAgJaAgQCBQIGAgcCCAIJAgoCCwIMAg0CCAIIAggCCAIIAggCCAIIAggCCAIIAggCCAIIAggCCAIIAhECAwKLAh4AAs8CAgJyAgQCBQIGAgcCCAIJAkkCCwIMAg0CCAIIAggCCAIIAggCCAIIAggCCAIIAggCCAIIAggCCAIIAhECAwKEAh4AAs8CAgK2AgQCBQIGAgcCCAIJAksCCwIMAg0CCAIIAggCCAIIAggCCAIIAggCCAIIAggCCAIIAggCCAIIAhECAwLTAh4AAs8CAgK2AgQCBQIGAgcCCAIJAkkCCwIMAg0CCAIIAggCCAIIAggCCAIIAggCCAIIAggCCAIIAggCCAIIAhECAwJZAh4AAs8CAgInAgQCBQIGAgcCCAIJAgoCCwIMAg0CCAIIAggCCAIIAggCCAIIAggCCAIIAggCCAIIAggCCAIIAhECAwIoAh4AAs8CAgIfAgQCBQIGAgcCCAIJAgoCCwIMAg0CCAIIAggCCAIIAggCCAIIAggCCAIIAggCCAIIAggCCAIIAhECAwIgAh4AAs8CAgJnAgQCBQIGAgcCCAIJAgoCCwIMAg0CCAIIAggCCAIIAggCCAIIAggCCAIIAggCCAIIAnoAAAHuCAIIAggCEQIDAogCHgACzwICAnoCBAIFAgYCBwIIAgkCSQILAgwCDQIIAggCCAIIAggCCAIIAggCCAIIAggCCAIIAggCCAIIAggCEQIDAocCHgACzwICAtICBAIFAgYCBwIIAgkCCgILAgwCDQIIAggCCAIIAggCCAIIAggCCAIIAggCCAIIAggCCAIIAggCEQIDAtECHgACzwICAikCBAIFAgYCBwIIAgkCSQILAgwCDQIIAggCCAIIAggCCAIIAggCCAIIAggCCAIIAggCCAIIAggCEQIDAokCHgACzwICAikCBAIFAgYCBwIIAgkCSwILAgwCDQIIAggCCAIIAggCCAIIAggCCAIIAggCCAIIAggCCAIIAggCEQIDAoMCHgACzwICAloCBAIFAgYCBwIIAgkCSQILAgwCDQIIAggCCAIIAggCCAIIAggCCAIIAggCCAIIAggCCAIIAggCEQIDAlsCHgACzwICAjUCBAIFAgYCBwIIAgkCCgILAgwCDQIIAggCCAIIAggCCAIIAggCCAIIAggCCAIIAggCCAIIAggCEQIDAjYCHgACzwICAjECBAIFAgYCBwIIAgkCSwILAgwCDQIIAggCCAIIAggCCAIIAggCCAIIAggCCAIIAggCCAIIAggCEQIDAtRzcQB+AAAAAAACc3EAfgAE///////////////+/////v////91cQB+AAcAAAAEKUaEtnh4egAABAACHgACzwICAi8CBAIFAgYCBwIIAgkCSwILAgwCDQIIAggCCAIIAggCCAIIAggCCAIIAggCCAIIAggCCAIIAggCEQIDAoECHgACzwICAloCBAIFAgYCBwIIAgkCSwILAgwCDQIIAggCCAIIAggCCAIIAggCCAIIAggCCAIIAggCCAIIAggCEQIDAn8CHgACzwICAicCBAIFAgYCBwIIAgkCSwILAgwCDQIIAggCCAIIAggCCAIIAggCCAIIAggCCAIIAggCCAIIAggCEQIDAoACHgACzwICAnoCBAIFAgYCBwIIAgkCSwILAgwCDQIIAggCCAIIAggCCAIIAggCCAIIAggCCAIIAggCCAIIAggCEQIDAoYCHgACzwICAicCBAIFAgYCBwIIAgkCSQILAgwCDQIIAggCCAIIAggCCAIIAggCCAIIAggCCAIIAggCCAIIAggCEQIDAlkCHgACzwICAh0CBAIFAgYCBwIIAgkCSQILAgwCDQIIAggCCAIIAggCCAIIAggCCAIIAggCCAIIAggCCAIIAggCEQIDAl0CHgACzwICAi8CBAIFAgYCBwIIAgkCSQILAgwCDQIIAggCCAIIAggCCAIIAggCCAIIAggCCAIIAggCCAIIAggCEQIDAn4CHgACzwICAjECBAIFAgYCBwIIAgkCSQILAgwCDQIIAggCCAIIAggCCAIIAggCCAIIAggCCAIIAggCCAIIAggCEQIDAlkCHgACzwICAmwCBAIFAgYCBwIIAgkCCgILAgwCDQIIAggCCAIIAggCCAIIAggCCAIIAggCCAIIAggCCAIIAggCEQIDAoICHgACzwICAi0CBAIFAgYCBwIIAgkCCgILAgwCDQIIAggCCAIIAggCCAIIAggCCAIIAggCCAIIAggCCAIIAggCEQIDAi4CHgACzwICAgMCBAIFAgYCBwIIAgkCCgILAgwCDQIIAggCCAIIAggCCAIIAggCCAIIAggCCAIIAggCCAIIAggCEQIDAg4CHgAC1QAJNDI2NDUzNjMyAgICMwIEAgUCBgIHAggCCQJLAgsCDAINAggCCAIIAggCCAIIAggCCAIIAggCCAIIAggCCAIIAggCCAIhAgMCaQIeAALVAgICNQIEAgUCBgIHAggCCQJLAgsCDAINAggCCAIIAggCCAIIAggCCAIIAggCCAIIAggCCAIIAggCCAIhAgMCeQIeAALVAgICHQIEAgUCBgIHAggCCQJLAgsCDAINAggCCAIIAggCCAIIAggCCAIIAggCCAIIAggCCAIIAggCCAIhAgMCVwIeAALVAgICGwIEAgUCBgIHAggCCQJLAgsCDAINAggCCAIIAggCCAIIAggCCAIIegAABAACCAIIAggCCAIIAggCCAIIAiECAwJ2Ah4AAtUCAgIpAgQCBQIGAgcCCAIJAksCCwIMAg0CCAIIAggCCAIIAggCCAIIAggCCAIIAggCCAIIAggCCAIIAiECAwKDAh4AAtUCAgIrAgQCBQIGAgcCCAIJAksCCwIMAg0CCAIIAggCCAIIAggCCAIIAggCCAIIAggCCAIIAggCCAIIAiECAwJMAh4AAtUCAgIhAgQCBQIGAgcCCAIJAksCCwIMAg0CCAIIAggCCAIIAggCCAIIAggCCAIIAggCCAIIAggCCAIIAiECAwLQAh4AAtUCAgIjAgQCBQIGAgcCCAIJAksCCwIMAg0CCAIIAggCCAIIAggCCAIIAggCCAIIAggCCAIIAggCCAIIAiECAwJYAh4AAtUCAgIlAgQCBQIGAgcCCAIJAksCCwIMAg0CCAIIAggCCAIIAggCCAIIAggCCAIIAggCCAIIAggCCAIIAiECAwJxAh4AAtUCAgIfAgQCBQIGAgcCCAIJAksCCwIMAg0CCAIIAggCCAIIAggCCAIIAggCCAIIAggCCAIIAggCCAIIAiECAwJ9Ah4AAtUCAgIvAgQCBQIGAgcCCAIJAksCCwIMAg0CCAIIAggCCAIIAggCCAIIAggCCAIIAggCCAIIAggCCAIIAiECAwKBAh4AAtUCAgInAgQCBQIGAgcCCAIJAksCCwIMAg0CCAIIAggCCAIIAggCCAIIAggCCAIIAggCCAIIAggCCAIIAiECAwKAAh4AAtUCAgIDAgQCBQIGAgcCCAIJAksCCwIMAg0CCAIIAggCCAIIAggCCAIIAggCCAIIAggCCAIIAggCCAIIAiECAwJqAh4AAtUCAgItAgQCBQIGAgcCCAIJAksCCwIMAg0CCAIIAggCCAIIAggCCAIIAggCCAIIAggCCAIIAggCCAIIAiECAwJwAh4AAtUCAgIxAgQCBQIGAgcCCAIJAksCCwIMAg0CCAIIAggCCAIIAggCCAIIAggCCAIIAggCCAIIAggCCAIIAiECAwLUAh4AAtYACTQxNDAxMzc4NAICAmECBAIFAgYCBwIIAgkCCgILAjgCDQIIAggCCAIIAggCCAIIAggCCAIIAggCCAIIAggCCAIIAggCEAIDAswCHgAC1gICAi8CBAIFAgYCBwIIAgkCSwILAjgCDQIIAggCCAIIAggCCAIIAggCCAIIAggCCAIIAggCCAIIAggCEAIDApwCHgAC1gICAjECBAIFAgYCBwIIAgkCSwILAjgCDQIIAggCCAIIAggCCAIIAggCCAIIAggCCAIIAggCCAIIAggCEAIDApECHgAC1gICAiUCBAIFAgYCBwIIAgkCCgILegAABAACOAINAggCCAIIAggCCAIIAggCCAIIAggCCAIIAggCCAIIAggCCAIQAgMCQAIeAALWAgICtgIEAgUCBgIHAggCCQIKAgsCOAINAggCCAIIAggCCAIIAggCCAIIAggCCAIIAggCCAIIAggCCAIQAgMCwwIeAALWAgICKwIEAgUCBgIHAggCCQKgAgsCOAINAggCCAIIAggCCAIIAggCCAIIAggCCAIIAggCCAIIAggCCAIQAgMCsAIeAALWAgICUAIEAgUCBgIHAggCCQKgAgsCOAINAggCCAIIAggCCAIIAggCCAIIAggCCAIIAggCCAIIAggCCAIQAgMCrwIeAALWAgICTQIEAgUCBgIHAggCCQJLAgsCOAINAggCCAIIAggCCAIIAggCCAIIAggCCAIIAggCCAIIAggCCAIQAgMCxgIeAALWAgICMwIEAgUCBgIHAggCCQJLAgsCOAINAggCCAIIAggCCAIIAggCCAIIAggCCAIIAggCCAIIAggCCAIQAgMClgIeAALWAgIC0gIEAgUCBgIHAggCCQIKAgsCOAINAggCCAIIAggCCAIIAggCCAIIAggCCAIIAggCCAIIAggCCAIQAgMCwwIeAALWAgICHQIEAgUCBgIHAggCCQKgAgsCOAINAggCCAIIAggCCAIIAggCCAIIAggCCAIIAggCCAIIAggCCAIQAgMCwAIeAALWAgICVQIEAgUCBgIHAggCCQKgAgsCOAINAggCCAIIAggCCAIIAggCCAIIAggCCAIIAggCCAIIAggCCAIQAgMCvgIeAALWAgICZwIEAgUCBgIHAggCCQIKAgsCOAINAggCCAIIAggCCAIIAggCCAIIAggCCAIIAggCCAIIAggCCAIQAgMCuwIeAALWAgICNQIEAgUCBgIHAggCCQIKAgsCOAINAggCCAIIAggCCAIIAggCCAIIAggCCAIIAggCCAIIAggCCAIQAgMCOgIeAALWAgICUgIEAgUCBgIHAggCCQKgAgsCOAINAggCCAIIAggCCAIIAggCCAIIAggCCAIIAggCCAIIAggCCAIQAgMCqQIeAALWAgICIQIEAgUCBgIHAggCCQJLAgsCOAINAggCCAIIAggCCAIIAggCCAIIAggCCAIIAggCCAIIAggCCAIQAgMClwIeAALWAgICYQIEAgUCBgIHAggCCQJLAgsCOAINAggCCAIIAggCCAIIAggCCAIIAggCCAIIAggCCAIIAggCCAIQAgMCtwIeAALWAgICXgIEAgUCBgIHAggCCQIKAgsCOAINAggCCAIIAggCCAIIAggCCAIIAggCCAIIAggCCAIIAggCCAIQAgMCuAIeAALWAgICJQIEAgUCegAABAAGAgcCCAIJAksCCwI4Ag0CCAIIAggCCAIIAggCCAIIAggCCAIIAggCCAIIAggCCAIIAhACAwKQAh4AAtYCAgJQAgQCBQIGAgcCCAIJAksCCwI4Ag0CCAIIAggCCAIIAggCCAIIAggCCAIIAggCCAIIAggCCAIIAhACAwKmAh4AAtYCAgIxAgQCBQIGAgcCCAIJAqACCwI4Ag0CCAIIAggCCAIIAggCCAIIAggCCAIIAggCCAIIAggCCAIIAhACAwJZAh4AAtYCAgIvAgQCBQIGAgcCCAIJAqACCwI4Ag0CCAIIAggCCAIIAggCCAIIAggCCAIIAggCCAIIAggCCAIIAhACAwLBAh4AAtYCAgIrAgQCBQIGAgcCCAIJAksCCwI4Ag0CCAIIAggCCAIIAggCCAIIAggCCAIIAggCCAIIAggCCAIIAhACAwKUAh4AAtYCAgJaAgQCBQIGAgcCCAIJAqACCwI4Ag0CCAIIAggCCAIIAggCCAIIAggCCAIIAggCCAIIAggCCAIIAhACAwKjAh4AAtYCAgInAgQCBQIGAgcCCAIJAqACCwI4Ag0CCAIIAggCCAIIAggCCAIIAggCCAIIAggCCAIIAggCCAIIAhACAwJZAh4AAtYCAgInAgQCBQIGAgcCCAIJAgoCCwI4Ag0CCAIIAggCCAIIAggCCAIIAggCCAIIAggCCAIIAggCCAIIAhACAwI9Ah4AAtYCAgK2AgQCBQIGAgcCCAIJAksCCwI4Ag0CCAIIAggCCAIIAggCCAIIAggCCAIIAggCCAIIAggCCAIIAhACAwK5Ah4AAtYCAgIvAgQCBQIGAgcCCAIJAgoCCwI4Ag0CCAIIAggCCAIIAggCCAIIAggCCAIIAggCCAIIAggCCAIIAhACAwI/Ah4AAtYCAgJNAgQCBQIGAgcCCAIJAqACCwI4Ag0CCAIIAggCCAIIAggCCAIIAggCCAIIAggCCAIIAggCCAIIAhACAwK6Ah4AAtYCAgIxAgQCBQIGAgcCCAIJAgoCCwI4Ag0CCAIIAggCCAIIAggCCAIIAggCCAIIAggCCAIIAggCCAIIAhACAwI7Ah4AAtYCAgIbAgQCBQIGAgcCCAIJAgoCCwI4Ag0CCAIIAggCCAIIAggCCAIIAggCCAIIAggCCAIIAggCCAIIAhACAwJFAh4AAtYCAgJ6AgQCBQIGAgcCCAIJAgoCCwI4Ag0CCAIIAggCCAIIAggCCAIIAggCCAIIAggCCAIIAggCCAIIAhACAwLKAh4AAtYCAgIhAgQCBQIGAgcCCAIJAqACCwI4Ag0CCAIIAggCCAIIAggCCAIIAggCCAIIAggCCAIIAggCCAIIAhACAwJZAh4AegAABAAC1gICAnICBAIFAgYCBwIIAgkCCgILAjgCDQIIAggCCAIIAggCCAIIAggCCAIIAggCCAIIAggCCAIIAggCEAIDArwCHgAC1gICAhsCBAIFAgYCBwIIAgkCSwILAjgCDQIIAggCCAIIAggCCAIIAggCCAIIAggCCAIIAggCCAIIAggCEAIDApMCHgAC1gICAiMCBAIFAgYCBwIIAgkCSwILAjgCDQIIAggCCAIIAggCCAIIAggCCAIIAggCCAIIAggCCAIIAggCEAIDApgCHgAC1gICAgMCBAIFAgYCBwIIAgkCoAILAjgCDQIIAggCCAIIAggCCAIIAggCCAIIAggCCAIIAggCCAIIAggCEAIDAssCHgAC1gICAmwCBAIFAgYCBwIIAgkCoAILAjgCDQIIAggCCAIIAggCCAIIAggCCAIIAggCCAIIAggCCAIIAggCEAIDAsICHgAC1gICAikCBAIFAgYCBwIIAgkCCgILAjgCDQIIAggCCAIIAggCCAIIAggCCAIIAggCCAIIAggCCAIIAggCEAIDAjkCHgAC1gICAmcCBAIFAgYCBwIIAgkCoAILAjgCDQIIAggCCAIIAggCCAIIAggCCAIIAggCCAIIAggCCAIIAggCEAIDAscCHgAC1gICAh8CBAIFAgYCBwIIAgkCSwILAjgCDQIIAggCCAIIAggCCAIIAggCCAIIAggCCAIIAggCCAIIAggCEAIDApsCHgAC1gICAl4CBAIFAgYCBwIIAgkCSwILAjgCDQIIAggCCAIIAggCCAIIAggCCAIIAggCCAIIAggCCAIIAggCEAIDAs4CHgAC1gICAloCBAIFAgYCBwIIAgkCSwILAjgCDQIIAggCCAIIAggCCAIIAggCCAIIAggCCAIIAggCCAIIAggCEAIDArUCHgAC1gICAiUCBAIFAgYCBwIIAgkCoAILAjgCDQIIAggCCAIIAggCCAIIAggCCAIIAggCCAIIAggCCAIIAggCEAIDAqwCHgAC1gICAmECBAIFAgYCBwIIAgkCoAILAjgCDQIIAggCCAIIAggCCAIIAggCCAIIAggCCAIIAggCCAIIAggCEAIDAq4CHgAC1gICAi0CBAIFAgYCBwIIAgkCoAILAjgCDQIIAggCCAIIAggCCAIIAggCCAIIAggCCAIIAggCCAIIAggCEAIDAs0CHgAC1gICAisCBAIFAgYCBwIIAgkCCgILAjgCDQIIAggCCAIIAggCCAIIAggCCAIIAggCCAIIAggCCAIIAggCEAIDAkcCHgAC1gICAlACBAIFAgYCBwIIAgkCCgILAjgCDQIIAggCCAIIAggCCAIIAggCCAIIAggCCAIIAggCCAIIegAABAACCAIQAgMCpwIeAALWAgICNQIEAgUCBgIHAggCCQKgAgsCOAINAggCCAIIAggCCAIIAggCCAIIAggCCAIIAggCCAIIAggCCAIQAgMCyAIeAALWAgICUgIEAgUCBgIHAggCCQJLAgsCOAINAggCCAIIAggCCAIIAggCCAIIAggCCAIIAggCCAIIAggCCAIQAgMCyQIeAALWAgICegIEAgUCBgIHAggCCQJLAgsCOAINAggCCAIIAggCCAIIAggCCAIIAggCCAIIAggCCAIIAggCCAIQAgMCsgIeAALWAgICKQIEAgUCBgIHAggCCQJLAgsCOAINAggCCAIIAggCCAIIAggCCAIIAggCCAIIAggCCAIIAggCCAIQAgMCkgIeAALWAgIC0gIEAgUCBgIHAggCCQKgAgsCOAINAggCCAIIAggCCAIIAggCCAIIAggCCAIIAggCCAIIAggCCAIQAgMCWQIeAALWAgICUgIEAgUCBgIHAggCCQIKAgsCOAINAggCCAIIAggCCAIIAggCCAIIAggCCAIIAggCCAIIAggCCAIQAgMCsQIeAALWAgICbAIEAgUCBgIHAggCCQJLAgsCOAINAggCCAIIAggCCAIIAggCCAIIAggCCAIIAggCCAIIAggCCAIQAgMCqgIeAALWAgICMwIEAgUCBgIHAggCCQKgAgsCOAINAggCCAIIAggCCAIIAggCCAIIAggCCAIIAggCCAIIAggCCAIQAgMCxAIeAALWAgICcgIEAgUCBgIHAggCCQJLAgsCOAINAggCCAIIAggCCAIIAggCCAIIAggCCAIIAggCCAIIAggCCAIQAgMCxQIeAALWAgICHQIEAgUCBgIHAggCCQIKAgsCOAINAggCCAIIAggCCAIIAggCCAIIAggCCAIIAggCCAIIAggCCAIQAgMCPgIeAALWAgICIwIEAgUCBgIHAggCCQIKAgsCOAINAggCCAIIAggCCAIIAggCCAIIAggCCAIIAggCCAIIAggCCAIQAgMCRAIeAALWAgICHwIEAgUCBgIHAggCCQKgAgsCOAINAggCCAIIAggCCAIIAggCCAIIAggCCAIIAggCCAIIAggCCAIQAgMCoQIeAALWAgICWgIEAgUCBgIHAggCCQIKAgsCOAINAggCCAIIAggCCAIIAggCCAIIAggCCAIIAggCCAIIAggCCAIQAgMCvwIeAALWAgICVQIEAgUCBgIHAggCCQIKAgsCOAINAggCCAIIAggCCAIIAggCCAIIAggCCAIIAggCCAIIAggCCAIQAgMCqwIeAALWAgICLQIEAgUCBgIHAggCCQJLAgsCOAINAggCCAIIAggCCAIIAggCCAIIAggCegAABAAIAggCCAIIAggCCAIIAhACAwKeAh4AAtYCAgIDAgQCBQIGAgcCCAIJAksCCwI4Ag0CCAIIAggCCAIIAggCCAIIAggCCAIIAggCCAIIAggCCAIIAhACAwKZAh4AAtYCAgIfAgQCBQIGAgcCCAIJAgoCCwI4Ag0CCAIIAggCCAIIAggCCAIIAggCCAIIAggCCAIIAggCCAIIAhACAwJCAh4AAtYCAgJ6AgQCBQIGAgcCCAIJAqACCwI4Ag0CCAIIAggCCAIIAggCCAIIAggCCAIIAggCCAIIAggCCAIIAhACAwKoAh4AAtYCAgJnAgQCBQIGAgcCCAIJAksCCwI4Ag0CCAIIAggCCAIIAggCCAIIAggCCAIIAggCCAIIAggCCAIIAhACAwK9Ah4AAtYCAgJeAgQCBQIGAgcCCAIJAqACCwI4Ag0CCAIIAggCCAIIAggCCAIIAggCCAIIAggCCAIIAggCCAIIAhACAwKiAh4AAtYCAgLSAgQCBQIGAgcCCAIJAksCCwI4Ag0CCAIIAggCCAIIAggCCAIIAggCCAIIAggCCAIIAggCCAIIAhACAwK5Ah4AAtYCAgI1AgQCBQIGAgcCCAIJAksCCwI4Ag0CCAIIAggCCAIIAggCCAIIAggCCAIIAggCCAIIAggCCAIIAhACAwKVAh4AAtYCAgIpAgQCBQIGAgcCCAIJAqACCwI4Ag0CCAIIAggCCAIIAggCCAIIAggCCAIIAggCCAIIAggCCAIIAhACAwKlAh4AAtYCAgJNAgQCBQIGAgcCCAIJAgoCCwI4Ag0CCAIIAggCCAIIAggCCAIIAggCCAIIAggCCAIIAggCCAIIAhACAwKkAh4AAtYCAgIjAgQCBQIGAgcCCAIJAqACCwI4Ag0CCAIIAggCCAIIAggCCAIIAggCCAIIAggCCAIIAggCCAIIAhACAwJZAh4AAtYCAgIbAgQCBQIGAgcCCAIJAqACCwI4Ag0CCAIIAggCCAIIAggCCAIIAggCCAIIAggCCAIIAggCCAIIAhACAwJZAh4AAtYCAgJyAgQCBQIGAgcCCAIJAqACCwI4Ag0CCAIIAggCCAIIAggCCAIIAggCCAIIAggCCAIIAggCCAIIAhACAwKzAh4AAtYCAgJVAgQCBQIGAgcCCAIJAksCCwI4Ag0CCAIIAggCCAIIAggCCAIIAggCCAIIAggCCAIIAggCCAIIAhACAwK0Ah4AAtYCAgIhAgQCBQIGAgcCCAIJAgoCCwI4Ag0CCAIIAggCCAIIAggCCAIIAggCCAIIAggCCAIIAggCCAIIAhACAwI8Ah4AAtYCAgIzAgQCBQIGAgcCCAIJAgoCCwI4Ag0CCAIIAggCCAIIegAABAACCAIIAggCCAIIAggCCAIIAggCCAIIAggCEAIDAkYCHgAC1gICAi0CBAIFAgYCBwIIAgkCCgILAjgCDQIIAggCCAIIAggCCAIIAggCCAIIAggCCAIIAggCCAIIAggCEAIDAkECHgAC1gICAmwCBAIFAgYCBwIIAgkCCgILAjgCDQIIAggCCAIIAggCCAIIAggCCAIIAggCCAIIAggCCAIIAggCEAIDAq0CHgAC1gICAgMCBAIFAgYCBwIIAgkCCgILAjgCDQIIAggCCAIIAggCCAIIAggCCAIIAggCCAIIAggCCAIIAggCEAIDAkMCHgAC1gICArYCBAIFAgYCBwIIAgkCoAILAjgCDQIIAggCCAIIAggCCAIIAggCCAIIAggCCAIIAggCCAIIAggCEAIDAlkCHgAC1gICAh0CBAIFAgYCBwIIAgkCSwILAjgCDQIIAggCCAIIAggCCAIIAggCCAIIAggCCAIIAggCCAIIAggCEAIDApoCHgAC1gICAicCBAIFAgYCBwIIAgkCSwILAjgCDQIIAggCCAIIAggCCAIIAggCCAIIAggCCAIIAggCCAIIAggCEAIDAp0CHgAC1wAJNDE3NzEzNDMyAgICMQIEAgUCBgIHAggCCQJJAgsCDAINAggCCAIIAggCCAIIAggCCAIIAggCCAIIAggCCAIIAggCCAITAgMCWQIeAALXAgICTQIEAgUCBgIHAggCCQJJAgsCDAINAggCCAIIAggCCAIIAggCCAIIAggCCAIIAggCCAIIAggCCAITAgMCZgIeAALXAgICJQIEAgUCBgIHAggCCQIKAgsCDAINAggCCAIIAggCCAIIAggCCAIIAggCCAIIAggCCAIIAggCCAITAgMCJgIeAALXAgICLQIEAgUCBgIHAggCCQIKAgsCDAINAggCCAIIAggCCAIIAggCCAIIAggCCAIIAggCCAIIAggCCAITAgMCLgIeAALXAgICMQIEAgUCBgIHAggCCQJLAgsCDAINAggCCAIIAggCCAIIAggCCAIIAggCCAIIAggCCAIIAggCCAITAgMC1AIeAALXAgICLwIEAgUCBgIHAggCCQJLAgsCDAINAggCCAIIAggCCAIIAggCCAIIAggCCAIIAggCCAIIAggCCAITAgMCgQIeAALXAgICYQIEAgUCBgIHAggCCQIKAgsCDAINAggCCAIIAggCCAIIAggCCAIIAggCCAIIAggCCAIIAggCCAITAgMCYgIeAALXAgICLwIEAgUCBgIHAggCCQJJAgsCDAINAggCCAIIAggCCAIIAggCCAIIAggCCAIIAggCCAIIAggCCAITAgMCfgIeAALXAgICHQIEAgUCBgIHegAABAACCAIJAkkCCwIMAg0CCAIIAggCCAIIAggCCAIIAggCCAIIAggCCAIIAggCCAIIAhMCAwJdAh4AAtcCAgIhAgQCBQIGAgcCCAIJAkkCCwIMAg0CCAIIAggCCAIIAggCCAIIAggCCAIIAggCCAIIAggCCAIIAhMCAwJZAh4AAtcCAgJyAgQCBQIGAgcCCAIJAgoCCwIMAg0CCAIIAggCCAIIAggCCAIIAggCCAIIAggCCAIIAggCCAIIAhMCAwJzAh4AAtcCAgIbAgQCBQIGAgcCCAIJAgoCCwIMAg0CCAIIAggCCAIIAggCCAIIAggCCAIIAggCCAIIAggCCAIIAhMCAwIcAh4AAtcCAgI1AgQCBQIGAgcCCAIJAgoCCwIMAg0CCAIIAggCCAIIAggCCAIIAggCCAIIAggCCAIIAggCCAIIAhMCAwI2Ah4AAtcCAgIhAgQCBQIGAgcCCAIJAksCCwIMAg0CCAIIAggCCAIIAggCCAIIAggCCAIIAggCCAIIAggCCAIIAhMCAwLQAh4AAtcCAgIzAgQCBQIGAgcCCAIJAksCCwIMAg0CCAIIAggCCAIIAggCCAIIAggCCAIIAggCCAIIAggCCAIIAhMCAwJpAh4AAtcCAgJNAgQCBQIGAgcCCAIJAksCCwIMAg0CCAIIAggCCAIIAggCCAIIAggCCAIIAggCCAIIAggCCAIIAhMCAwJlAh4AAtcCAgJnAgQCBQIGAgcCCAIJAgoCCwIMAg0CCAIIAggCCAIIAggCCAIIAggCCAIIAggCCAIIAggCCAIIAhMCAwKIAh4AAtcCAgIzAgQCBQIGAgcCCAIJAkkCCwIMAg0CCAIIAggCCAIIAggCCAIIAggCCAIIAggCCAIIAggCCAIIAhMCAwJ0Ah4AAtcCAgJeAgQCBQIGAgcCCAIJAgoCCwIMAg0CCAIIAggCCAIIAggCCAIIAggCCAIIAggCCAIIAggCCAIIAhMCAwJvAh4AAtcCAgIfAgQCBQIGAgcCCAIJAgoCCwIMAg0CCAIIAggCCAIIAggCCAIIAggCCAIIAggCCAIIAggCCAIIAhMCAwIgAh4AAtcCAgIdAgQCBQIGAgcCCAIJAksCCwIMAg0CCAIIAggCCAIIAggCCAIIAggCCAIIAggCCAIIAggCCAIIAhMCAwJXAh4AAtcCAgJVAgQCBQIGAgcCCAIJAksCCwIMAg0CCAIIAggCCAIIAggCCAIIAggCCAIIAggCCAIIAggCCAIIAhMCAwJWAh4AAtcCAgJsAgQCBQIGAgcCCAIJAkkCCwIMAg0CCAIIAggCCAIIAggCCAIIAggCCAIIAggCCAIIAggCCAIIAhMCAwJuAh4AAtcCegAABAACAi0CBAIFAgYCBwIIAgkCSwILAgwCDQIIAggCCAIIAggCCAIIAggCCAIIAggCCAIIAggCCAIIAggCEwIDAnACHgAC1wICAi0CBAIFAgYCBwIIAgkCSQILAgwCDQIIAggCCAIIAggCCAIIAggCCAIIAggCCAIIAggCCAIIAggCEwIDAmsCHgAC1wICAgMCBAIFAgYCBwIIAgkCSQILAgwCDQIIAggCCAIIAggCCAIIAggCCAIIAggCCAIIAggCCAIIAggCEwIDAkoCHgAC1wICAiECBAIFAgYCBwIIAgkCCgILAgwCDQIIAggCCAIIAggCCAIIAggCCAIIAggCCAIIAggCCAIIAggCEwIDAiICHgAC1wICAlUCBAIFAgYCBwIIAgkCSQILAgwCDQIIAggCCAIIAggCCAIIAggCCAIIAggCCAIIAggCCAIIAggCEwIDAlwCHgAC1wICAjMCBAIFAgYCBwIIAgkCCgILAgwCDQIIAggCCAIIAggCCAIIAggCCAIIAggCCAIIAggCCAIIAggCEwIDAjQCHgAC1wICAmcCBAIFAgYCBwIIAgkCSQILAgwCDQIIAggCCAIIAggCCAIIAggCCAIIAggCCAIIAggCCAIIAggCEwIDAmgCHgAC1wICAmcCBAIFAgYCBwIIAgkCSwILAgwCDQIIAggCCAIIAggCCAIIAggCCAIIAggCCAIIAggCCAIIAggCEwIDAnUCHgAC1wICAlICBAIFAgYCBwIIAgkCCgILAgwCDQIIAggCCAIIAggCCAIIAggCCAIIAggCCAIIAggCCAIIAggCEwIDAngCHgAC1wICAjUCBAIFAgYCBwIIAgkCSwILAgwCDQIIAggCCAIIAggCCAIIAggCCAIIAggCCAIIAggCCAIIAggCEwIDAnkCHgAC1wICAk0CBAIFAgYCBwIIAgkCCgILAgwCDQIIAggCCAIIAggCCAIIAggCCAIIAggCCAIIAggCCAIIAggCEwIDAk4CHgAC1wICAjUCBAIFAgYCBwIIAgkCSQILAgwCDQIIAggCCAIIAggCCAIIAggCCAIIAggCCAIIAggCCAIIAggCEwIDAncCHgAC1wICAloCBAIFAgYCBwIIAgkCSQILAgwCDQIIAggCCAIIAggCCAIIAggCCAIIAggCCAIIAggCCAIIAggCEwIDAlsCHgAC1wICAikCBAIFAgYCBwIIAgkCSwILAgwCDQIIAggCCAIIAggCCAIIAggCCAIIAggCCAIIAggCCAIIAggCEwIDAoMCHgAC1wICAnoCBAIFAgYCBwIIAgkCSwILAgwCDQIIAggCCAIIAggCCAIIAggCCAIIAggCCAIIAggCCAIIAggCegAABAATAgMChgIeAALXAgICUAIEAgUCBgIHAggCCQIKAgsCDAINAggCCAIIAggCCAIIAggCCAIIAggCCAIIAggCCAIIAggCCAITAgMCYwIeAALXAgICKwIEAgUCBgIHAggCCQIKAgsCDAINAggCCAIIAggCCAIIAggCCAIIAggCCAIIAggCCAIIAggCCAITAgMCLAIeAALXAgICWgIEAgUCBgIHAggCCQJLAgsCDAINAggCCAIIAggCCAIIAggCCAIIAggCCAIIAggCCAIIAggCCAITAgMCfwIeAALXAgICJwIEAgUCBgIHAggCCQJLAgsCDAINAggCCAIIAggCCAIIAggCCAIIAggCCAIIAggCCAIIAggCCAITAgMCgAIeAALXAgICXgIEAgUCBgIHAggCCQJJAgsCDAINAggCCAIIAggCCAIIAggCCAIIAggCCAIIAggCCAIIAggCCAITAgMCXwIeAALXAgICbAIEAgUCBgIHAggCCQIKAgsCDAINAggCCAIIAggCCAIIAggCCAIIAggCCAIIAggCCAIIAggCCAITAgMCggIeAALXAgICAwIEAgUCBgIHAggCCQJLAgsCDAINAggCCAIIAggCCAIIAggCCAIIAggCCAIIAggCCAIIAggCCAITAgMCagIeAALXAgICbAIEAgUCBgIHAggCCQJLAgsCDAINAggCCAIIAggCCAIIAggCCAIIAggCCAIIAggCCAIIAggCCAITAgMCbQIeAALXAgICHwIEAgUCBgIHAggCCQJJAgsCDAINAggCCAIIAggCCAIIAggCCAIIAggCCAIIAggCCAIIAggCCAITAgMCYAIeAALXAgICJwIEAgUCBgIHAggCCQJJAgsCDAINAggCCAIIAggCCAIIAggCCAIIAggCCAIIAggCCAIIAggCCAITAgMCWQIeAALXAgICHwIEAgUCBgIHAggCCQJLAgsCDAINAggCCAIIAggCCAIIAggCCAIIAggCCAIIAggCCAIIAggCCAITAgMCfQIeAALXAgICUgIEAgUCBgIHAggCCQJJAgsCDAINAggCCAIIAggCCAIIAggCCAIIAggCCAIIAggCCAIIAggCCAITAgMCUwIeAALXAgICIwIEAgUCBgIHAggCCQIKAgsCDAINAggCCAIIAggCCAIIAggCCAIIAggCCAIIAggCCAIIAggCCAITAgMCJAIeAALXAgICAwIEAgUCBgIHAggCCQIKAgsCDAINAggCCAIIAggCCAIIAggCCAIIAggCCAIIAggCCAIIAggCCAITAgMCDgIeAALXAgICUgIEAgUCBgIHAggCCQJLAgsCDAINAggCCAIIAggCCAIIAggCCAIIAggCCAIIegAABAACCAIIAggCCAIIAhMCAwJkAh4AAtcCAgJ6AgQCBQIGAgcCCAIJAkkCCwIMAg0CCAIIAggCCAIIAggCCAIIAggCCAIIAggCCAIIAggCCAIIAhMCAwKHAh4AAtcCAgIpAgQCBQIGAgcCCAIJAkkCCwIMAg0CCAIIAggCCAIIAggCCAIIAggCCAIIAggCCAIIAggCCAIIAhMCAwKJAh4AAtcCAgIvAgQCBQIGAgcCCAIJAgoCCwIMAg0CCAIIAggCCAIIAggCCAIIAggCCAIIAggCCAIIAggCCAIIAhMCAwIwAh4AAtcCAgIxAgQCBQIGAgcCCAIJAgoCCwIMAg0CCAIIAggCCAIIAggCCAIIAggCCAIIAggCCAIIAggCCAIIAhMCAwIyAh4AAtcCAgJaAgQCBQIGAgcCCAIJAgoCCwIMAg0CCAIIAggCCAIIAggCCAIIAggCCAIIAggCCAIIAggCCAIIAhMCAwKLAh4AAtcCAgInAgQCBQIGAgcCCAIJAgoCCwIMAg0CCAIIAggCCAIIAggCCAIIAggCCAIIAggCCAIIAggCCAIIAhMCAwIoAh4AAtcCAgJhAgQCBQIGAgcCCAIJAkkCCwIMAg0CCAIIAggCCAIIAggCCAIIAggCCAIIAggCCAIIAggCCAIIAhMCAwKOAh4AAtcCAgJQAgQCBQIGAgcCCAIJAkkCCwIMAg0CCAIIAggCCAIIAggCCAIIAggCCAIIAggCCAIIAggCCAIIAhMCAwJUAh4AAtcCAgIpAgQCBQIGAgcCCAIJAgoCCwIMAg0CCAIIAggCCAIIAggCCAIIAggCCAIIAggCCAIIAggCCAIIAhMCAwIqAh4AAtcCAgIlAgQCBQIGAgcCCAIJAksCCwIMAg0CCAIIAggCCAIIAggCCAIIAggCCAIIAggCCAIIAggCCAIIAhMCAwJxAh4AAtcCAgJhAgQCBQIGAgcCCAIJAksCCwIMAg0CCAIIAggCCAIIAggCCAIIAggCCAIIAggCCAIIAggCCAIIAhMCAwKNAh4AAtcCAgIlAgQCBQIGAgcCCAIJAkkCCwIMAg0CCAIIAggCCAIIAggCCAIIAggCCAIIAggCCAIIAggCCAIIAhMCAwKMAh4AAtcCAgIdAgQCBQIGAgcCCAIJAgoCCwIMAg0CCAIIAggCCAIIAggCCAIIAggCCAIIAggCCAIIAggCCAIIAhMCAwIeAh4AAtcCAgJeAgQCBQIGAgcCCAIJAksCCwIMAg0CCAIIAggCCAIIAggCCAIIAggCCAIIAggCCAIIAggCCAIIAhMCAwJ8Ah4AAtcCAgJVAgQCBQIGAgcCCAIJAgoCCwIMAg0CCAIIAggCCAIIAggCegAABAAIAggCCAIIAggCCAIIAggCCAIIAggCEwIDAooCHgAC1wICAnICBAIFAgYCBwIIAgkCSQILAgwCDQIIAggCCAIIAggCCAIIAggCCAIIAggCCAIIAggCCAIIAggCEwIDAoQCHgAC1wICAiMCBAIFAgYCBwIIAgkCSwILAgwCDQIIAggCCAIIAggCCAIIAggCCAIIAggCCAIIAggCCAIIAggCEwIDAlgCHgAC1wICAiMCBAIFAgYCBwIIAgkCSQILAgwCDQIIAggCCAIIAggCCAIIAggCCAIIAggCCAIIAggCCAIIAggCEwIDAlkCHgAC1wICAnICBAIFAgYCBwIIAgkCSwILAgwCDQIIAggCCAIIAggCCAIIAggCCAIIAggCCAIIAggCCAIIAggCEwIDAoUCHgAC1wICAnoCBAIFAgYCBwIIAgkCCgILAgwCDQIIAggCCAIIAggCCAIIAggCCAIIAggCCAIIAggCCAIIAggCEwIDAnsCHgAC1wICAlACBAIFAgYCBwIIAgkCSwILAgwCDQIIAggCCAIIAggCCAIIAggCCAIIAggCCAIIAggCCAIIAggCEwIDAlECHgAC1wICAisCBAIFAgYCBwIIAgkCSwILAgwCDQIIAggCCAIIAggCCAIIAggCCAIIAggCCAIIAggCCAIIAggCEwIDAkwCHgAC1wICAhsCBAIFAgYCBwIIAgkCSwILAgwCDQIIAggCCAIIAggCCAIIAggCCAIIAggCCAIIAggCCAIIAggCEwIDAnYCHgAC1wICAisCBAIFAgYCBwIIAgkCSQILAgwCDQIIAggCCAIIAggCCAIIAggCCAIIAggCCAIIAggCCAIIAggCEwIDAk8CHgAC1wICAhsCBAIFAgYCBwIIAgkCSQILAgwCDQIIAggCCAIIAggCCAIIAggCCAIIAggCCAIIAggCCAIIAggCEwIDAlkCHgAC2AAJNDE3NzE1NzUyAgICHQIEAgUCBgIHAggCCQJJAgsCDAINAggCCAIIAggCCAIIAggCCAIIAggCCAIIAggCCAIIAggCCAIVAgMCXQIeAALYAgICVQIEAgUCBgIHAggCCQJJAgsCDAINAggCCAIIAggCCAIIAggCCAIIAggCCAIIAggCCAIIAggCCAIVAgMCXAIeAALYAgICMwIEAgUCBgIHAggCCQIKAgsCDAINAggCCAIIAggCCAIIAggCCAIIAggCCAIIAggCCAIIAggCCAIVAgMCNAIeAALYAgICTQIEAgUCBgIHAggCCQJLAgsCDAINAggCCAIIAggCCAIIAggCCAIIAggCCAIIAggCCAIIAggCCAIVAgMCZQIeAALYAgICIwIEAgUCBgIHAggCegAABAAJAksCCwIMAg0CCAIIAggCCAIIAggCCAIIAggCCAIIAggCCAIIAggCCAIIAhUCAwJYAh4AAtgCAgIrAgQCBQIGAgcCCAIJAkkCCwIMAg0CCAIIAggCCAIIAggCCAIIAggCCAIIAggCCAIIAggCCAIIAhUCAwJPAh4AAtgCAgIjAgQCBQIGAgcCCAIJAkkCCwIMAg0CCAIIAggCCAIIAggCCAIIAggCCAIIAggCCAIIAggCCAIIAhUCAwJZAh4AAtgCAgIxAgQCBQIGAgcCCAIJAkkCCwIMAg0CCAIIAggCCAIIAggCCAIIAggCCAIIAggCCAIIAggCCAIIAhUCAwJZAh4AAtgCAgIvAgQCBQIGAgcCCAIJAkkCCwIMAg0CCAIIAggCCAIIAggCCAIIAggCCAIIAggCCAIIAggCCAIIAhUCAwJ+Ah4AAtgCAgItAgQCBQIGAgcCCAIJAgoCCwIMAg0CCAIIAggCCAIIAggCCAIIAggCCAIIAggCCAIIAggCCAIIAhUCAwIuAh4AAtgCAgJNAgQCBQIGAgcCCAIJAkkCCwIMAg0CCAIIAggCCAIIAggCCAIIAggCCAIIAggCCAIIAggCCAIIAhUCAwJmAh4AAtgCAgIdAgQCBQIGAgcCCAIJAksCCwIMAg0CCAIIAggCCAIIAggCCAIIAggCCAIIAggCCAIIAggCCAIIAhUCAwJXAh4AAtgCAgJVAgQCBQIGAgcCCAIJAksCCwIMAg0CCAIIAggCCAIIAggCCAIIAggCCAIIAggCCAIIAggCCAIIAhUCAwJWAh4AAtgCAgIxAgQCBQIGAgcCCAIJAksCCwIMAg0CCAIIAggCCAIIAggCCAIIAggCCAIIAggCCAIIAggCCAIIAhUCAwLUAh4AAtgCAgIlAgQCBQIGAgcCCAIJAgoCCwIMAg0CCAIIAggCCAIIAggCCAIIAggCCAIIAggCCAIIAggCCAIIAhUCAwImAh4AAtgCAgJhAgQCBQIGAgcCCAIJAgoCCwIMAg0CCAIIAggCCAIIAggCCAIIAggCCAIIAggCCAIIAggCCAIIAhUCAwJiAh4AAtgCAgIvAgQCBQIGAgcCCAIJAksCCwIMAg0CCAIIAggCCAIIAggCCAIIAggCCAIIAggCCAIIAggCCAIIAhUCAwKBAh4AAtgCAgIdAgQCBQIGAgcCCAIJAgoCCwIMAg0CCAIIAggCCAIIAggCCAIIAggCCAIIAggCCAIIAggCCAIIAhUCAwIeAh4AAtgCAgJhAgQCBQIGAgcCCAIJAksCCwIMAg0CCAIIAggCCAIIAggCCAIIAggCCAIIAggCCAIIAggCCAIIAhUCAwKNAh4AAtgCAgIpegAABAACBAIFAgYCBwIIAgkCSQILAgwCDQIIAggCCAIIAggCCAIIAggCCAIIAggCCAIIAggCCAIIAggCFQIDAokCHgAC2AICAlACBAIFAgYCBwIIAgkCSwILAgwCDQIIAggCCAIIAggCCAIIAggCCAIIAggCCAIIAggCCAIIAggCFQIDAlECHgAC2AICAjUCBAIFAgYCBwIIAgkCCgILAgwCDQIIAggCCAIIAggCCAIIAggCCAIIAggCCAIIAggCCAIIAggCFQIDAjYCHgAC2AICAisCBAIFAgYCBwIIAgkCSwILAgwCDQIIAggCCAIIAggCCAIIAggCCAIIAggCCAIIAggCCAIIAggCFQIDAkwCHgAC2AICAmcCBAIFAgYCBwIIAgkCCgILAgwCDQIIAggCCAIIAggCCAIIAggCCAIIAggCCAIIAggCCAIIAggCFQIDAogCHgAC2AICAjECBAIFAgYCBwIIAgkCCgILAgwCDQIIAggCCAIIAggCCAIIAggCCAIIAggCCAIIAggCCAIIAggCFQIDAjICHgAC2AICAicCBAIFAgYCBwIIAgkCCgILAgwCDQIIAggCCAIIAggCCAIIAggCCAIIAggCCAIIAggCCAIIAggCFQIDAigCHgAC2AICAi8CBAIFAgYCBwIIAgkCCgILAgwCDQIIAggCCAIIAggCCAIIAggCCAIIAggCCAIIAggCCAIIAggCFQIDAjACHgAC2AICAmECBAIFAgYCBwIIAgkCSQILAgwCDQIIAggCCAIIAggCCAIIAggCCAIIAggCCAIIAggCCAIIAggCFQIDAo4CHgAC2AICAlACBAIFAgYCBwIIAgkCSQILAgwCDQIIAggCCAIIAggCCAIIAggCCAIIAggCCAIIAggCCAIIAggCFQIDAlQCHgAC2AICAiUCBAIFAgYCBwIIAgkCSwILAgwCDQIIAggCCAIIAggCCAIIAggCCAIIAggCCAIIAggCCAIIAggCFQIDAnECHgAC2AICAiUCBAIFAgYCBwIIAgkCSQILAgwCDQIIAggCCAIIAggCCAIIAggCCAIIAggCCAIIAggCCAIIAggCFQIDAowCHgAC2AICAloCBAIFAgYCBwIIAgkCCgILAgwCDQIIAggCCAIIAggCCAIIAggCCAIIAggCCAIIAggCCAIIAggCFQIDAosCHgAC2AICAlUCBAIFAgYCBwIIAgkCCgILAgwCDQIIAggCCAIIAggCCAIIAggCCAIIAggCCAIIAggCCAIIAggCFQIDAooCHgAC2AICAh8CBAIFAgYCBwIIAgkCSwILAgwCDQIIAggCCAIIAggCCAIIAggCCAIIAggCCAIIAggCCAIIAggCFQIDegAABAACfQIeAALYAgICXgIEAgUCBgIHAggCCQJLAgsCDAINAggCCAIIAggCCAIIAggCCAIIAggCCAIIAggCCAIIAggCCAIVAgMCfAIeAALYAgICGwIEAgUCBgIHAggCCQJJAgsCDAINAggCCAIIAggCCAIIAggCCAIIAggCCAIIAggCCAIIAggCCAIVAgMCWQIeAALYAgICAwIEAgUCBgIHAggCCQIKAgsCDAINAggCCAIIAggCCAIIAggCCAIIAggCCAIIAggCCAIIAggCCAIVAgMCDgIeAALYAgICcgIEAgUCBgIHAggCCQJJAgsCDAINAggCCAIIAggCCAIIAggCCAIIAggCCAIIAggCCAIIAggCCAIVAgMChAIeAALYAgICZwIEAgUCBgIHAggCCQJJAgsCDAINAggCCAIIAggCCAIIAggCCAIIAggCCAIIAggCCAIIAggCCAIVAgMCaAIeAALYAgICcgIEAgUCBgIHAggCCQJLAgsCDAINAggCCAIIAggCCAIIAggCCAIIAggCCAIIAggCCAIIAggCCAIVAgMChQIeAALYAgICKQIEAgUCBgIHAggCCQIKAgsCDAINAggCCAIIAggCCAIIAggCCAIIAggCCAIIAggCCAIIAggCCAIVAgMCKgIeAALYAgICUgIEAgUCBgIHAggCCQIKAgsCDAINAggCCAIIAggCCAIIAggCCAIIAggCCAIIAggCCAIIAggCCAIVAgMCeAIeAALYAgICNQIEAgUCBgIHAggCCQJJAgsCDAINAggCCAIIAggCCAIIAggCCAIIAggCCAIIAggCCAIIAggCCAIVAgMCdwIeAALYAgICGwIEAgUCBgIHAggCCQJLAgsCDAINAggCCAIIAggCCAIIAggCCAIIAggCCAIIAggCCAIIAggCCAIVAgMCdgIeAALYAgICKQIEAgUCBgIHAggCCQJLAgsCDAINAggCCAIIAggCCAIIAggCCAIIAggCCAIIAggCCAIIAggCCAIVAgMCgwIeAALYAgICNQIEAgUCBgIHAggCCQJLAgsCDAINAggCCAIIAggCCAIIAggCCAIIAggCCAIIAggCCAIIAggCCAIVAgMCeQIeAALYAgICegIEAgUCBgIHAggCCQIKAgsCDAINAggCCAIIAggCCAIIAggCCAIIAggCCAIIAggCCAIIAggCCAIVAgMCewIeAALYAgICJwIEAgUCBgIHAggCCQJJAgsCDAINAggCCAIIAggCCAIIAggCCAIIAggCCAIIAggCCAIIAggCCAIVAgMCWQIeAALYAgICWgIEAgUCBgIHAggCCQJJAgsCDAINAggCCAIIAggCCAIIAggCCAIIAggCCAIIAggCegAABAAIAggCCAIIAhUCAwJbAh4AAtgCAgJ6AgQCBQIGAgcCCAIJAksCCwIMAg0CCAIIAggCCAIIAggCCAIIAggCCAIIAggCCAIIAggCCAIIAhUCAwKGAh4AAtgCAgJSAgQCBQIGAgcCCAIJAksCCwIMAg0CCAIIAggCCAIIAggCCAIIAggCCAIIAggCCAIIAggCCAIIAhUCAwJkAh4AAtgCAgJ6AgQCBQIGAgcCCAIJAkkCCwIMAg0CCAIIAggCCAIIAggCCAIIAggCCAIIAggCCAIIAggCCAIIAhUCAwKHAh4AAtgCAgInAgQCBQIGAgcCCAIJAksCCwIMAg0CCAIIAggCCAIIAggCCAIIAggCCAIIAggCCAIIAggCCAIIAhUCAwKAAh4AAtgCAgJeAgQCBQIGAgcCCAIJAkkCCwIMAg0CCAIIAggCCAIIAggCCAIIAggCCAIIAggCCAIIAggCCAIIAhUCAwJfAh4AAtgCAgJaAgQCBQIGAgcCCAIJAksCCwIMAg0CCAIIAggCCAIIAggCCAIIAggCCAIIAggCCAIIAggCCAIIAhUCAwJ/Ah4AAtgCAgIfAgQCBQIGAgcCCAIJAkkCCwIMAg0CCAIIAggCCAIIAggCCAIIAggCCAIIAggCCAIIAggCCAIIAhUCAwJgAh4AAtgCAgJsAgQCBQIGAgcCCAIJAgoCCwIMAg0CCAIIAggCCAIIAggCCAIIAggCCAIIAggCCAIIAggCCAIIAhUCAwKCAh4AAtgCAgJyAgQCBQIGAgcCCAIJAgoCCwIMAg0CCAIIAggCCAIIAggCCAIIAggCCAIIAggCCAIIAggCCAIIAhUCAwJzAh4AAtgCAgIbAgQCBQIGAgcCCAIJAgoCCwIMAg0CCAIIAggCCAIIAggCCAIIAggCCAIIAggCCAIIAggCCAIIAhUCAwIcAh4AAtgCAgIzAgQCBQIGAgcCCAIJAkkCCwIMAg0CCAIIAggCCAIIAggCCAIIAggCCAIIAggCCAIIAggCCAIIAhUCAwJ0Ah4AAtgCAgJsAgQCBQIGAgcCCAIJAkkCCwIMAg0CCAIIAggCCAIIAggCCAIIAggCCAIIAggCCAIIAggCCAIIAhUCAwJuAh4AAtgCAgJsAgQCBQIGAgcCCAIJAksCCwIMAg0CCAIIAggCCAIIAggCCAIIAggCCAIIAggCCAIIAggCCAIIAhUCAwJtAh4AAtgCAgIjAgQCBQIGAgcCCAIJAgoCCwIMAg0CCAIIAggCCAIIAggCCAIIAggCCAIIAggCCAIIAggCCAIIAhUCAwIkAh4AAtgCAgJSAgQCBQIGAgcCCAIJAkkCCwIMAg0CCAIIAggCCAIIAggCCAIIegAABAACCAIIAggCCAIIAggCCAIIAggCFQIDAlMCHgAC2AICAjMCBAIFAgYCBwIIAgkCSwILAgwCDQIIAggCCAIIAggCCAIIAggCCAIIAggCCAIIAggCCAIIAggCFQIDAmkCHgAC2AICAlACBAIFAgYCBwIIAgkCCgILAgwCDQIIAggCCAIIAggCCAIIAggCCAIIAggCCAIIAggCCAIIAggCFQIDAmMCHgAC2AICAk0CBAIFAgYCBwIIAgkCCgILAgwCDQIIAggCCAIIAggCCAIIAggCCAIIAggCCAIIAggCCAIIAggCFQIDAk4CHgAC2AICAmcCBAIFAgYCBwIIAgkCSwILAgwCDQIIAggCCAIIAggCCAIIAggCCAIIAggCCAIIAggCCAIIAggCFQIDAnUCHgAC2AICAisCBAIFAgYCBwIIAgkCCgILAgwCDQIIAggCCAIIAggCCAIIAggCCAIIAggCCAIIAggCCAIIAggCFQIDAiwCHgAC2AICAh8CBAIFAgYCBwIIAgkCCgILAgwCDQIIAggCCAIIAggCCAIIAggCCAIIAggCCAIIAggCCAIIAggCFQIDAiACHgAC2AICAgMCBAIFAgYCBwIIAgkCSwILAgwCDQIIAggCCAIIAggCCAIIAggCCAIIAggCCAIIAggCCAIIAggCFQIDAmoCHgAC2AICAi0CBAIFAgYCBwIIAgkCSwILAgwCDQIIAggCCAIIAggCCAIIAggCCAIIAggCCAIIAggCCAIIAggCFQIDAnACHgAC2AICAi0CBAIFAgYCBwIIAgkCSQILAgwCDQIIAggCCAIIAggCCAIIAggCCAIIAggCCAIIAggCCAIIAggCFQIDAmsCHgAC2AICAgMCBAIFAgYCBwIIAgkCSQILAgwCDQIIAggCCAIIAggCCAIIAggCCAIIAggCCAIIAggCCAIIAggCFQIDAkoCHgAC2AICAl4CBAIFAgYCBwIIAgkCCgILAgwCDQIIAggCCAIIAggCCAIIAggCCAIIAggCCAIIAggCCAIIAggCFQIDAm8CHgAC2QAJMzI5ODAzOTM2AgICLQIEAgUCBgIHAggCCQIKAgsCOAINAggCCAIIAggCCAIIAggCCAIIAggCCAIIAggCCAIIAggCCAIWAgMCQQIeAALZAgICHQIEAgUCBgIHAggCCQKgAgsCOAINAggCCAIIAggCCAIIAggCCAIIAggCCAIIAggCCAIIAggCCAIWAgMCwAIeAALZAgICKwIEAgUCBgIHAggCCQKgAgsCOAINAggCCAIIAggCCAIIAggCCAIIAggCCAIIAggCCAIIAggCCAIWAgMCsAIeAALZAgICIwIEAgUCBgIHAggCCQKgegAABAACCwI4Ag0CCAIIAggCCAIIAggCCAIIAggCCAIIAggCCAIIAggCCAIIAhYCAwJZAh4AAtkCAgI1AgQCBQIGAgcCCAIJAgoCCwI4Ag0CCAIIAggCCAIIAggCCAIIAggCCAIIAggCCAIIAggCCAIIAhYCAwI6Ah4AAtkCAgJVAgQCBQIGAgcCCAIJAqACCwI4Ag0CCAIIAggCCAIIAggCCAIIAggCCAIIAggCCAIIAggCCAIIAhYCAwK+Ah4AAtkCAgIzAgQCBQIGAgcCCAIJAksCCwI4Ag0CCAIIAggCCAIIAggCCAIIAggCCAIIAggCCAIIAggCCAIIAhYCAwKWAh4AAtkCAgJyAgQCBQIGAgcCCAIJAgoCCwI4Ag0CCAIIAggCCAIIAggCCAIIAggCCAIIAggCCAIIAggCCAIIAhYCAwK8Ah4AAtkCAgJnAgQCBQIGAgcCCAIJAgoCCwI4Ag0CCAIIAggCCAIIAggCCAIIAggCCAIIAggCCAIIAggCCAIIAhYCAwK7Ah4AAtkCAgJhAgQCBQIGAgcCCAIJAksCCwI4Ag0CCAIIAggCCAIIAggCCAIIAggCCAIIAggCCAIIAggCCAIIAhYCAwK3Ah4AAtkCAgIbAgQCBQIGAgcCCAIJAgoCCwI4Ag0CCAIIAggCCAIIAggCCAIIAggCCAIIAggCCAIIAggCCAIIAhYCAwJFAh4AAtkCAgIvAgQCBQIGAgcCCAIJAqACCwI4Ag0CCAIIAggCCAIIAggCCAIIAggCCAIIAggCCAIIAggCCAIIAhYCAwLBAh4AAtkCAgItAgQCBQIGAgcCCAIJAksCCwI4Ag0CCAIIAggCCAIIAggCCAIIAggCCAIIAggCCAIIAggCCAIIAhYCAwKeAh4AAtkCAgIfAgQCBQIGAgcCCAIJAgoCCwI4Ag0CCAIIAggCCAIIAggCCAIIAggCCAIIAggCCAIIAggCCAIIAhYCAwJCAh4AAtkCAgJNAgQCBQIGAgcCCAIJAqACCwI4Ag0CCAIIAggCCAIIAggCCAIIAggCCAIIAggCCAIIAggCCAIIAhYCAwK6Ah4AAtkCAgJaAgQCBQIGAgcCCAIJAgoCCwI4Ag0CCAIIAggCCAIIAggCCAIIAggCCAIIAggCCAIIAggCCAIIAhYCAwK/Ah4AAtkCAgInAgQCBQIGAgcCCAIJAgoCCwI4Ag0CCAIIAggCCAIIAggCCAIIAggCCAIIAggCCAIIAggCCAIIAhYCAwI9Ah4AAtkCAgJSAgQCBQIGAgcCCAIJAqACCwI4Ag0CCAIIAggCCAIIAggCCAIIAggCCAIIAggCCAIIAggCCAIIAhYCAwKpAh4AAtkCAgJeAgQCegAABAAFAgYCBwIIAgkCCgILAjgCDQIIAggCCAIIAggCCAIIAggCCAIIAggCCAIIAggCCAIIAggCFgIDArgCHgAC2QICAiUCBAIFAgYCBwIIAgkCSwILAjgCDQIIAggCCAIIAggCCAIIAggCCAIIAggCCAIIAggCCAIIAggCFgIDApACHgAC2QICAmcCBAIFAgYCBwIIAgkCSwILAjgCDQIIAggCCAIIAggCCAIIAggCCAIIAggCCAIIAggCCAIIAggCFgIDAr0CHgAC2QICAjUCBAIFAgYCBwIIAgkCSwILAjgCDQIIAggCCAIIAggCCAIIAggCCAIIAggCCAIIAggCCAIIAggCFgIDApUCHgAC2QICAnoCBAIFAgYCBwIIAgkCoAILAjgCDQIIAggCCAIIAggCCAIIAggCCAIIAggCCAIIAggCCAIIAggCFgIDAqgCHgAC2QICAikCBAIFAgYCBwIIAgkCoAILAjgCDQIIAggCCAIIAggCCAIIAggCCAIIAggCCAIIAggCCAIIAggCFgIDAqUCHgAC2QICAjMCBAIFAgYCBwIIAgkCCgILAjgCDQIIAggCCAIIAggCCAIIAggCCAIIAggCCAIIAggCCAIIAggCFgIDAkYCHgAC2QICAlICBAIFAgYCBwIIAgkCCgILAjgCDQIIAggCCAIIAggCCAIIAggCCAIIAggCCAIIAggCCAIIAggCFgIDArECHgAC2QICAk0CBAIFAgYCBwIIAgkCCgILAjgCDQIIAggCCAIIAggCCAIIAggCCAIIAggCCAIIAggCCAIIAggCFgIDAqQCHgAC2QICAmwCBAIFAgYCBwIIAgkCCgILAjgCDQIIAggCCAIIAggCCAIIAggCCAIIAggCCAIIAggCCAIIAggCFgIDAq0CHgAC2QICAmECBAIFAgYCBwIIAgkCoAILAjgCDQIIAggCCAIIAggCCAIIAggCCAIIAggCCAIIAggCCAIIAggCFgIDAq4CHgAC2QICAgMCBAIFAgYCBwIIAgkCCgILAjgCDQIIAggCCAIIAggCCAIIAggCCAIIAggCCAIIAggCCAIIAggCFgIDAkMCHgAC2QICAiUCBAIFAgYCBwIIAgkCoAILAjgCDQIIAggCCAIIAggCCAIIAggCCAIIAggCCAIIAggCCAIIAggCFgIDAqwCHgAC2QICAloCBAIFAgYCBwIIAgkCSwILAjgCDQIIAggCCAIIAggCCAIIAggCCAIIAggCCAIIAggCCAIIAggCFgIDArUCHgAC2QICAhsCBAIFAgYCBwIIAgkCoAILAjgCDQIIAggCCAIIAggCCAIIAggCCAIIAggCCAIIAggCCAIIAggCFgIDAlkCegAABAAeAALZAgICcgIEAgUCBgIHAggCCQKgAgsCOAINAggCCAIIAggCCAIIAggCCAIIAggCCAIIAggCCAIIAggCCAIWAgMCswIeAALZAgICVQIEAgUCBgIHAggCCQJLAgsCOAINAggCCAIIAggCCAIIAggCCAIIAggCCAIIAggCCAIIAggCCAIWAgMCtAIeAALZAgICUAIEAgUCBgIHAggCCQKgAgsCOAINAggCCAIIAggCCAIIAggCCAIIAggCCAIIAggCCAIIAggCCAIWAgMCrwIeAALZAgICJwIEAgUCBgIHAggCCQJLAgsCOAINAggCCAIIAggCCAIIAggCCAIIAggCCAIIAggCCAIIAggCCAIWAgMCnQIeAALZAgICHQIEAgUCBgIHAggCCQJLAgsCOAINAggCCAIIAggCCAIIAggCCAIIAggCCAIIAggCCAIIAggCCAIWAgMCmgIeAALZAgICLwIEAgUCBgIHAggCCQJLAgsCOAINAggCCAIIAggCCAIIAggCCAIIAggCCAIIAggCCAIIAggCCAIWAgMCnAIeAALZAgICZwIEAgUCBgIHAggCCQKgAgsCOAINAggCCAIIAggCCAIIAggCCAIIAggCCAIIAggCCAIIAggCCAIWAgMCxwIeAALZAgICKwIEAgUCBgIHAggCCQIKAgsCOAINAggCCAIIAggCCAIIAggCCAIIAggCCAIIAggCCAIIAggCCAIWAgMCRwIeAALZAgICegIEAgUCBgIHAggCCQJLAgsCOAINAggCCAIIAggCCAIIAggCCAIIAggCCAIIAggCCAIIAggCCAIWAgMCsgIeAALZAgICUgIEAgUCBgIHAggCCQJLAgsCOAINAggCCAIIAggCCAIIAggCCAIIAggCCAIIAggCCAIIAggCCAIWAgMCyQIeAALZAgICNQIEAgUCBgIHAggCCQKgAgsCOAINAggCCAIIAggCCAIIAggCCAIIAggCCAIIAggCCAIIAggCCAIWAgMCyAIeAALZAgICLQIEAgUCBgIHAggCCQKgAgsCOAINAggCCAIIAggCCAIIAggCCAIIAggCCAIIAggCCAIIAggCCAIWAgMCzQIeAALZAgICKQIEAgUCBgIHAggCCQJLAgsCOAINAggCCAIIAggCCAIIAggCCAIIAggCCAIIAggCCAIIAggCCAIWAgMCkgIeAALZAgICUAIEAgUCBgIHAggCCQIKAgsCOAINAggCCAIIAggCCAIIAggCCAIIAggCCAIIAggCCAIIAggCCAIWAgMCpwIeAALZAgICHwIEAgUCBgIHAggCCQKgAgsCOAINAggCCAIIAggCCAIIAggCCAIIAggCCAIIAggCCAIIegAABAACCAIIAhYCAwKhAh4AAtkCAgIdAgQCBQIGAgcCCAIJAgoCCwI4Ag0CCAIIAggCCAIIAggCCAIIAggCCAIIAggCCAIIAggCCAIIAhYCAwI+Ah4AAtkCAgJeAgQCBQIGAgcCCAIJAqACCwI4Ag0CCAIIAggCCAIIAggCCAIIAggCCAIIAggCCAIIAggCCAIIAhYCAwKiAh4AAtkCAgIjAgQCBQIGAgcCCAIJAgoCCwI4Ag0CCAIIAggCCAIIAggCCAIIAggCCAIIAggCCAIIAggCCAIIAhYCAwJEAh4AAtkCAgInAgQCBQIGAgcCCAIJAqACCwI4Ag0CCAIIAggCCAIIAggCCAIIAggCCAIIAggCCAIIAggCCAIIAhYCAwJZAh4AAtkCAgJsAgQCBQIGAgcCCAIJAksCCwI4Ag0CCAIIAggCCAIIAggCCAIIAggCCAIIAggCCAIIAggCCAIIAhYCAwKqAh4AAtkCAgJVAgQCBQIGAgcCCAIJAgoCCwI4Ag0CCAIIAggCCAIIAggCCAIIAggCCAIIAggCCAIIAggCCAIIAhYCAwKrAh4AAtkCAgIDAgQCBQIGAgcCCAIJAksCCwI4Ag0CCAIIAggCCAIIAggCCAIIAggCCAIIAggCCAIIAggCCAIIAhYCAwKZAh4AAtkCAgIpAgQCBQIGAgcCCAIJAgoCCwI4Ag0CCAIIAggCCAIIAggCCAIIAggCCAIIAggCCAIIAggCCAIIAhYCAwI5Ah4AAtkCAgIvAgQCBQIGAgcCCAIJAgoCCwI4Ag0CCAIIAggCCAIIAggCCAIIAggCCAIIAggCCAIIAggCCAIIAhYCAwI/Ah4AAtkCAgIzAgQCBQIGAgcCCAIJAqACCwI4Ag0CCAIIAggCCAIIAggCCAIIAggCCAIIAggCCAIIAggCCAIIAhYCAwLEAh4AAtkCAgJQAgQCBQIGAgcCCAIJAksCCwI4Ag0CCAIIAggCCAIIAggCCAIIAggCCAIIAggCCAIIAggCCAIIAhYCAwKmAh4AAtkCAgIjAgQCBQIGAgcCCAIJAksCCwI4Ag0CCAIIAggCCAIIAggCCAIIAggCCAIIAggCCAIIAggCCAIIAhYCAwKYAh4AAtkCAgIrAgQCBQIGAgcCCAIJAksCCwI4Ag0CCAIIAggCCAIIAggCCAIIAggCCAIIAggCCAIIAggCCAIIAhYCAwKUAh4AAtkCAgJyAgQCBQIGAgcCCAIJAksCCwI4Ag0CCAIIAggCCAIIAggCCAIIAggCCAIIAggCCAIIAggCCAIIAhYCAwLFAh4AAtkCAgIbAgQCBQIGAgcCCAIJAksCCwI4Ag0CCAIIAggCCAIIAggCCAIIAggCegAAAtoIAggCCAIIAggCCAIIAggCFgIDApMCHgAC2QICAloCBAIFAgYCBwIIAgkCoAILAjgCDQIIAggCCAIIAggCCAIIAggCCAIIAggCCAIIAggCCAIIAggCFgIDAqMCHgAC2QICAmwCBAIFAgYCBwIIAgkCoAILAjgCDQIIAggCCAIIAggCCAIIAggCCAIIAggCCAIIAggCCAIIAggCFgIDAsICHgAC2QICAnoCBAIFAgYCBwIIAgkCCgILAjgCDQIIAggCCAIIAggCCAIIAggCCAIIAggCCAIIAggCCAIIAggCFgIDAsoCHgAC2QICAl4CBAIFAgYCBwIIAgkCSwILAjgCDQIIAggCCAIIAggCCAIIAggCCAIIAggCCAIIAggCCAIIAggCFgIDAs4CHgAC2QICAk0CBAIFAgYCBwIIAgkCSwILAjgCDQIIAggCCAIIAggCCAIIAggCCAIIAggCCAIIAggCCAIIAggCFgIDAsYCHgAC2QICAgMCBAIFAgYCBwIIAgkCoAILAjgCDQIIAggCCAIIAggCCAIIAggCCAIIAggCCAIIAggCCAIIAggCFgIDAssCHgAC2QICAiUCBAIFAgYCBwIIAgkCCgILAjgCDQIIAggCCAIIAggCCAIIAggCCAIIAggCCAIIAggCCAIIAggCFgIDAkACHgAC2QICAh8CBAIFAgYCBwIIAgkCSwILAjgCDQIIAggCCAIIAggCCAIIAggCCAIIAggCCAIIAggCCAIIAggCFgIDApsCHgAC2QICAmECBAIFAgYCBwIIAgkCCgILAjgCDQIIAggCCAIIAggCCAIIAggCCAIIAggCCAIIAggCCAIIAggCFgIDAswCHgAC2gAJMzIyMzgzOTYwAgIC2wAGMjAxMzEyAgQCBQIGAgcCCAIJAqACCwI4Ag0CCAIIAggCCAIIAggCCAIIAggCCAIIAggCCAIIAggCCAIIAh4CAwLcc3EAfgAAAAAAAnNxAH4ABP///////////////v////7/////dXEAfgAHAAAAAxTl5Hh4egAABAACHgAC3QAJNDE3NzE0NTkyAgICLQIEAgUCBgIHAggCCQIKAgsCOAINAggCCAIIAggCCAIIAggCCAIIAggCCAIIAggCCAIIAggCCAIUAgMCQQIeAALdAgICMwIEAgUCBgIHAggCCQJLAgsCOAINAggCCAIIAggCCAIIAggCCAIIAggCCAIIAggCCAIIAggCCAIUAgMClgIeAALdAgICZwIEAgUCBgIHAggCCQIKAgsCOAINAggCCAIIAggCCAIIAggCCAIIAggCCAIIAggCCAIIAggCCAIUAgMCuwIeAALdAgICMQIEAgUCBgIHAggCCQJLAgsCOAINAggCCAIIAggCCAIIAggCCAIIAggCCAIIAggCCAIIAggCCAIUAgMCkQIeAALdAgICUAIEAgUCBgIHAggCCQKgAgsCOAINAggCCAIIAggCCAIIAggCCAIIAggCCAIIAggCCAIIAggCCAIUAgMCrwIeAALdAgICJQIEAgUCBgIHAggCCQIKAgsCOAINAggCCAIIAggCCAIIAggCCAIIAggCCAIIAggCCAIIAggCCAIUAgMCQAIeAALdAgICIwIEAgUCBgIHAggCCQKgAgsCOAINAggCCAIIAggCCAIIAggCCAIIAggCCAIIAggCCAIIAggCCAIUAgMCWQIeAALdAgICTQIEAgUCBgIHAggCCQJLAgsCOAINAggCCAIIAggCCAIIAggCCAIIAggCCAIIAggCCAIIAggCCAIUAgMCxgIeAALdAgICKwIEAgUCBgIHAggCCQKgAgsCOAINAggCCAIIAggCCAIIAggCCAIIAggCCAIIAggCCAIIAggCCAIUAgMCsAIeAALdAgICMwIEAgUCBgIHAggCCQIKAgsCOAINAggCCAIIAggCCAIIAggCCAIIAggCCAIIAggCCAIIAggCCAIUAgMCRgIeAALdAgICbAIEAgUCBgIHAggCCQKgAgsCOAINAggCCAIIAggCCAIIAggCCAIIAggCCAIIAggCCAIIAggCCAIUAgMCwgIeAALdAgICYQIEAgUCBgIHAggCCQIKAgsCOAINAggCCAIIAggCCAIIAggCCAIIAggCCAIIAggCCAIIAggCCAIUAgMCzAIeAALdAgICIwIEAgUCBgIHAggCCQJLAgsCOAINAggCCAIIAggCCAIIAggCCAIIAggCCAIIAggCCAIIAggCCAIUAgMCmAIeAALdAgICHQIEAgUCBgIHAggCCQJLAgsCOAINAggCCAIIAggCCAIIAggCCAIIAggCCAIIAggCCAIIAggCCAIUAgMCmgIeAALdAgICLwIEAgUCBgIHAggCCQJLAgsCOAINAggCCAIIAggCCAIIAggCCAIIegAABAACCAIIAggCCAIIAggCCAIIAhQCAwKcAh4AAt0CAgJVAgQCBQIGAgcCCAIJAksCCwI4Ag0CCAIIAggCCAIIAggCCAIIAggCCAIIAggCCAIIAggCCAIIAhQCAwK0Ah4AAt0CAgIDAgQCBQIGAgcCCAIJAqACCwI4Ag0CCAIIAggCCAIIAggCCAIIAggCCAIIAggCCAIIAggCCAIIAhQCAwLLAh4AAt0CAgIvAgQCBQIGAgcCCAIJAgoCCwI4Ag0CCAIIAggCCAIIAggCCAIIAggCCAIIAggCCAIIAggCCAIIAhQCAwI/Ah4AAt0CAgIpAgQCBQIGAgcCCAIJAgoCCwI4Ag0CCAIIAggCCAIIAggCCAIIAggCCAIIAggCCAIIAggCCAIIAhQCAwI5Ah4AAt0CAgJaAgQCBQIGAgcCCAIJAgoCCwI4Ag0CCAIIAggCCAIIAggCCAIIAggCCAIIAggCCAIIAggCCAIIAhQCAwK/Ah4AAt0CAgJ6AgQCBQIGAgcCCAIJAgoCCwI4Ag0CCAIIAggCCAIIAggCCAIIAggCCAIIAggCCAIIAggCCAIIAhQCAwLKAh4AAt0CAgInAgQCBQIGAgcCCAIJAgoCCwI4Ag0CCAIIAggCCAIIAggCCAIIAggCCAIIAggCCAIIAggCCAIIAhQCAwI9Ah4AAt0CAgJSAgQCBQIGAgcCCAIJAqACCwI4Ag0CCAIIAggCCAIIAggCCAIIAggCCAIIAggCCAIIAggCCAIIAhQCAwKpAh4AAt0CAgJyAgQCBQIGAgcCCAIJAksCCwI4Ag0CCAIIAggCCAIIAggCCAIIAggCCAIIAggCCAIIAggCCAIIAhQCAwLFAh4AAt0CAgIbAgQCBQIGAgcCCAIJAksCCwI4Ag0CCAIIAggCCAIIAggCCAIIAggCCAIIAggCCAIIAggCCAIIAhQCAwKTAh4AAt0CAgJQAgQCBQIGAgcCCAIJAksCCwI4Ag0CCAIIAggCCAIIAggCCAIIAggCCAIIAggCCAIIAggCCAIIAhQCAwKmAh4AAt0CAgIrAgQCBQIGAgcCCAIJAksCCwI4Ag0CCAIIAggCCAIIAggCCAIIAggCCAIIAggCCAIIAggCCAIIAhQCAwKUAh4AAt0CAgJNAgQCBQIGAgcCCAIJAqACCwI4Ag0CCAIIAggCCAIIAggCCAIIAggCCAIIAggCCAIIAggCCAIIAhQCAwK6Ah4AAt0CAgIxAgQCBQIGAgcCCAIJAgoCCwI4Ag0CCAIIAggCCAIIAggCCAIIAggCCAIIAggCCAIIAggCCAIIAhQCAwI7Ah4AAt0CAgIzAgQCBQIGAgcCCAIJAqACCwI4Ag0CCAIIAggCegAABAAIAggCCAIIAggCCAIIAggCCAIIAggCCAIIAggCFAIDAsQCHgAC3QICAl4CBAIFAgYCBwIIAgkCoAILAjgCDQIIAggCCAIIAggCCAIIAggCCAIIAggCCAIIAggCCAIIAggCFAIDAqICHgAC3QICAh8CBAIFAgYCBwIIAgkCoAILAjgCDQIIAggCCAIIAggCCAIIAggCCAIIAggCCAIIAggCCAIIAggCFAIDAqECHgAC3QICAh0CBAIFAgYCBwIIAgkCCgILAjgCDQIIAggCCAIIAggCCAIIAggCCAIIAggCCAIIAggCCAIIAggCFAIDAj4CHgAC3QICAiUCBAIFAgYCBwIIAgkCSwILAjgCDQIIAggCCAIIAggCCAIIAggCCAIIAggCCAIIAggCCAIIAggCFAIDApACHgAC3QICAlUCBAIFAgYCBwIIAgkCCgILAjgCDQIIAggCCAIIAggCCAIIAggCCAIIAggCCAIIAggCCAIIAggCFAIDAqsCHgAC3QICAjUCBAIFAgYCBwIIAgkCCgILAjgCDQIIAggCCAIIAggCCAIIAggCCAIIAggCCAIIAggCCAIIAggCFAIDAjoCHgAC3QICAmECBAIFAgYCBwIIAgkCSwILAjgCDQIIAggCCAIIAggCCAIIAggCCAIIAggCCAIIAggCCAIIAggCFAIDArcCHgAC3QICAisCBAIFAgYCBwIIAgkCCgILAjgCDQIIAggCCAIIAggCCAIIAggCCAIIAggCCAIIAggCCAIIAggCFAIDAkcCHgAC3QICAlACBAIFAgYCBwIIAgkCCgILAjgCDQIIAggCCAIIAggCCAIIAggCCAIIAggCCAIIAggCCAIIAggCFAIDAqcCHgAC3QICAmcCBAIFAgYCBwIIAgkCoAILAjgCDQIIAggCCAIIAggCCAIIAggCCAIIAggCCAIIAggCCAIIAggCFAIDAscCHgAC3QICAikCBAIFAgYCBwIIAgkCSwILAjgCDQIIAggCCAIIAggCCAIIAggCCAIIAggCCAIIAggCCAIIAggCFAIDApICHgAC3QICAnICBAIFAgYCBwIIAgkCoAILAjgCDQIIAggCCAIIAggCCAIIAggCCAIIAggCCAIIAggCCAIIAggCFAIDArMCHgAC3QICAlICBAIFAgYCBwIIAgkCSwILAjgCDQIIAggCCAIIAggCCAIIAggCCAIIAggCCAIIAggCCAIIAggCFAIDAskCHgAC3QICAnoCBAIFAgYCBwIIAgkCSwILAjgCDQIIAggCCAIIAggCCAIIAggCCAIIAggCCAIIAggCCAIIAggCFAIDArICHgAC3QICAhsCBAIFAgYCBwIIAgkCoAILegAABAACOAINAggCCAIIAggCCAIIAggCCAIIAggCCAIIAggCCAIIAggCCAIUAgMCWQIeAALdAgICNQIEAgUCBgIHAggCCQKgAgsCOAINAggCCAIIAggCCAIIAggCCAIIAggCCAIIAggCCAIIAggCCAIUAgMCyAIeAALdAgICbAIEAgUCBgIHAggCCQIKAgsCOAINAggCCAIIAggCCAIIAggCCAIIAggCCAIIAggCCAIIAggCCAIUAgMCrQIeAALdAgICHwIEAgUCBgIHAggCCQJLAgsCOAINAggCCAIIAggCCAIIAggCCAIIAggCCAIIAggCCAIIAggCCAIUAgMCmwIeAALdAgICXgIEAgUCBgIHAggCCQJLAgsCOAINAggCCAIIAggCCAIIAggCCAIIAggCCAIIAggCCAIIAggCCAIUAgMCzgIeAALdAgICAwIEAgUCBgIHAggCCQIKAgsCOAINAggCCAIIAggCCAIIAggCCAIIAggCCAIIAggCCAIIAggCCAIUAgMCQwIeAALdAgICYQIEAgUCBgIHAggCCQKgAgsCOAINAggCCAIIAggCCAIIAggCCAIIAggCCAIIAggCCAIIAggCCAIUAgMCrgIeAALdAgICUgIEAgUCBgIHAggCCQIKAgsCOAINAggCCAIIAggCCAIIAggCCAIIAggCCAIIAggCCAIIAggCCAIUAgMCsQIeAALdAgICJwIEAgUCBgIHAggCCQJLAgsCOAINAggCCAIIAggCCAIIAggCCAIIAggCCAIIAggCCAIIAggCCAIUAgMCnQIeAALdAgICJQIEAgUCBgIHAggCCQKgAgsCOAINAggCCAIIAggCCAIIAggCCAIIAggCCAIIAggCCAIIAggCCAIUAgMCrAIeAALdAgICLQIEAgUCBgIHAggCCQKgAgsCOAINAggCCAIIAggCCAIIAggCCAIIAggCCAIIAggCCAIIAggCCAIUAgMCzQIeAALdAgICWgIEAgUCBgIHAggCCQJLAgsCOAINAggCCAIIAggCCAIIAggCCAIIAggCCAIIAggCCAIIAggCCAIUAgMCtQIeAALdAgICZwIEAgUCBgIHAggCCQJLAgsCOAINAggCCAIIAggCCAIIAggCCAIIAggCCAIIAggCCAIIAggCCAIUAgMCvQIeAALdAgICNQIEAgUCBgIHAggCCQJLAgsCOAINAggCCAIIAggCCAIIAggCCAIIAggCCAIIAggCCAIIAggCCAIUAgMClQIeAALdAgICegIEAgUCBgIHAggCCQKgAgsCOAINAggCCAIIAggCCAIIAggCCAIIAggCCAIIAggCCAIIAggCCAIUAgMCqAIeAALdAgICTQIEAgUCegAABAAGAgcCCAIJAgoCCwI4Ag0CCAIIAggCCAIIAggCCAIIAggCCAIIAggCCAIIAggCCAIIAhQCAwKkAh4AAt0CAgIfAgQCBQIGAgcCCAIJAgoCCwI4Ag0CCAIIAggCCAIIAggCCAIIAggCCAIIAggCCAIIAggCCAIIAhQCAwJCAh4AAt0CAgIpAgQCBQIGAgcCCAIJAqACCwI4Ag0CCAIIAggCCAIIAggCCAIIAggCCAIIAggCCAIIAggCCAIIAhQCAwKlAh4AAt0CAgIjAgQCBQIGAgcCCAIJAgoCCwI4Ag0CCAIIAggCCAIIAggCCAIIAggCCAIIAggCCAIIAggCCAIIAhQCAwJEAh4AAt0CAgJyAgQCBQIGAgcCCAIJAgoCCwI4Ag0CCAIIAggCCAIIAggCCAIIAggCCAIIAggCCAIIAggCCAIIAhQCAwK8Ah4AAt0CAgIbAgQCBQIGAgcCCAIJAgoCCwI4Ag0CCAIIAggCCAIIAggCCAIIAggCCAIIAggCCAIIAggCCAIIAhQCAwJFAh4AAt0CAgJeAgQCBQIGAgcCCAIJAgoCCwI4Ag0CCAIIAggCCAIIAggCCAIIAggCCAIIAggCCAIIAggCCAIIAhQCAwK4Ah4AAt0CAgIDAgQCBQIGAgcCCAIJAksCCwI4Ag0CCAIIAggCCAIIAggCCAIIAggCCAIIAggCCAIIAggCCAIIAhQCAwKZAh4AAt0CAgIdAgQCBQIGAgcCCAIJAqACCwI4Ag0CCAIIAggCCAIIAggCCAIIAggCCAIIAggCCAIIAggCCAIIAhQCAwLAAh4AAt0CAgInAgQCBQIGAgcCCAIJAqACCwI4Ag0CCAIIAggCCAIIAggCCAIIAggCCAIIAggCCAIIAggCCAIIAhQCAwJZAh4AAt0CAgJVAgQCBQIGAgcCCAIJAqACCwI4Ag0CCAIIAggCCAIIAggCCAIIAggCCAIIAggCCAIIAggCCAIIAhQCAwK+Ah4AAt0CAgJaAgQCBQIGAgcCCAIJAqACCwI4Ag0CCAIIAggCCAIIAggCCAIIAggCCAIIAggCCAIIAggCCAIIAhQCAwKjAh4AAt0CAgItAgQCBQIGAgcCCAIJAksCCwI4Ag0CCAIIAggCCAIIAggCCAIIAggCCAIIAggCCAIIAggCCAIIAhQCAwKeAh4AAt0CAgIxAgQCBQIGAgcCCAIJAqACCwI4Ag0CCAIIAggCCAIIAggCCAIIAggCCAIIAggCCAIIAggCCAIIAhQCAwJZAh4AAt0CAgJsAgQCBQIGAgcCCAIJAksCCwI4Ag0CCAIIAggCCAIIAggCCAIIAggCCAIIAggCCAIIAggCCAIIAhQCAwKqAh4AegAABAAC3QICAi8CBAIFAgYCBwIIAgkCoAILAjgCDQIIAggCCAIIAggCCAIIAggCCAIIAggCCAIIAggCCAIIAggCFAIDAsECHgAC3gAJMzY0NTI3NTkyAgICUgIEAgUCBgIHAggCCQJLAgsCOAINAggCCAIIAggCCAIIAggCCAIIAggCCAIIAggCCAIIAggCCAISAgMCyQIeAALeAgICZwIEAgUCBgIHAggCCQKgAgsCOAINAggCCAIIAggCCAIIAggCCAIIAggCCAIIAggCCAIIAggCCAISAgMCxwIeAALeAgICNQIEAgUCBgIHAggCCQKgAgsCOAINAggCCAIIAggCCAIIAggCCAIIAggCCAIIAggCCAIIAggCCAISAgMCyAIeAALeAgICKwIEAgUCBgIHAggCCQIKAgsCOAINAggCCAIIAggCCAIIAggCCAIIAggCCAIIAggCCAIIAggCCAISAgMCRwIeAALeAgICGwIEAgUCBgIHAggCCQKgAgsCOAINAggCCAIIAggCCAIIAggCCAIIAggCCAIIAggCCAIIAggCCAISAgMCWQIeAALeAgICLQIEAgUCBgIHAggCCQKgAgsCOAINAggCCAIIAggCCAIIAggCCAIIAggCCAIIAggCCAIIAggCCAISAgMCzQIeAALeAgICAwIEAgUCBgIHAggCCQJLAgsCOAINAggCCAIIAggCCAIIAggCCAIIAggCCAIIAggCCAIIAggCCAISAgMCmQIeAALeAgICcgIEAgUCBgIHAggCCQKgAgsCOAINAggCCAIIAggCCAIIAggCCAIIAggCCAIIAggCCAIIAggCCAISAgMCswIeAALeAgICHQIEAgUCBgIHAggCCQIKAgsCOAINAggCCAIIAggCCAIIAggCCAIIAggCCAIIAggCCAIIAggCCAISAgMCPgIeAALeAgICbAIEAgUCBgIHAggCCQJLAgsCOAINAggCCAIIAggCCAIIAggCCAIIAggCCAIIAggCCAIIAggCCAISAgMCqgIeAALeAgICVQIEAgUCBgIHAggCCQIKAgsCOAINAggCCAIIAggCCAIIAggCCAIIAggCCAIIAggCCAIIAggCCAISAgMCqwIeAALeAgICJwIEAgUCBgIHAggCCQJLAgsCOAINAggCCAIIAggCCAIIAggCCAIIAggCCAIIAggCCAIIAggCCAISAgMCnQIeAALeAgICAwIEAgUCBgIHAggCCQIKAgsCOAINAggCCAIIAggCCAIIAggCCAIIAggCCAIIAggCCAIIAggCCAISAgMCQwIeAALeAgICWgIEAgUCBgIHAggCCQKgAgsCOAINAggCCAIIAggCCAIIAggCCAIIAggCegAABAAIAggCCAIIAggCCAIIAhICAwKjAh4AAt4CAgInAgQCBQIGAgcCCAIJAqACCwI4Ag0CCAIIAggCCAIIAggCCAIIAggCCAIIAggCCAIIAggCCAIIAhICAwJZAh4AAt4CAgIjAgQCBQIGAgcCCAIJAgoCCwI4Ag0CCAIIAggCCAIIAggCCAIIAggCCAIIAggCCAIIAggCCAIIAhICAwJEAh4AAt4CAgJeAgQCBQIGAgcCCAIJAqACCwI4Ag0CCAIIAggCCAIIAggCCAIIAggCCAIIAggCCAIIAggCCAIIAhICAwKiAh4AAt4CAgIfAgQCBQIGAgcCCAIJAqACCwI4Ag0CCAIIAggCCAIIAggCCAIIAggCCAIIAggCCAIIAggCCAIIAhICAwKhAh4AAt4CAgJ6AgQCBQIGAgcCCAIJAksCCwI4Ag0CCAIIAggCCAIIAggCCAIIAggCCAIIAggCCAIIAggCCAIIAhICAwKyAh4AAt4CAgJQAgQCBQIGAgcCCAIJAgoCCwI4Ag0CCAIIAggCCAIIAggCCAIIAggCCAIIAggCCAIIAggCCAIIAhICAwKnAh4AAt4CAgIpAgQCBQIGAgcCCAIJAksCCwI4Ag0CCAIIAggCCAIIAggCCAIIAggCCAIIAggCCAIIAggCCAIIAhICAwKSAh4AAt4CAgIpAgQCBQIGAgcCCAIJAgoCCwI4Ag0CCAIIAggCCAIIAggCCAIIAggCCAIIAggCCAIIAggCCAIIAhICAwI5Ah4AAt4CAgJ6AgQCBQIGAgcCCAIJAgoCCwI4Ag0CCAIIAggCCAIIAggCCAIIAggCCAIIAggCCAIIAggCCAIIAhICAwLKAh4AAt4CAgJSAgQCBQIGAgcCCAIJAqACCwI4Ag0CCAIIAggCCAIIAggCCAIIAggCCAIIAggCCAIIAggCCAIIAhICAwKpAh4AAt4CAgIxAgQCBQIGAgcCCAIJAgoCCwI4Ag0CCAIIAggCCAIIAggCCAIIAggCCAIIAggCCAIIAggCCAIIAhICAwI7Ah4AAt4CAgIzAgQCBQIGAgcCCAIJAqACCwI4Ag0CCAIIAggCCAIIAggCCAIIAggCCAIIAggCCAIIAggCCAIIAhICAwLEAh4AAt4CAgIDAgQCBQIGAgcCCAIJAqACCwI4Ag0CCAIIAggCCAIIAggCCAIIAggCCAIIAggCCAIIAggCCAIIAhICAwLLAh4AAt4CAgIvAgQCBQIGAgcCCAIJAgoCCwI4Ag0CCAIIAggCCAIIAggCCAIIAggCCAIIAggCCAIIAggCCAIIAhICAwI/Ah4AAt4CAgInAgQCBQIGAgcCCAIJAgoCCwI4Ag0CCAIIAggCCAIIegAABAACCAIIAggCCAIIAggCCAIIAggCCAIIAggCEgIDAj0CHgAC3gICAl4CBAIFAgYCBwIIAgkCSwILAjgCDQIIAggCCAIIAggCCAIIAggCCAIIAggCCAIIAggCCAIIAggCEgIDAs4CHgAC3gICAh8CBAIFAgYCBwIIAgkCSwILAjgCDQIIAggCCAIIAggCCAIIAggCCAIIAggCCAIIAggCCAIIAggCEgIDApsCHgAC3gICAloCBAIFAgYCBwIIAgkCCgILAjgCDQIIAggCCAIIAggCCAIIAggCCAIIAggCCAIIAggCCAIIAggCEgIDAr8CHgAC3gICAiUCBAIFAgYCBwIIAgkCSwILAjgCDQIIAggCCAIIAggCCAIIAggCCAIIAggCCAIIAggCCAIIAggCEgIDApACHgAC3gICAk0CBAIFAgYCBwIIAgkCoAILAjgCDQIIAggCCAIIAggCCAIIAggCCAIIAggCCAIIAggCCAIIAggCEgIDAroCHgAC3gICAmwCBAIFAgYCBwIIAgkCoAILAjgCDQIIAggCCAIIAggCCAIIAggCCAIIAggCCAIIAggCCAIIAggCEgIDAsICHgAC3gICAiMCBAIFAgYCBwIIAgkCSwILAjgCDQIIAggCCAIIAggCCAIIAggCCAIIAggCCAIIAggCCAIIAggCEgIDApgCHgAC3gICAlACBAIFAgYCBwIIAgkCSwILAjgCDQIIAggCCAIIAggCCAIIAggCCAIIAggCCAIIAggCCAIIAggCEgIDAqYCHgAC3gICAnICBAIFAgYCBwIIAgkCSwILAjgCDQIIAggCCAIIAggCCAIIAggCCAIIAggCCAIIAggCCAIIAggCEgIDAsUCHgAC3gICAiECBAIFAgYCBwIIAgkCoAILAjgCDQIIAggCCAIIAggCCAIIAggCCAIIAggCCAIIAggCCAIIAggCEgIDAlkCHgAC3gICAisCBAIFAgYCBwIIAgkCSwILAjgCDQIIAggCCAIIAggCCAIIAggCCAIIAggCCAIIAggCCAIIAggCEgIDApQCHgAC3gICAhsCBAIFAgYCBwIIAgkCSwILAjgCDQIIAggCCAIIAggCCAIIAggCCAIIAggCCAIIAggCCAIIAggCEgIDApMCHgAC3gICAi0CBAIFAgYCBwIIAgkCCgILAjgCDQIIAggCCAIIAggCCAIIAggCCAIIAggCCAIIAggCCAIIAggCEgIDAkECHgAC3gICAiECBAIFAgYCBwIIAgkCSwILAjgCDQIIAggCCAIIAggCCAIIAggCCAIIAggCCAIIAggCCAIIAggCEgIDApcCHgAC3gICAjUCBAIFAgYCBwIIAgkCCgILAjgCegAABAANAggCCAIIAggCCAIIAggCCAIIAggCCAIIAggCCAIIAggCCAISAgMCOgIeAALeAgICHQIEAgUCBgIHAggCCQKgAgsCOAINAggCCAIIAggCCAIIAggCCAIIAggCCAIIAggCCAIIAggCCAISAgMCwAIeAALeAgICVQIEAgUCBgIHAggCCQKgAgsCOAINAggCCAIIAggCCAIIAggCCAIIAggCCAIIAggCCAIIAggCCAISAgMCvgIeAALeAgICUAIEAgUCBgIHAggCCQKgAgsCOAINAggCCAIIAggCCAIIAggCCAIIAggCCAIIAggCCAIIAggCCAISAgMCrwIeAALeAgICJQIEAgUCBgIHAggCCQIKAgsCOAINAggCCAIIAggCCAIIAggCCAIIAggCCAIIAggCCAIIAggCCAISAgMCQAIeAALeAgICLwIEAgUCBgIHAggCCQJLAgsCOAINAggCCAIIAggCCAIIAggCCAIIAggCCAIIAggCCAIIAggCCAISAgMCnAIeAALeAgICYQIEAgUCBgIHAggCCQIKAgsCOAINAggCCAIIAggCCAIIAggCCAIIAggCCAIIAggCCAIIAggCCAISAgMCzAIeAALeAgICYQIEAgUCBgIHAggCCQJLAgsCOAINAggCCAIIAggCCAIIAggCCAIIAggCCAIIAggCCAIIAggCCAISAgMCtwIeAALeAgICTQIEAgUCBgIHAggCCQJLAgsCOAINAggCCAIIAggCCAIIAggCCAIIAggCCAIIAggCCAIIAggCCAISAgMCxgIeAALeAgICMQIEAgUCBgIHAggCCQJLAgsCOAINAggCCAIIAggCCAIIAggCCAIIAggCCAIIAggCCAIIAggCCAISAgMCkQIeAALeAgICGwIEAgUCBgIHAggCCQIKAgsCOAINAggCCAIIAggCCAIIAggCCAIIAggCCAIIAggCCAIIAggCCAISAgMCRQIeAALeAgICLwIEAgUCBgIHAggCCQKgAgsCOAINAggCCAIIAggCCAIIAggCCAIIAggCCAIIAggCCAIIAggCCAISAgMCwQIeAALeAgICIwIEAgUCBgIHAggCCQKgAgsCOAINAggCCAIIAggCCAIIAggCCAIIAggCCAIIAggCCAIIAggCCAISAgMCWQIeAALeAgICKwIEAgUCBgIHAggCCQKgAgsCOAINAggCCAIIAggCCAIIAggCCAIIAggCCAIIAggCCAIIAggCCAISAgMCsAIeAALeAgICZwIEAgUCBgIHAggCCQIKAgsCOAINAggCCAIIAggCCAIIAggCCAIIAggCCAIIAggCCAIIAggCCAISAgMCuwIeAALeAgICMwIEAgUCBgIHegAABAACCAIJAksCCwI4Ag0CCAIIAggCCAIIAggCCAIIAggCCAIIAggCCAIIAggCCAIIAhICAwKWAh4AAt4CAgJyAgQCBQIGAgcCCAIJAgoCCwI4Ag0CCAIIAggCCAIIAggCCAIIAggCCAIIAggCCAIIAggCCAIIAhICAwK8Ah4AAt4CAgJnAgQCBQIGAgcCCAIJAksCCwI4Ag0CCAIIAggCCAIIAggCCAIIAggCCAIIAggCCAIIAggCCAIIAhICAwK9Ah4AAt4CAgJVAgQCBQIGAgcCCAIJAksCCwI4Ag0CCAIIAggCCAIIAggCCAIIAggCCAIIAggCCAIIAggCCAIIAhICAwK0Ah4AAt4CAgIpAgQCBQIGAgcCCAIJAqACCwI4Ag0CCAIIAggCCAIIAggCCAIIAggCCAIIAggCCAIIAggCCAIIAhICAwKlAh4AAt4CAgJ6AgQCBQIGAgcCCAIJAqACCwI4Ag0CCAIIAggCCAIIAggCCAIIAggCCAIIAggCCAIIAggCCAIIAhICAwKoAh4AAt4CAgIhAgQCBQIGAgcCCAIJAgoCCwI4Ag0CCAIIAggCCAIIAggCCAIIAggCCAIIAggCCAIIAggCCAIIAhICAwI8Ah4AAt4CAgIxAgQCBQIGAgcCCAIJAqACCwI4Ag0CCAIIAggCCAIIAggCCAIIAggCCAIIAggCCAIIAggCCAIIAhICAwJZAh4AAt4CAgJsAgQCBQIGAgcCCAIJAgoCCwI4Ag0CCAIIAggCCAIIAggCCAIIAggCCAIIAggCCAIIAggCCAIIAhICAwKtAh4AAt4CAgJeAgQCBQIGAgcCCAIJAgoCCwI4Ag0CCAIIAggCCAIIAggCCAIIAggCCAIIAggCCAIIAggCCAIIAhICAwK4Ah4AAt4CAgIdAgQCBQIGAgcCCAIJAksCCwI4Ag0CCAIIAggCCAIIAggCCAIIAggCCAIIAggCCAIIAggCCAIIAhICAwKaAh4AAt4CAgItAgQCBQIGAgcCCAIJAksCCwI4Ag0CCAIIAggCCAIIAggCCAIIAggCCAIIAggCCAIIAggCCAIIAhICAwKeAh4AAt4CAgIlAgQCBQIGAgcCCAIJAqACCwI4Ag0CCAIIAggCCAIIAggCCAIIAggCCAIIAggCCAIIAggCCAIIAhICAwKsAh4AAt4CAgJhAgQCBQIGAgcCCAIJAqACCwI4Ag0CCAIIAggCCAIIAggCCAIIAggCCAIIAggCCAIIAggCCAIIAhICAwKuAh4AAt4CAgJaAgQCBQIGAgcCCAIJAksCCwI4Ag0CCAIIAggCCAIIAggCCAIIAggCCAIIAggCCAIIAggCCAIIAhICAwK1Ah4AAt4CegAABAACAh8CBAIFAgYCBwIIAgkCCgILAjgCDQIIAggCCAIIAggCCAIIAggCCAIIAggCCAIIAggCCAIIAggCEgIDAkICHgAC3gICAjMCBAIFAgYCBwIIAgkCCgILAjgCDQIIAggCCAIIAggCCAIIAggCCAIIAggCCAIIAggCCAIIAggCEgIDAkYCHgAC3gICAk0CBAIFAgYCBwIIAgkCCgILAjgCDQIIAggCCAIIAggCCAIIAggCCAIIAggCCAIIAggCCAIIAggCEgIDAqQCHgAC3gICAjUCBAIFAgYCBwIIAgkCSwILAjgCDQIIAggCCAIIAggCCAIIAggCCAIIAggCCAIIAggCCAIIAggCEgIDApUCHgAC3gICAlICBAIFAgYCBwIIAgkCCgILAjgCDQIIAggCCAIIAggCCAIIAggCCAIIAggCCAIIAggCCAIIAggCEgIDArECHgAC3wAJMzY0NTI2NDMyAgICUAIEAgUCBgIHAggCCQIKAgsCDAINAggCCAIIAggCCAIIAggCCAIIAggCCAIIAggCCAIIAggCCAACAwJjAh4AAt8CAgIpAgQCBQIGAgcCCAIJAkkCCwIMAg0CCAIIAggCCAIIAggCCAIIAggCCAIIAggCCAIIAggCCAIIAAIDAokCHgAC3wICAnoCBAIFAgYCBwIIAgkCSwILAgwCDQIIAggCCAIIAggCCAIIAggCCAIIAggCCAIIAggCCAIIAggAAgMChgIeAALfAgICegIEAgUCBgIHAggCCQJJAgsCDAINAggCCAIIAggCCAIIAggCCAIIAggCCAIIAggCCAIIAggCCAACAwKHAh4AAt8CAgInAgQCBQIGAgcCCAIJAkkCCwIMAg0CCAIIAggCCAIIAggCCAIIAggCCAIIAggCCAIIAggCCAIIAAIDAlkCHgAC3wICAloCBAIFAgYCBwIIAgkCSQILAgwCDQIIAggCCAIIAggCCAIIAggCCAIIAggCCAIIAggCCAIIAggAAgMCWwIeAALfAgICUgIEAgUCBgIHAggCCQJLAgsCDAINAggCCAIIAggCCAIIAggCCAIIAggCCAIIAggCCAIIAggCCAACAwJkAh4AAt8CAgIpAgQCBQIGAgcCCAIJAksCCwIMAg0CCAIIAggCCAIIAggCCAIIAggCCAIIAggCCAIIAggCCAIIAAIDAoMCHgAC3wICAisCBAIFAgYCBwIIAgkCCgILAgwCDQIIAggCCAIIAggCCAIIAggCCAIIAggCCAIIAggCCAIIAggAAgMCLAIeAALfAgICcgIEAgUCBgIHAggCCQJJAgsCDAINAggCCAIIAggCCAIIAggCCAIIAggCCAIIAggCCAIIAggCegAABAAIAAIDAoQCHgAC3wICAhsCBAIFAgYCBwIIAgkCSQILAgwCDQIIAggCCAIIAggCCAIIAggCCAIIAggCCAIIAggCCAIIAggAAgMCWQIeAALfAgICIwIEAgUCBgIHAggCCQIKAgsCDAINAggCCAIIAggCCAIIAggCCAIIAggCCAIIAggCCAIIAggCCAACAwIkAh4AAt8CAgIDAgQCBQIGAgcCCAIJAkkCCwIMAg0CCAIIAggCCAIIAggCCAIIAggCCAIIAggCCAIIAggCCAIIAAIDAkoCHgAC3wICAmwCBAIFAgYCBwIIAgkCSQILAgwCDQIIAggCCAIIAggCCAIIAggCCAIIAggCCAIIAggCCAIIAggAAgMCbgIeAALfAgICUAIEAgUCBgIHAggCCQJLAgsCDAINAggCCAIIAggCCAIIAggCCAIIAggCCAIIAggCCAIIAggCCAACAwJRAh4AAt8CAgJsAgQCBQIGAgcCCAIJAksCCwIMAg0CCAIIAggCCAIIAggCCAIIAggCCAIIAggCCAIIAggCCAIIAAIDAm0CHgAC3wICAmcCBAIFAgYCBwIIAgkCSQILAgwCDQIIAggCCAIIAggCCAIIAggCCAIIAggCCAIIAggCCAIIAggAAgMCaAIeAALfAgICAwIEAgUCBgIHAggCCQJLAgsCDAINAggCCAIIAggCCAIIAggCCAIIAggCCAIIAggCCAIIAggCCAACAwJqAh4AAt8CAgJVAgQCBQIGAgcCCAIJAgoCCwIMAg0CCAIIAggCCAIIAggCCAIIAggCCAIIAggCCAIIAggCCAIIAAIDAooCHgAC3wICAh0CBAIFAgYCBwIIAgkCCgILAgwCDQIIAggCCAIIAggCCAIIAggCCAIIAggCCAIIAggCCAIIAggAAgMCHgIeAALfAgICLwIEAgUCBgIHAggCCQIKAgsCDAINAggCCAIIAggCCAIIAggCCAIIAggCCAIIAggCCAIIAggCCAACAwIwAh4AAt8CAgJnAgQCBQIGAgcCCAIJAksCCwIMAg0CCAIIAggCCAIIAggCCAIIAggCCAIIAggCCAIIAggCCAIIAAIDAnUCHgAC3wICAjUCBAIFAgYCBwIIAgkCSwILAgwCDQIIAggCCAIIAggCCAIIAggCCAIIAggCCAIIAggCCAIIAggAAgMCeQIeAALfAgICYQIEAgUCBgIHAggCCQJJAgsCDAINAggCCAIIAggCCAIIAggCCAIIAggCCAIIAggCCAIIAggCCAACAwKOAh4AAt8CAgJVAgQCBQIGAgcCCAIJAksCCwIMAg0CCAIIAggCCAIIAggCCAIIAggCCAIIAggCCAIIAggCCAIIAAIDegAABAACVgIeAALfAgICNQIEAgUCBgIHAggCCQJJAgsCDAINAggCCAIIAggCCAIIAggCCAIIAggCCAIIAggCCAIIAggCCAACAwJ3Ah4AAt8CAgJNAgQCBQIGAgcCCAIJAgoCCwIMAg0CCAIIAggCCAIIAggCCAIIAggCCAIIAggCCAIIAggCCAIIAAIDAk4CHgAC3wICAlICBAIFAgYCBwIIAgkCCgILAgwCDQIIAggCCAIIAggCCAIIAggCCAIIAggCCAIIAggCCAIIAggAAgMCeAIeAALfAgICMwIEAgUCBgIHAggCCQIKAgsCDAINAggCCAIIAggCCAIIAggCCAIIAggCCAIIAggCCAIIAggCCAACAwI0Ah4AAt8CAgJsAgQCBQIGAgcCCAIJAgoCCwIMAg0CCAIIAggCCAIIAggCCAIIAggCCAIIAggCCAIIAggCCAIIAAIDAoICHgAC3wICAgMCBAIFAgYCBwIIAgkCCgILAgwCDQIIAggCCAIIAggCCAIIAggCCAIIAggCCAIIAggCCAIIAggAAgMCDgIeAALfAgICHQIEAgUCBgIHAggCCQJJAgsCDAINAggCCAIIAggCCAIIAggCCAIIAggCCAIIAggCCAIIAggCCAACAwJdAh4AAt8CAgIhAgQCBQIGAgcCCAIJAgoCCwIMAg0CCAIIAggCCAIIAggCCAIIAggCCAIIAggCCAIIAggCCAIIAAIDAiICHgAC3wICAlUCBAIFAgYCBwIIAgkCSQILAgwCDQIIAggCCAIIAggCCAIIAggCCAIIAggCCAIIAggCCAIIAggAAgMCXAIeAALfAgICWgIEAgUCBgIHAggCCQJLAgsCDAINAggCCAIIAggCCAIIAggCCAIIAggCCAIIAggCCAIIAggCCAACAwJ/Ah4AAt8CAgIdAgQCBQIGAgcCCAIJAksCCwIMAg0CCAIIAggCCAIIAggCCAIIAggCCAIIAggCCAIIAggCCAIIAAIDAlcCHgAC3wICAi8CBAIFAgYCBwIIAgkCSwILAgwCDQIIAggCCAIIAggCCAIIAggCCAIIAggCCAIIAggCCAIIAggAAgMCgQIeAALfAgICJwIEAgUCBgIHAggCCQJLAgsCDAINAggCCAIIAggCCAIIAggCCAIIAggCCAIIAggCCAIIAggCCAACAwKAAh4AAt8CAgIxAgQCBQIGAgcCCAIJAkkCCwIMAg0CCAIIAggCCAIIAggCCAIIAggCCAIIAggCCAIIAggCCAIIAAIDAlkCHgAC3wICAjECBAIFAgYCBwIIAgkCSwILAgwCDQIIAggCCAIIAggCCAIIAggCCAIIAggCCAIIAggCCAIIAggAAgMC1AIeegAABAAAAt8CAgItAgQCBQIGAgcCCAIJAgoCCwIMAg0CCAIIAggCCAIIAggCCAIIAggCCAIIAggCCAIIAggCCAIIAAIDAi4CHgAC3wICAi8CBAIFAgYCBwIIAgkCSQILAgwCDQIIAggCCAIIAggCCAIIAggCCAIIAggCCAIIAggCCAIIAggAAgMCfgIeAALfAgICTQIEAgUCBgIHAggCCQJJAgsCDAINAggCCAIIAggCCAIIAggCCAIIAggCCAIIAggCCAIIAggCCAACAwJmAh4AAt8CAgI1AgQCBQIGAgcCCAIJAgoCCwIMAg0CCAIIAggCCAIIAggCCAIIAggCCAIIAggCCAIIAggCCAIIAAIDAjYCHgAC3wICAmcCBAIFAgYCBwIIAgkCCgILAgwCDQIIAggCCAIIAggCCAIIAggCCAIIAggCCAIIAggCCAIIAggAAgMCiAIeAALfAgICIQIEAgUCBgIHAggCCQJLAgsCDAINAggCCAIIAggCCAIIAggCCAIIAggCCAIIAggCCAIIAggCCAACAwLQAh4AAt8CAgIzAgQCBQIGAgcCCAIJAksCCwIMAg0CCAIIAggCCAIIAggCCAIIAggCCAIIAggCCAIIAggCCAIIAAIDAmkCHgAC3wICAiECBAIFAgYCBwIIAgkCSQILAgwCDQIIAggCCAIIAggCCAIIAggCCAIIAggCCAIIAggCCAIIAggAAgMCWQIeAALfAgICGwIEAgUCBgIHAggCCQIKAgsCDAINAggCCAIIAggCCAIIAggCCAIIAggCCAIIAggCCAIIAggCCAACAwIcAh4AAt8CAgIjAgQCBQIGAgcCCAIJAkkCCwIMAg0CCAIIAggCCAIIAggCCAIIAggCCAIIAggCCAIIAggCCAIIAAIDAlkCHgAC3wICAiUCBAIFAgYCBwIIAgkCSwILAgwCDQIIAggCCAIIAggCCAIIAggCCAIIAggCCAIIAggCCAIIAggAAgMCcQIeAALfAgICYQIEAgUCBgIHAggCCQJLAgsCDAINAggCCAIIAggCCAIIAggCCAIIAggCCAIIAggCCAIIAggCCAACAwKNAh4AAt8CAgIlAgQCBQIGAgcCCAIJAkkCCwIMAg0CCAIIAggCCAIIAggCCAIIAggCCAIIAggCCAIIAggCCAIIAAIDAowCHgAC3wICAi0CBAIFAgYCBwIIAgkCSwILAgwCDQIIAggCCAIIAggCCAIIAggCCAIIAggCCAIIAggCCAIIAggAAgMCcAIeAALfAgICWgIEAgUCBgIHAggCCQIKAgsCDAINAggCCAIIAggCCAIIAggCCAIIAggCCAIIAggCCAIIAggCCAACAwKLAh4AAt8CegAABAACAl4CBAIFAgYCBwIIAgkCCgILAgwCDQIIAggCCAIIAggCCAIIAggCCAIIAggCCAIIAggCCAIIAggAAgMCbwIeAALfAgICJwIEAgUCBgIHAggCCQIKAgsCDAINAggCCAIIAggCCAIIAggCCAIIAggCCAIIAggCCAIIAggCCAACAwIoAh4AAt8CAgIfAgQCBQIGAgcCCAIJAgoCCwIMAg0CCAIIAggCCAIIAggCCAIIAggCCAIIAggCCAIIAggCCAIIAAIDAiACHgAC3wICArYCBAIFAgYCBwIIAgkCSwILAgwCDQIIAggCCAIIAggCCAIIAggCCAIIAggCCAIIAggCCAIIAggAAgMC0wIeAALfAgICtgIEAgUCBgIHAggCCQJJAgsCDAINAggCCAIIAggCCAIIAggCCAIIAggCCAIIAggCCAIIAggCCAACAwJZAh4AAt8CAgIrAgQCBQIGAgcCCAIJAkkCCwIMAg0CCAIIAggCCAIIAggCCAIIAggCCAIIAggCCAIIAggCCAIIAAIDAk8CHgAC3wICAlACBAIFAgYCBwIIAgkCSQILAgwCDQIIAggCCAIIAggCCAIIAggCCAIIAggCCAIIAggCCAIIAggAAgMCVAIeAALfAgICLQIEAgUCBgIHAggCCQJJAgsCDAINAggCCAIIAggCCAIIAggCCAIIAggCCAIIAggCCAIIAggCCAACAwJrAh4AAt8CAgJ6AgQCBQIGAgcCCAIJAgoCCwIMAg0CCAIIAggCCAIIAggCCAIIAggCCAIIAggCCAIIAggCCAIIAAIDAnsCHgAC3wICAjECBAIFAgYCBwIIAgkCCgILAgwCDQIIAggCCAIIAggCCAIIAggCCAIIAggCCAIIAggCCAIIAggAAgMCMgIeAALfAgICcgIEAgUCBgIHAggCCQJLAgsCDAINAggCCAIIAggCCAIIAggCCAIIAggCCAIIAggCCAIIAggCCAACAwKFAh4AAt8CAgIjAgQCBQIGAgcCCAIJAksCCwIMAg0CCAIIAggCCAIIAggCCAIIAggCCAIIAggCCAIIAggCCAIIAAIDAlgCHgAC3wICAisCBAIFAgYCBwIIAgkCSwILAgwCDQIIAggCCAIIAggCCAIIAggCCAIIAggCCAIIAggCCAIIAggAAgMCTAIeAALfAgICGwIEAgUCBgIHAggCCQJLAgsCDAINAggCCAIIAggCCAIIAggCCAIIAggCCAIIAggCCAIIAggCCAACAwJ2Ah4AAt8CAgIpAgQCBQIGAgcCCAIJAgoCCwIMAg0CCAIIAggCCAIIAggCCAIIAggCCAIIAggCCAIIAggCCAIIAAIDAioCHgAC3wICAnICegAAAuIEAgUCBgIHAggCCQIKAgsCDAINAggCCAIIAggCCAIIAggCCAIIAggCCAIIAggCCAIIAggCCAACAwJzAh4AAt8CAgIfAgQCBQIGAgcCCAIJAksCCwIMAg0CCAIIAggCCAIIAggCCAIIAggCCAIIAggCCAIIAggCCAIIAAIDAn0CHgAC3wICAjMCBAIFAgYCBwIIAgkCSQILAgwCDQIIAggCCAIIAggCCAIIAggCCAIIAggCCAIIAggCCAIIAggAAgMCdAIeAALfAgICUgIEAgUCBgIHAggCCQJJAgsCDAINAggCCAIIAggCCAIIAggCCAIIAggCCAIIAggCCAIIAggCCAACAwJTAh4AAt8CAgJeAgQCBQIGAgcCCAIJAksCCwIMAg0CCAIIAggCCAIIAggCCAIIAggCCAIIAggCCAIIAggCCAIIAAIDAnwCHgAC3wICAl4CBAIFAgYCBwIIAgkCSQILAgwCDQIIAggCCAIIAggCCAIIAggCCAIIAggCCAIIAggCCAIIAggAAgMCXwIeAALfAgICTQIEAgUCBgIHAggCCQJLAgsCDAINAggCCAIIAggCCAIIAggCCAIIAggCCAIIAggCCAIIAggCCAACAwJlAh4AAt8CAgJhAgQCBQIGAgcCCAIJAgoCCwIMAg0CCAIIAggCCAIIAggCCAIIAggCCAIIAggCCAIIAggCCAIIAAIDAmICHgAC3wICArYCBAIFAgYCBwIIAgkCCgILAgwCDQIIAggCCAIIAggCCAIIAggCCAIIAggCCAIIAggCCAIIAggAAgMC0QIeAALfAgICJQIEAgUCBgIHAggCCQIKAgsCDAINAggCCAIIAggCCAIIAggCCAIIAggCCAIIAggCCAIIAggCCAACAwImAh4AAt8CAgIfAgQCBQIGAgcCCAIJAkkCCwIMAg0CCAIIAggCCAIIAggCCAIIAggCCAIIAggCCAIIAggCCAIIAAIDAmA=]]></xxe4awand>
</file>

<file path=customXml/item15.xml><?xml version="1.0" encoding="utf-8"?>
<xxe4awand xmlns="http://www.excel4apps.com"><![CDATA[rO0ABXfZCMCtii8ABEkDAh4AAERjb20uZXhjZWw0YXBwcy53YW5kLm9yYWNsZS5n
bHdhbmQuY2FsY3VsYXRpb25zLmdldGJhbGFuY2UuR2V0QmFsYW5jZQIBAAkzMTY3
ODQxMjACAgABMAIDAAYyMDE3MDUCBAADWVREAgUAA1VTRAIGAAVUb3RhbAIHAAFB
AggAAAIJAAMwMDECCgAGMTkxMDEwAgsAAkdEAgwAAklEAg0AAkRMAggCCAIIAggC
CAIIAggCCAIIAggCCAIIAggCCAIIAggCCAIhAgMCDnNyAg8AFGphdmEubWF0aC5C
aWdEZWNpbWFsVMcVV/mBKE8DAAJJAhAABXNjYWxlTAIRAAZpbnRWYWx0ABZMamF2
YS9tYXRoL0JpZ0ludGVnZXI7eHICEgAQamF2YS5sYW5nLk51bWJlcoaslR0LlOCL
AgAAeHAAAAACc3ICEwAUamF2YS5tYXRoLkJpZ0ludGVnZXKM/J8fqTv7HQMABkkC
FAAIYml0Q291bnRJAhUACWJpdExlbmd0aEkCFgATZmlyc3ROb256ZXJvQnl0ZU51
bUkCFwAMbG93ZXN0U2V0Qml0SQIYAAZzaWdudW1bAhkACW1hZ25pdHVkZXQAAltC
eHEAfgAC///////////////+/////v////91cgIaAAJbQqzzF/gGCFTgAgAAeHAA
AAAEKiZPC3h4d00CHgACAQICAhsABjIwMTgwMwIEAgUCBgIHAggCCQIKAgsCDAIN
AggCCAIIAggCCAIIAggCCAIIAggCCAIIAggCCAIIAggCCAIhAgMCHHNxAH4AAAAA
AAJzcQB+AAT///////////////7////+/////3VxAH4ABwAAAAQqwrH4eHh3TQIeAAIBAgICHQAGMjAxODAxAgQCBQIGAgcCCAIJAgoCCwIMAg0CCAIIAggCCAIIAggCCAIIAggCCAIIAggCCAIIAggCCAIIAiECAwIec3EAfgAAAAAAAnNxAH4ABP///////////////v////7/////dXEAfgAHAAAABCkgj4V4eHdNAh4AAgECAgIfAAYyMDE3MDYCBAIFAgYCBwIIAgkCCgILAgwCDQIIAggCCAIIAggCCAIIAggCCAIIAggCCAIIAggCCAIIAggCIQIDAiBzcQB+AAAAAAACc3EAfgAE///////////////+/////v////91cQB+AAcAAAAEKgtGIXh4d00CHgACAQICAiEABjIwMTcwMgIEAgUCBgIHAggCCQIKAgsCDAINAggCCAIIAggCCAIIAggCCAIIAggCCAIIAggCCAIIAggCCAIhAgMCInNxAH4AAAAAAAJzcQB+AAT///////////////7////+/////3VxAH4ABwAAAAQiCqwxeHh3TQIeAAIBAgICIwAGMjAxNzA4AgQCBQIGAgcCCAIJAgoCCwIMAg0CCAIIAggCCAIIAggCCAIIAggCCAIIAggCCAIIAggCCAIIAiECAwIkc3EAfgAAAAAAAnNxAH4ABP///////////////v////7/////dXEAfgAHAAAABDQ5VOh4eHdNAh4AAgECAgIlAAYyMDE3MDQCBAIFAgYCBwIIAgkCCgILAgwCDQIIAggCCAIIAggCCAIIAggCCAIIAggCCAIIAggCCAIIAggCIQIDAiZzcQB+AAAAAAACc3EAfgAE///////////////+/////v////91cQB+AAcAAAAEKeDlE3h4d00CHgACAQICAicABjIwMTcxMQIEAgUCBgIHAggCCQIKAgsCDAINAggCCAIIAggCCAIIAggCCAIIAggCCAIIAggCCAIIAggCCAIhAgMCKHNxAH4AAAAAAAJzcQB+AAT///////////////7////+/////3VxAH4ABwAAAAQcI3yQeHh3TQIeAAIBAgICKQAGMjAxODAyAgQCBQIGAgcCCAIJAgoCCwIMAg0CCAIIAggCCAIIAggCCAIIAggCCAIIAggCCAIIAggCCAIIAiECAwIqc3EAfgAAAAAAAnNxAH4ABP///////////////v////7/////dXEAfgAHAAAABClGhLZ4eHdNAh4AAgECAgIrAAYyMDE3MDkCBAIFAgYCBwIIAgkCCgILAgwCDQIIAggCCAIIAggCCAIIAggCCAIIAggCCAIIAggCCAIIAggCIQIDAixzcQB+AAAAAAACc3EAfgAE///////////////+/////v////91cQB+AAcAAAAEOUUu/nh4d00CHgACAQICAi0ABjIwMTcwMQIEAgUCBgIHAggCCQIKAgsCDAINAggCCAIIAggCCAIIAggCCAIIAggCCAIIAggCCAIIAggCCAIhAgMCLnNxAH4AAAAAAAJzcQB+AAT///////////////7////+/////3VxAH4ABwAAAAQdsfpMeHh3TQIeAAIBAgICLwAGMjAxNzA3AgQCBQIGAgcCCAIJAgoCCwIMAg0CCAIIAggCCAIIAggCCAIIAggCCAIIAggCCAIIAggCCAIIAiECAwIwc3EAfgAAAAAAAnNxAH4ABP///////////////v////7/////dXEAfgAHAAAABC6RhSt4eHdNAh4AAgECAgIxAAYyMDE3MDMCBAIFAgYCBwIIAgkCCgILAgwCDQIIAggCCAIIAggCCAIIAggCCAIIAggCCAIIAggCCAIIAggCIQIDAjJzcQB+AAAAAAACc3EAfgAE///////////////+/////v////91cQB+AAcAAAAEJngfcXh4d00CHgACAQICAjMABjIwMTcxMAIEAgUCBgIHAggCCQIKAgsCDAINAggCCAIIAggCCAIIAggCCAIIAggCCAIIAggCCAIIAggCCAIhAgMCNHNxAH4AAAAAAAJzcQB+AAT///////////////7////+/////3VxAH4ABwAAAARDRE3geHh3TQIeAAIBAgICNQAGMjAxNzEyAgQCBQIGAgcCCAIJAgoCCwIMAg0CCAIIAggCCAIIAggCCAIIAggCCAIIAggCCAIIAggCCAIIAiECAwI2c3EAfgAAAAAAAnNxAH4ABP///////////////v////7/////dXEAfgAHAAAABCQ0bfR4eHdcAh4AAjcACTMzMDU2NjMyMAICAiECBAIFAgYCBwIIAgkCOAAGMTkxMDI1AgsCOQACV0ECDQIIAggCCAIIAggCCAIIAggCCAIIAggCCAIIAggCCAIIAggCFAIDAjpzcQB+AAAAAAACc3EAfgAE///////////////+/////v////91cQB+AAcAAAADBPtoeHh3RQIeAAI3AgICJwIEAgUCBgIHAggCCQIKAgsCOQINAggCCAIIAggCCAIIAggCCAIIAggCCAIIAggCCAIIAggCCAIUAgMCO3NxAH4AAAAAAAJzcQB+AAT///////////////7////+/////3VxAH4ABwAAAAQw0KqzeHh3VQIeAAI3AgICPAAGMjAxNjA1AgQCBQIGAgcCCAIJAj0ABjE5MTAwMAILAjkCDQIIAggCCAIIAggCCAIIAggCCAIIAggCCAIIAggCCAIIAggCFAIDAj5zcQB+AAAAAAACc3EAfgAE///////////////+/////v////91cQB+AAcAAAAEBDaJ43h4d00CHgACNwICAj8ABjIwMTYxMAIEAgUCBgIHAggCCQIKAgsCOQINAggCCAIIAggCCAIIAggCCAIIAggCCAIIAggCCAIIAggCCAIUAgMCQHNxAH4AAAAAAAJzcQB+AAT///////////////7////+/////3VxAH4ABwAAAARijcsWeHh3TQIeAAI3AgICQQAGMjAxNjAzAgQCBQIGAgcCCAIJAgoCCwI5Ag0CCAIIAggCCAIIAggCCAIIAggCCAIIAggCCAIIAggCCAIIAhQCAwJCc3EAfgAAAAAAAnNxAH4ABP///////////////v////7/////dXEAfgAHAAAABD37VuJ4eHdNAh4AAjcCAgJDAAYyMDE2MTICBAIFAgYCBwIIAgkCPQILAjkCDQIIAggCCAIIAggCCAIIAggCCAIIAggCCAIIAggCCAIIAggCFAIDAkRzcQB+AAAAAAACc3EAfgAE///////////////+/////v////91cQB+AAcAAAAEO4uIvXh4d0UCHgACNwICAiUCBAIFAgYCBwIIAgkCCgILAjkCDQIIAggCCAIIAggCCAIIAggCCAIIAggCCAIIAggCCAIIAggCFAIDAkVzcQB+AAAAAAACc3EAfgAE///////////////+/////v////91cQB+AAcAAAAEWnDZd3h4d0UCHgACNwICAh8CBAIFAgYCBwIIAgkCPQILAjkCDQIIAggCCAIIAggCCAIIAggCCAIIAggCCAIIAggCCAIIAggCFAIDAkZzcQB+AAAAAAACc3EAfgAE///////////////+/////v////91cQB+AAcAAAAEA91NIHh4d00CHgACNwICAkcABjIwMTYwMgIEAgUCBgIHAggCCQI4AgsCOQINAggCCAIIAggCCAIIAggCCAIIAggCCAIIAggCCAIIAggCCAIUAgMCSHNxAH4AAAAAAAJzcQB+AAT///////////////7////+/////3VxAH4ABwAAAAMSFct4eHdFAh4AAjcCAgIDAgQCBQIGAgcCCAIJAj0CCwI5Ag0CCAIIAggCCAIIAggCCAIIAggCCAIIAggCCAIIAggCCAIIAhQCAwJJc3EAfgAAAAAAAnNxAH4ABP///////////////v////7/////dXEAfgAHAAAABAYhGIV4eHdNAh4AAjcCAgJKAAYyMDE2MDkCBAIFAgYCBwIIAgkCOAILAjkCDQIIAggCCAIIAggCCAIIAggCCAIIAggCCAIIAggCCAIIAggCFAIDAktzcQB+AAAAAAACc3EAfgAE///////////////+/////v////91cQB+AAcAAAADB43UeHh3TQIeAAI3AgICTAAGMjAxNjA0AgQCBQIGAgcCCAIJAj0CCwI5Ag0CCAIIAggCCAIIAggCCAIIAggCCAIIAggCCAIIAggCCAIIAhQCAwJNc3EAfgAAAAAAAnNxAH4ABP///////////////v////7/////dXEAfgAHAAAABATkMA94eHdFAh4AAjcCAgIxAgQCBQIGAgcCCAIJAgoCCwI5Ag0CCAIIAggCCAIIAggCCAIIAggCCAIIAggCCAIIAggCCAIIAhQCAwJOc3EAfgAAAAAAAnNxAH4ABP///////////////v////7/////dXEAfgAHAAAABFNjmyZ4eHdFAh4AAjcCAgIzAgQCBQIGAgcCCAIJAgoCCwI5Ag0CCAIIAggCCAIIAggCCAIIAggCCAIIAggCCAIIAggCCAIIAhQCAwJPc3EAfgAAAAAAAnNxAH4ABP///////////////v////7/////dXEAfgAHAAAABILciPF4eHdFAh4AAjcCAgIpAgQCBQIGAgcCCAIJAjgCCwI5Ag0CCAIIAggCCAIIAggCCAIIAggCCAIIAggCCAIIAggCCAIIAhQCAwJQc3EAfgAAAAAAAnNxAH4ABP///////////////v////4AAAAAdXEAfgAHAAAAAHh4d0UCHgACNwICAi0CBAIFAgYCBwIIAgkCOAILAjkCDQIIAggCCAIIAggCCAIIAggCCAIIAggCCAIIAggCCAIIAggCFAIDAlFzcQB+AAAAAAACc3EAfgAE///////////////+/////v////91cQB+AAcAAAADBWT/eHh3RQIeAAI3AgICRwIEAgUCBgIHAggCCQIKAgsCOQINAggCCAIIAggCCAIIAggCCAIIAggCCAIIAggCCAIIAggCCAIUAgMCUnNxAH4AAAAAAAJzcQB+AAT///////////////7////+/////3VxAH4ABwAAAAQ3OPVPeHh3TQIeAAI3AgICUwAGMjAxNjExAgQCBQIGAgcCCAIJAj0CCwI5Ag0CCAIIAggCCAIIAggCCAIIAggCCAIIAggCCAIIAggCCAIIAhQCAwJUc3EAfgAAAAAAAnNxAH4ABP///////////////v////7/////dXEAfgAHAAAABExDDhV4eHdFAh4AAjcCAgI1AgQCBQIGAgcCCAIJAj0CCwI5Ag0CCAIIAggCCAIIAggCCAIIAggCCAIIAggCCAIIAggCCAIIAhQCAwJVc3EAfgAAAAAAAnNxAH4ABP///////////////v////7/////dXEAfgAHAAAABDRJviN4eHdFAh4AAjcCAgJBAgQCBQIGAgcCCAIJAj0CCwI5Ag0CCAIIAggCCAIIAggCCAIIAggCCAIIAggCCAIIAggCCAIIAhQCAwJWc3EAfgAAAAAAAnNxAH4ABP///////////////v////7/////dXEAfgAHAAAABAXojm54eHfPAh4AAjcCAgInAgQCBQIGAgcCCAIJAjgCCwI5Ag0CCAIIAggCCAIIAggCCAIIAggCCAIIAggCCAIIAggCCAIIAhQCAwJQAh4AAjcCAgIdAgQCBQIGAgcCCAIJAjgCCwI5Ag0CCAIIAggCCAIIAggCCAIIAggCCAIIAggCCAIIAggCCAIIAhQCAwJQAh4AAjcCAgIDAgQCBQIGAgcCCAIJAjgCCwI5Ag0CCAIIAggCCAIIAggCCAIIAggCCAIIAggCCAIIAggCCAIIAhQCAwJXc3EAfgAAAAAAAnNxAH4ABP///////////////v////7/////dXEAfgAHAAAAAwRWK3h4d0UCHgACNwICAh8CBAIFAgYCBwIIAgkCCgILAjkCDQIIAggCCAIIAggCCAIIAggCCAIIAggCCAIIAggCCAIIAggCFAIDAlhzcQB+AAAAAAACc3EAfgAE///////////////+/////v////91cQB+AAcAAAAEWAsHLHh4d0UCHgACNwICAkwCBAIFAgYCBwIIAgkCOAILAjkCDQIIAggCCAIIAggCCAIIAggCCAIIAggCCAIIAggCCAIIAggCFAIDAllzcQB+AAAAAAACc3EAfgAE///////////////+/////v////91cQB+AAcAAAADDMb+eHh3RQIeAAI3AgICJQIEAgUCBgIHAggCCQI9AgsCOQINAggCCAIIAggCCAIIAggCCAIIAggCCAIIAggCCAIIAggCCAIUAgMCWnNxAH4AAAAAAAJzcQB+AAT///////////////7////+/////3VxAH4ABwAAAAQJ8GpGeHh3RQIeAAI3AgICUwIEAgUCBgIHAggCCQIKAgsCOQINAggCCAIIAggCCAIIAggCCAIIAggCCAIIAggCCAIIAggCCAIUAgMCW3NxAH4AAAAAAAJzcQB+AAT///////////////7////+/////3VxAH4ABwAAAAQSVBWqeHh3RQIeAAI3AgICNQIEAgUCBgIHAggCCQIKAgsCOQINAggCCAIIAggCCAIIAggCCAIIAggCCAIIAggCCAIIAggCCAIUAgMCXHNxAH4AAAAAAAJzcQB+AAT///////////////7////+/////3VxAH4ABwAAAARCNLx8eHh3RQIeAAI3AgICMQIEAgUCBgIHAggCCQI4AgsCOQINAggCCAIIAggCCAIIAggCCAIIAggCCAIIAggCCAIIAggCCAIUAgMCXXNxAH4AAAAAAAJzcQB+AAT///////////////7////+/////3VxAH4ABwAAAAMEq5d4eHdFAh4AAjcCAgItAgQCBQIGAgcCCAIJAgoCCwI5Ag0CCAIIAggCCAIIAggCCAIIAggCCAIIAggCCAIIAggCCAIIAhQCAwJec3EAfgAAAAAAAnNxAH4ABP///////////////v////7/////dXEAfgAHAAAABD0VO3Z4eHdFAh4AAjcCAgIjAgQCBQIGAgcCCAIJAjgCCwI5Ag0CCAIIAggCCAIIAggCCAIIAggCCAIIAggCCAIIAggCCAIIAhQCAwJfc3EAfgAAAAAAAnNxAH4ABP///////////////v////7/////dXEAfgAHAAAAAwQlCXh4d0UCHgACNwICAjwCBAIFAgYCBwIIAgkCCgILAjkCDQIIAggCCAIIAggCCAIIAggCCAIIAggCCAIIAggCCAIIAggCFAIDAmBzcQB+AAAAAAACc3EAfgAE///////////////+/////v////91cQB+AAcAAAAETCsLgHh4d00CHgACNwICAmEABjIwMTYwNgIEAgUCBgIHAggCCQI9AgsCOQINAggCCAIIAggCCAIIAggCCAIIAggCCAIIAggCCAIIAggCCAIUAgMCYnNxAH4AAAAAAAJzcQB+AAT///////////////7////+/////3VxAH4ABwAAAAQDq4uteHh3TQIeAAI3AgICYwAGMjAxNjA3AgQCBQIGAgcCCAIJAjgCCwI5Ag0CCAIIAggCCAIIAggCCAIIAggCCAIIAggCCAIIAggCCAIIAhQCAwJkc3EAfgAAAAAAAnNxAH4ABP///////////////v////7/////dXEAfgAHAAAAAwmef3h4d0UCHgACNwICAi8CBAIFAgYCBwIIAgkCPQILAjkCDQIIAggCCAIIAggCCAIIAggCCAIIAggCCAIIAggCCAIIAggCFAIDAmVzcQB+AAAAAAACc3EAfgAE///////////////+/////v////91cQB+AAcAAAAEAgr29Hh4d0UCHgACNwICAjMCBAIFAgYCBwIIAgkCPQILAjkCDQIIAggCCAIIAggCCAIIAggCCAIIAggCCAIIAggCCAIIAggCFAIDAmZzcQB+AAAAAAACc3EAfgAE///////////////+/////gAAAAF1cQB+AAcAAAAECQ0V/Xh4d0UCHgACNwICAj8CBAIFAgYCBwIIAgkCOAILAjkCDQIIAggCCAIIAggCCAIIAggCCAIIAggCCAIIAggCCAIIAggCFAIDAmdzcQB+AAAAAAACc3EAfgAE///////////////+/////v////91cQB+AAcAAAADBT+veHh3RQIeAAI3AgICKQIEAgUCBgIHAggCCQIKAgsCOQINAggCCAIIAggCCAIIAggCCAIIAggCCAIIAggCCAIIAggCCAIUAgMCaHNxAH4AAAAAAAJzcQB+AAT///////////////7////+/////3VxAH4ABwAAAARPKnH5eHh3RQIeAAI3AgICKwIEAgUCBgIHAggCCQIKAgsCOQINAggCCAIIAggCCAIIAggCCAIIAggCCAIIAggCCAIIAggCCAIUAgMCaXNxAH4AAAAAAAJzcQB+AAT///////////////7////+/////3VxAH4ABwAAAARxBllJeHh3TQIeAAI3AgICagAGMjAxNjA4AgQCBQIGAgcCCAIJAgoCCwI5Ag0CCAIIAggCCAIIAggCCAIIAggCCAIIAggCCAIIAggCCAIIAhQCAwJrc3EAfgAAAAAAAnNxAH4ABP///////////////v////7/////dXEAfgAHAAAABF1XUMl4eHdFAh4AAjcCAgIvAgQCBQIGAgcCCAIJAjgCCwI5Ag0CCAIIAggCCAIIAggCCAIIAggCCAIIAggCCAIIAggCCAIIAhQCAwJsc3EAfgAAAAAAAnNxAH4ABP///////////////v////7/////dXEAfgAHAAAAAwQ0OHh4d0UCHgACNwICAkoCBAIFAgYCBwIIAgkCPQILAjkCDQIIAggCCAIIAggCCAIIAggCCAIIAggCCAIIAggCCAIIAggCFAIDAm1zcQB+AAAAAAACc3EAfgAE///////////////+/////v////91cQB+AAcAAAAEAhunbnh4d0UCHgACNwICAiECBAIFAgYCBwIIAgkCPQILAjkCDQIIAggCCAIIAggCCAIIAggCCAIIAggCCAIIAggCCAIIAggCFAIDAm5zcQB+AAAAAAACc3EAfgAE///////////////+/////v////91cQB+AAcAAAAEG0cx03h4d0UCHgACNwICAmECBAIFAgYCBwIIAgkCOAILAjkCDQIIAggCCAIIAggCCAIIAggCCAIIAggCCAIIAggCCAIIAggCFAIDAm9zcQB+AAAAAAACc3EAfgAE///////////////+/////v////91cQB+AAcAAAADCoBUeHh3RQIeAAI3AgICUwIEAgUCBgIHAggCCQI4AgsCOQINAggCCAIIAggCCAIIAggCCAIIAggCCAIIAggCCAIIAggCCAIUAgMCcHNxAH4AAAAAAAJzcQB+AAT///////////////7////+/////3VxAH4ABwAAAAMGaCt4eHdFAh4AAjcCAgIdAgQCBQIGAgcCCAIJAgoCCwI5Ag0CCAIIAggCCAIIAggCCAIIAggCCAIIAggCCAIIAggCCAIIAhQCAwJxc3EAfgAAAAAAAnNxAH4ABP///////////////v////7/////dXEAfgAHAAAABE7u6Np4eHeKAh4AAjcCAgI1AgQCBQIGAgcCCAIJAjgCCwI5Ag0CCAIIAggCCAIIAggCCAIIAggCCAIIAggCCAIIAggCCAIIAhQCAwJQAh4AAjcCAgIjAgQCBQIGAgcCCAIJAgoCCwI5Ag0CCAIIAggCCAIIAggCCAIIAggCCAIIAggCCAIIAggCCAIIAhQCAwJyc3EAfgAAAAAAAnNxAH4ABP///////////////v////7/////dXEAfgAHAAAABGUxQat4eHdFAh4AAjcCAgJjAgQCBQIGAgcCCAIJAgoCCwI5Ag0CCAIIAggCCAIIAggCCAIIAggCCAIIAggCCAIIAggCCAIIAhQCAwJzc3EAfgAAAAAAAnNxAH4ABP///////////////v////7/////dXEAfgAHAAAABFovta14eHdFAh4AAjcCAgIpAgQCBQIGAgcCCAIJAj0CCwI5Ag0CCAIIAggCCAIIAggCCAIIAggCCAIIAggCCAIIAggCCAIIAhQCAwJ0c3EAfgAAAAAAAnNxAH4ABP///////////////v////7/////dXEAfgAHAAAABBli52V4eHdFAh4AAjcCAgIfAgQCBQIGAgcCCAIJAjgCCwI5Ag0CCAIIAggCCAIIAggCCAIIAggCCAIIAggCCAIIAggCCAIIAhQCAwJ1c3EAfgAAAAAAAnNxAH4ABP///////////////v////7/////dXEAfgAHAAAAAwRDenh4d0UCHgACNwICAisCBAIFAgYCBwIIAgkCPQILAjkCDQIIAggCCAIIAggCCAIIAggCCAIIAggCCAIIAggCCAIIAggCFAIDAnZzcQB+AAAAAAACc3EAfgAE///////////////+/////gAAAAF1cQB+AAcAAAAEAo6woHh4d0UCHgACNwICAi0CBAIFAgYCBwIIAgkCPQILAjkCDQIIAggCCAIIAggCCAIIAggCCAIIAggCCAIIAggCCAIIAggCFAIDAndzcQB+AAAAAAACc3EAfgAE///////////////+/////v////91cQB+AAcAAAAEKOmGtnh4d0UCHgACNwICAjwCBAIFAgYCBwIIAgkCOAILAjkCDQIIAggCCAIIAggCCAIIAggCCAIIAggCCAIIAggCCAIIAggCFAIDAnhzcQB+AAAAAAACc3EAfgAE///////////////+/////v////91cQB+AAcAAAADC4KteHh3RQIeAAI3AgICLwIEAgUCBgIHAggCCQIKAgsCOQINAggCCAIIAggCCAIIAggCCAIIAggCCAIIAggCCAIIAggCCAIUAgMCeXNxAH4AAAAAAAJzcQB+AAT///////////////7////+/////3VxAH4ABwAAAARe1GL4eHh3RQIeAAI3AgICagIEAgUCBgIHAggCCQI9AgsCOQINAggCCAIIAggCCAIIAggCCAIIAggCCAIIAggCCAIIAggCCAIUAgMCenNxAH4AAAAAAAJzcQB+AAT///////////////7////+/////3VxAH4ABwAAAAQCvT+keHh3RQIeAAI3AgICQwIEAgUCBgIHAggCCQI4AgsCOQINAggCCAIIAggCCAIIAggCCAIIAggCCAIIAggCCAIIAggCCAIUAgMCe3NxAH4AAAAAAAJzcQB+AAT///////////////7////+/////3VxAH4ABwAAAAMG3JN4eHdFAh4AAjcCAgIrAgQCBQIGAgcCCAIJAjgCCwI5Ag0CCAIIAggCCAIIAggCCAIIAggCCAIIAggCCAIIAggCCAIIAhQCAwJ8c3EAfgAAAAAAAnNxAH4ABP///////////////v////7/////dXEAfgAHAAAAAwQOrnh4d0UCHgACNwICAiECBAIFAgYCBwIIAgkCCgILAjkCDQIIAggCCAIIAggCCAIIAggCCAIIAggCCAIIAggCCAIIAggCFAIDAn1zcQB+AAAAAAACc3EAfgAE///////////////+/////v////91cQB+AAcAAAAESYtTyXh4d0UCHgACNwICAiUCBAIFAgYCBwIIAgkCOAILAjkCDQIIAggCCAIIAggCCAIIAggCCAIIAggCCAIIAggCCAIIAggCFAIDAn5zcQB+AAAAAAACc3EAfgAE///////////////+/////v////91cQB+AAcAAAADBHSNeHh3RQIeAAI3AgICQwIEAgUCBgIHAggCCQIKAgsCOQINAggCCAIIAggCCAIIAggCCAIIAggCCAIIAggCCAIIAggCCAIUAgMCf3NxAH4AAAAAAAJzcQB+AAT///////////////7////+/////3VxAH4ABwAAAAQoo9pZeHh3RQIeAAI3AgICYQIEAgUCBgIHAggCCQIKAgsCOQINAggCCAIIAggCCAIIAggCCAIIAggCCAIIAggCCAIIAggCCAIUAgMCgHNxAH4AAAAAAAJzcQB+AAT///////////////7////+/////3VxAH4ABwAAAARUiEubeHh3RQIeAAI3AgICMwIEAgUCBgIHAggCCQI4AgsCOQINAggCCAIIAggCCAIIAggCCAIIAggCCAIIAggCCAIIAggCCAIUAgMCgXNxAH4AAAAAAAJzcQB+AAT///////////////7////+/////3VxAH4ABwAAAAMD3Kt4eHdFAh4AAjcCAgIdAgQCBQIGAgcCCAIJAj0CCwI5Ag0CCAIIAggCCAIIAggCCAIIAggCCAIIAggCCAIIAggCCAIIAhQCAwKCc3EAfgAAAAAAAnNxAH4ABP///////////////v////7/////dXEAfgAHAAAABCZxo1d4eHdFAh4AAjcCAgI/AgQCBQIGAgcCCAIJAj0CCwI5Ag0CCAIIAggCCAIIAggCCAIIAggCCAIIAggCCAIIAggCCAIIAhQCAwKDc3EAfgAAAAAAAnNxAH4ABP///////////////v////7/////dXEAfgAHAAAAA7xcsnh4d0UCHgACNwICAmMCBAIFAgYCBwIIAgkCPQILAjkCDQIIAggCCAIIAggCCAIIAggCCAIIAggCCAIIAggCCAIIAggCFAIDAoRzcQB+AAAAAAACc3EAfgAE///////////////+/////v////91cQB+AAcAAAAEAzaSmXh4d0UCHgACNwICAiMCBAIFAgYCBwIIAgkCPQILAjkCDQIIAggCCAIIAggCCAIIAggCCAIIAggCCAIIAggCCAIIAggCFAIDAoVzcQB+AAAAAAACc3EAfgAE///////////////+/////v////91cQB+AAcAAAADMpTWeHh3RQIeAAI3AgICagIEAgUCBgIHAggCCQI4AgsCOQINAggCCAIIAggCCAIIAggCCAIIAggCCAIIAggCCAIIAggCCAIUAgMChnNxAH4AAAAAAAJzcQB+AAT///////////////7////+/////3VxAH4ABwAAAAMItpx4eHdFAh4AAjcCAgInAgQCBQIGAgcCCAIJAj0CCwI5Ag0CCAIIAggCCAIIAggCCAIIAggCCAIIAggCCAIIAggCCAIIAhQCAwKHc3EAfgAAAAAAAnNxAH4ABP///////////////v////7/////dXEAfgAHAAAABES6V7x4eHdFAh4AAjcCAgJHAgQCBQIGAgcCCAIJAj0CCwI5Ag0CCAIIAggCCAIIAggCCAIIAggCCAIIAggCCAIIAggCCAIIAhQCAwKIc3EAfgAAAAAAAnNxAH4ABP///////////////v////7/////dXEAfgAHAAAABAgl/7F4eHdFAh4AAjcCAgJKAgQCBQIGAgcCCAIJAgoCCwI5Ag0CCAIIAggCCAIIAggCCAIIAggCCAIIAggCCAIIAggCCAIIAhQCAwKJc3EAfgAAAAAAAnNxAH4ABP///////////////v////7/////dXEAfgAHAAAABGExCBR4eHdFAh4AAjcCAgJMAgQCBQIGAgcCCAIJAgoCCwI5Ag0CCAIIAggCCAIIAggCCAIIAggCCAIIAggCCAIIAggCCAIIAhQCAwKKc3EAfgAAAAAAAnNxAH4ABP///////////////v////7/////dXEAfgAHAAAABEhweK94eHdFAh4AAjcCAgIDAgQCBQIGAgcCCAIJAgoCCwI5Ag0CCAIIAggCCAIIAggCCAIIAggCCAIIAggCCAIIAggCCAIIAhQCAwKLc3EAfgAAAAAAAnNxAH4ABP///////////////v////7/////dXEAfgAHAAAABFn95fJ4eHdFAh4AAjcCAgJBAgQCBQIGAgcCCAIJAjgCCwI5Ag0CCAIIAggCCAIIAggCCAIIAggCCAIIAggCCAIIAggCCAIIAhQCAwKMc3EAfgAAAAAAAnNxAH4ABP///////////////v////7/////dXEAfgAHAAAAAw6D3Xh4d0UCHgACNwICAjECBAIFAgYCBwIIAgkCPQILAjkCDQIIAggCCAIIAggCCAIIAggCCAIIAggCCAIIAggCCAIIAggCFAIDAo1zcQB+AAAAAAACc3EAfgAE///////////////+/////v////91cQB+AAcAAAAEEP3yI3h4d1gCHgACjgAJNDIxMjE5ODU2AgICjwAGMjAxMzEyAgQCBQIGAgcCCAIJAjgCCwI5Ag0CCAIIAggCCAIIAggCCAIIAggCCAIIAggCCAIIAggCCAIIAh4CAwKQc3EAfgAAAAAAAnNxAH4ABP///////////////v////7/////dXEAfgAHAAAAAxTl5Hh4egAABAACHgACkQAJMzMwNTYxNjgwAgICYwIEAgUCBgIHAggCCQIKAgsCOQINAggCCAIIAggCCAIIAggCCAIIAggCCAIIAggCCAIIAggCCAIBAgMCcwIeAAKRAgICUwIEAgUCBgIHAggCCQI4AgsCOQINAggCCAIIAggCCAIIAggCCAIIAggCCAIIAggCCAIIAggCCAIBAgMCcAIeAAKRAgICAwIEAgUCBgIHAggCCQI4AgsCOQINAggCCAIIAggCCAIIAggCCAIIAggCCAIIAggCCAIIAggCCAIBAgMCVwIeAAKRAgICKQIEAgUCBgIHAggCCQI9AgsCOQINAggCCAIIAggCCAIIAggCCAIIAggCCAIIAggCCAIIAggCCAIBAgMCdAIeAAKRAgICHQIEAgUCBgIHAggCCQI9AgsCOQINAggCCAIIAggCCAIIAggCCAIIAggCCAIIAggCCAIIAggCCAIBAgMCggIeAAKRAgICNQIEAgUCBgIHAggCCQI4AgsCOQINAggCCAIIAggCCAIIAggCCAIIAggCCAIIAggCCAIIAggCCAIBAgMCUAIeAAKRAgICKwIEAgUCBgIHAggCCQI9AgsCOQINAggCCAIIAggCCAIIAggCCAIIAggCCAIIAggCCAIIAggCCAIBAgMCdgIeAAKRAgICLQIEAgUCBgIHAggCCQI9AgsCOQINAggCCAIIAggCCAIIAggCCAIIAggCCAIIAggCCAIIAggCCAIBAgMCdwIeAAKRAgICPAIEAgUCBgIHAggCCQI4AgsCOQINAggCCAIIAggCCAIIAggCCAIIAggCCAIIAggCCAIIAggCCAIBAgMCeAIeAAKRAgICLwIEAgUCBgIHAggCCQIKAgsCOQINAggCCAIIAggCCAIIAggCCAIIAggCCAIIAggCCAIIAggCCAIBAgMCeQIeAAKRAgICagIEAgUCBgIHAggCCQI9AgsCOQINAggCCAIIAggCCAIIAggCCAIIAggCCAIIAggCCAIIAggCCAIBAgMCegIeAAKRAgICPwIEAgUCBgIHAggCCQI4AgsCOQINAggCCAIIAggCCAIIAggCCAIIAggCCAIIAggCCAIIAggCCAIBAgMCZwIeAAKRAgICYQIEAgUCBgIHAggCCQIKAgsCOQINAggCCAIIAggCCAIIAggCCAIIAggCCAIIAggCCAIIAggCCAIBAgMCgAIeAAKRAgICJQIEAgUCBgIHAggCCQI4AgsCOQINAggCCAIIAggCCAIIAggCCAIIAggCCAIIAggCCAIIAggCCAIBAgMCfgIeAAKRAgICQwIEAgUCBgIHAggCCQIKAgsCOQINAggCCAIIAggCCAIIAggCCAIIegAABAACCAIIAggCCAIIAggCCAIIAgECAwJ/Ah4AApECAgInAgQCBQIGAgcCCAIJAjgCCwI5Ag0CCAIIAggCCAIIAggCCAIIAggCCAIIAggCCAIIAggCCAIIAgECAwJQAh4AApECAgI8AgQCBQIGAgcCCAIJAgoCCwI5Ag0CCAIIAggCCAIIAggCCAIIAggCCAIIAggCCAIIAggCCAIIAgECAwJgAh4AApECAgJMAgQCBQIGAgcCCAIJAjgCCwI5Ag0CCAIIAggCCAIIAggCCAIIAggCCAIIAggCCAIIAggCCAIIAgECAwJZAh4AApECAgIjAgQCBQIGAgcCCAIJAj0CCwI5Ag0CCAIIAggCCAIIAggCCAIIAggCCAIIAggCCAIIAggCCAIIAgECAwKFAh4AApECAgIfAgQCBQIGAgcCCAIJAgoCCwI5Ag0CCAIIAggCCAIIAggCCAIIAggCCAIIAggCCAIIAggCCAIIAgECAwJYAh4AApECAgJjAgQCBQIGAgcCCAIJAj0CCwI5Ag0CCAIIAggCCAIIAggCCAIIAggCCAIIAggCCAIIAggCCAIIAgECAwKEAh4AApECAgItAgQCBQIGAgcCCAIJAgoCCwI5Ag0CCAIIAggCCAIIAggCCAIIAggCCAIIAggCCAIIAggCCAIIAgECAwJeAh4AApECAgJTAgQCBQIGAgcCCAIJAgoCCwI5Ag0CCAIIAggCCAIIAggCCAIIAggCCAIIAggCCAIIAggCCAIIAgECAwJbAh4AApECAgI1AgQCBQIGAgcCCAIJAgoCCwI5Ag0CCAIIAggCCAIIAggCCAIIAggCCAIIAggCCAIIAggCCAIIAgECAwJcAh4AApECAgKSAAYyMDE4MDQCBAIFAgYCBwIIAgkCOAILAjkCDQIIAggCCAIIAggCCAIIAggCCAIIAggCCAIIAggCCAIIAggCAQIDAlACHgACkQICAmMCBAIFAgYCBwIIAgkCOAILAjkCDQIIAggCCAIIAggCCAIIAggCCAIIAggCCAIIAggCCAIIAggCAQIDAmQCHgACkQICAkcCBAIFAgYCBwIIAgkCOAILAjkCDQIIAggCCAIIAggCCAIIAggCCAIIAggCCAIIAggCCAIIAggCAQIDAkgCHgACkQICAikCBAIFAgYCBwIIAgkCCgILAjkCDQIIAggCCAIIAggCCAIIAggCCAIIAggCCAIIAggCCAIIAggCAQIDAmgCHgACkQICAiMCBAIFAgYCBwIIAgkCOAILAjkCDQIIAggCCAIIAggCCAIIAggCCAIIAggCCAIIAggCCAIIAggCAQIDAl8CHgACkQICAjECBAIFAgYCBwIIAgkCOAILAjkCegAAAccNAggCCAIIAggCCAIIAggCCAIIAggCCAIIAggCCAIIAggCCAIBAgMCXQIeAAKRAgICMwIEAgUCBgIHAggCCQI9AgsCOQINAggCCAIIAggCCAIIAggCCAIIAggCCAIIAggCCAIIAggCCAIBAgMCZgIeAAKRAgICLwIEAgUCBgIHAggCCQI9AgsCOQINAggCCAIIAggCCAIIAggCCAIIAggCCAIIAggCCAIIAggCCAIBAgMCZQIeAAKRAgICYQIEAgUCBgIHAggCCQI9AgsCOQINAggCCAIIAggCCAIIAggCCAIIAggCCAIIAggCCAIIAggCCAIBAgMCYgIeAAKRAgICKwIEAgUCBgIHAggCCQIKAgsCOQINAggCCAIIAggCCAIIAggCCAIIAggCCAIIAggCCAIIAggCCAIBAgMCaQIeAAKRAgICagIEAgUCBgIHAggCCQIKAgsCOQINAggCCAIIAggCCAIIAggCCAIIAggCCAIIAggCCAIIAggCCAIBAgMCawIeAAKRAgICGwIEAgUCBgIHAggCCQI9AgsCOQINAggCCAIIAggCCAIIAggCCAIIAggCCAIIAggCCAIIAggCCAIBAgMCk3NxAH4AAAAAAAJzcQB+AAT///////////////7////+/////3VxAH4ABwAAAAQOU8mMeHh6AAACbQIeAAKRAgICHwIEAgUCBgIHAggCCQI4AgsCOQINAggCCAIIAggCCAIIAggCCAIIAggCCAIIAggCCAIIAggCCAIBAgMCdQIeAAKRAgICQQIEAgUCBgIHAggCCQIKAgsCOQINAggCCAIIAggCCAIIAggCCAIIAggCCAIIAggCCAIIAggCCAIBAgMCQgIeAAKRAgICIQIEAgUCBgIHAggCCQI9AgsCOQINAggCCAIIAggCCAIIAggCCAIIAggCCAIIAggCCAIIAggCCAIBAgMCbgIeAAKRAgICQwIEAgUCBgIHAggCCQI9AgsCOQINAggCCAIIAggCCAIIAggCCAIIAggCCAIIAggCCAIIAggCCAIBAgMCRAIeAAKRAgICSgIEAgUCBgIHAggCCQI9AgsCOQINAggCCAIIAggCCAIIAggCCAIIAggCCAIIAggCCAIIAggCCAIBAgMCbQIeAAKRAgICJQIEAgUCBgIHAggCCQIKAgsCOQINAggCCAIIAggCCAIIAggCCAIIAggCCAIIAggCCAIIAggCCAIBAgMCRQIeAAKRAgICKQIEAgUCBgIHAggCCQI4AgsCOQINAggCCAIIAggCCAIIAggCCAIIAggCCAIIAggCCAIIAggCCAIBAgMCUAIeAAKRAgICAwIEAgUCBgIHAggCCQI9AgsCOQINAggCCAIIAggCCAIIAggCCAIIAggCCAIIAggCCAIIAggCCAIBAgMCSQIeAAKRAgICkgIEAgUCBgIHAggCCQIKAgsCOQINAggCCAIIAggCCAIIAggCCAIIAggCCAIIAggCCAIIAggCCAIBAgMClHNxAH4AAAAAAAJzcQB+AAT///////////////7////+/////3VxAH4ABwAAAARaqchfeHh6AAACbQIeAAKRAgICSgIEAgUCBgIHAggCCQI4AgsCOQINAggCCAIIAggCCAIIAggCCAIIAggCCAIIAggCCAIIAggCCAIBAgMCSwIeAAKRAgICRwIEAgUCBgIHAggCCQIKAgsCOQINAggCCAIIAggCCAIIAggCCAIIAggCCAIIAggCCAIIAggCCAIBAgMCUgIeAAKRAgICLQIEAgUCBgIHAggCCQI4AgsCOQINAggCCAIIAggCCAIIAggCCAIIAggCCAIIAggCCAIIAggCCAIBAgMCUQIeAAKRAgICNQIEAgUCBgIHAggCCQI9AgsCOQINAggCCAIIAggCCAIIAggCCAIIAggCCAIIAggCCAIIAggCCAIBAgMCVQIeAAKRAgICMQIEAgUCBgIHAggCCQIKAgsCOQINAggCCAIIAggCCAIIAggCCAIIAggCCAIIAggCCAIIAggCCAIBAgMCTgIeAAKRAgICMwIEAgUCBgIHAggCCQIKAgsCOQINAggCCAIIAggCCAIIAggCCAIIAggCCAIIAggCCAIIAggCCAIBAgMCTwIeAAKRAgICUwIEAgUCBgIHAggCCQI9AgsCOQINAggCCAIIAggCCAIIAggCCAIIAggCCAIIAggCCAIIAggCCAIBAgMCVAIeAAKRAgICTAIEAgUCBgIHAggCCQI9AgsCOQINAggCCAIIAggCCAIIAggCCAIIAggCCAIIAggCCAIIAggCCAIBAgMCTQIeAAKRAgICGwIEAgUCBgIHAggCCQIKAgsCOQINAggCCAIIAggCCAIIAggCCAIIAggCCAIIAggCCAIIAggCCAIBAgMClXNxAH4AAAAAAAJzcQB+AAT///////////////7////+/////3VxAH4ABwAAAARSfqMaeHh6AAADPAIeAAKRAgICJQIEAgUCBgIHAggCCQI9AgsCOQINAggCCAIIAggCCAIIAggCCAIIAggCCAIIAggCCAIIAggCCAIBAgMCWgIeAAKRAgICagIEAgUCBgIHAggCCQI4AgsCOQINAggCCAIIAggCCAIIAggCCAIIAggCCAIIAggCCAIIAggCCAIBAgMChgIeAAKRAgICKwIEAgUCBgIHAggCCQI4AgsCOQINAggCCAIIAggCCAIIAggCCAIIAggCCAIIAggCCAIIAggCCAIBAgMCfAIeAAKRAgICPwIEAgUCBgIHAggCCQI9AgsCOQINAggCCAIIAggCCAIIAggCCAIIAggCCAIIAggCCAIIAggCCAIBAgMCgwIeAAKRAgICJwIEAgUCBgIHAggCCQI9AgsCOQINAggCCAIIAggCCAIIAggCCAIIAggCCAIIAggCCAIIAggCCAIBAgMChwIeAAKRAgICHQIEAgUCBgIHAggCCQI4AgsCOQINAggCCAIIAggCCAIIAggCCAIIAggCCAIIAggCCAIIAggCCAIBAgMCUAIeAAKRAgICIQIEAgUCBgIHAggCCQIKAgsCOQINAggCCAIIAggCCAIIAggCCAIIAggCCAIIAggCCAIIAggCCAIBAgMCfQIeAAKRAgICQQIEAgUCBgIHAggCCQI9AgsCOQINAggCCAIIAggCCAIIAggCCAIIAggCCAIIAggCCAIIAggCCAIBAgMCVgIeAAKRAgICSgIEAgUCBgIHAggCCQIKAgsCOQINAggCCAIIAggCCAIIAggCCAIIAggCCAIIAggCCAIIAggCCAIBAgMCiQIeAAKRAgICMQIEAgUCBgIHAggCCQI9AgsCOQINAggCCAIIAggCCAIIAggCCAIIAggCCAIIAggCCAIIAggCCAIBAgMCjQIeAAKRAgICMwIEAgUCBgIHAggCCQI4AgsCOQINAggCCAIIAggCCAIIAggCCAIIAggCCAIIAggCCAIIAggCCAIBAgMCgQIeAAKRAgICkgIEAgUCBgIHAggCCQI9AgsCOQINAggCCAIIAggCCAIIAggCCAIIAggCCAIIAggCCAIIAggCCAIBAgMClnNxAH4AAAAAAAJzcQB+AAT///////////////7////+/////3VxAH4ABwAAAAQHGT+ZeHh6AAAEAAIeAAKRAgICAwIEAgUCBgIHAggCCQIKAgsCOQINAggCCAIIAggCCAIIAggCCAIIAggCCAIIAggCCAIIAggCCAIBAgMCiwIeAAKRAgICTAIEAgUCBgIHAggCCQIKAgsCOQINAggCCAIIAggCCAIIAggCCAIIAggCCAIIAggCCAIIAggCCAIBAgMCigIeAAKRAgICQQIEAgUCBgIHAggCCQI4AgsCOQINAggCCAIIAggCCAIIAggCCAIIAggCCAIIAggCCAIIAggCCAIBAgMCjAIeAAKRAgICRwIEAgUCBgIHAggCCQI9AgsCOQINAggCCAIIAggCCAIIAggCCAIIAggCCAIIAggCCAIIAggCCAIBAgMCiAIeAAKRAgICGwIEAgUCBgIHAggCCQI4AgsCOQINAggCCAIIAggCCAIIAggCCAIIAggCCAIIAggCCAIIAggCCAIBAgMCUAIeAAKRAgICIQIEAgUCBgIHAggCCQI4AgsCOQINAggCCAIIAggCCAIIAggCCAIIAggCCAIIAggCCAIIAggCCAIBAgMCOgIeAAKRAgICPwIEAgUCBgIHAggCCQIKAgsCOQINAggCCAIIAggCCAIIAggCCAIIAggCCAIIAggCCAIIAggCCAIBAgMCQAIeAAKRAgICJwIEAgUCBgIHAggCCQIKAgsCOQINAggCCAIIAggCCAIIAggCCAIIAggCCAIIAggCCAIIAggCCAIBAgMCOwIeAAKRAgICHwIEAgUCBgIHAggCCQI9AgsCOQINAggCCAIIAggCCAIIAggCCAIIAggCCAIIAggCCAIIAggCCAIBAgMCRgIeAAKRAgICHQIEAgUCBgIHAggCCQIKAgsCOQINAggCCAIIAggCCAIIAggCCAIIAggCCAIIAggCCAIIAggCCAIBAgMCcQIeAAKRAgICQwIEAgUCBgIHAggCCQI4AgsCOQINAggCCAIIAggCCAIIAggCCAIIAggCCAIIAggCCAIIAggCCAIBAgMCewIeAAKRAgICLwIEAgUCBgIHAggCCQI4AgsCOQINAggCCAIIAggCCAIIAggCCAIIAggCCAIIAggCCAIIAggCCAIBAgMCbAIeAAKRAgICYQIEAgUCBgIHAggCCQI4AgsCOQINAggCCAIIAggCCAIIAggCCAIIAggCCAIIAggCCAIIAggCCAIBAgMCbwIeAAKRAgICIwIEAgUCBgIHAggCCQIKAgsCOQINAggCCAIIAggCCAIIAggCCAIIAggCCAIIAggCCAIIAggCCAIBAgMCcgIeAAKRAgICPAIEAgUCBgIHAggCCQI9AgsCOQINAggCCAIIAggCCAIIAggCCAIIAggCCAIIAggCCAJ3WwgCCAIIAgECAwI+Ah4AApcACTMxNjc4NjQ0MAICAiMCBAIFAgYCBwIIAgkCPQILAgwCDQIIAggCCAIIAggCCAIIAggCCAIIAggCCAIIAggCCAIIAggCIgIDAphzcQB+AAAAAAACc3EAfgAE///////////////+/////gAAAAF1cQB+AAcAAAAD/4leeHh3RQIeAAKXAgICMwIEAgUCBgIHAggCCQI9AgsCDAINAggCCAIIAggCCAIIAggCCAIIAggCCAIIAggCCAIIAggCCAIiAgMCmXNxAH4AAAAAAAJzcQB+AAT///////////////7////+AAAAAXVxAH4ABwAAAAQGG1pqeHh3RQIeAAKXAgICLQIEAgUCBgIHAggCCQI9AgsCDAINAggCCAIIAggCCAIIAggCCAIIAggCCAIIAggCCAIIAggCCAIiAgMCmnNxAH4AAAAAAAJzcQB+AAT///////////////7////+/////3VxAH4ABwAAAAQUOveDeHh3RQIeAAKXAgICKQIEAgUCBgIHAggCCQI9AgsCDAINAggCCAIIAggCCAIIAggCCAIIAggCCAIIAggCCAIIAggCCAIiAgMCm3NxAH4AAAAAAAJzcQB+AAT///////////////7////+/////3VxAH4ABwAAAAQKK9PneHh3RQIeAAKXAgICMQIEAgUCBgIHAggCCQI9AgsCDAINAggCCAIIAggCCAIIAggCCAIIAggCCAIIAggCCAIIAggCCAIiAgMCnHNxAH4AAAAAAAJzcQB+AAT///////////////7////+/////3VxAH4ABwAAAAQIvUgheHh3RQIeAAKXAgICAwIEAgUCBgIHAggCCQI9AgsCDAINAggCCAIIAggCCAIIAggCCAIIAggCCAIIAggCCAIIAggCCAIiAgMCnXNxAH4AAAAAAAJzcQB+AAT///////////////7////+/////3VxAH4ABwAAAAQC12dUeHh3RQIeAAKXAgICNQIEAgUCBgIHAggCCQI9AgsCDAINAggCCAIIAggCCAIIAggCCAIIAggCCAIIAggCCAIIAggCCAIiAgMCnnNxAH4AAAAAAAJzcQB+AAT///////////////7////+/////3VxAH4ABwAAAAQWt6iieHh3RQIeAAKXAgICHQIEAgUCBgIHAggCCQI9AgsCDAINAggCCAIIAggCCAIIAggCCAIIAggCCAIIAggCCAIIAggCCAIiAgMCn3NxAH4AAAAAAAJzcQB+AAT///////////////7////+/////3VxAH4ABwAAAAQQposkeHh3RQIeAAKXAgICJwIEAgUCBgIHAggCCQI9AgsCDAINAggCCAIIAggCCAIIAggCCAIIAggCCAIIAggCCAIIAggCCAIiAgMCoHNxAH4AAAAAAAJzcQB+AAT///////////////7////+/////3VxAH4ABwAAAAQewHRseHh3RQIeAAKXAgICLwIEAgUCBgIHAggCCQI9AgsCDAINAggCCAIIAggCCAIIAggCCAIIAggCCAIIAggCCAIIAggCCAIiAgMCoXNxAH4AAAAAAAJzcQB+AAT///////////////7////+/////3VxAH4ABwAAAANOuAp4eHdFAh4AApcCAgIrAgQCBQIGAgcCCAIJAj0CCwIMAg0CCAIIAggCCAIIAggCCAIIAggCCAIIAggCCAIIAggCCAIIAiICAwKic3EAfgAAAAAAAnNxAH4ABP///////////////v////4AAAABdXEAfgAHAAAABAJaEtJ4eHdFAh4AApcCAgIbAgQCBQIGAgcCCAIJAj0CCwIMAg0CCAIIAggCCAIIAggCCAIIAggCCAIIAggCCAIIAggCCAIIAiICAwKjc3EAfgAAAAAAAnNxAH4ABP///////////////v////7/////dXEAfgAHAAAABATh3pl4eHdFAh4AApcCAgIlAgQCBQIGAgcCCAIJAj0CCwIMAg0CCAIIAggCCAIIAggCCAIIAggCCAIIAggCCAIIAggCCAIIAiICAwKkc3EAfgAAAAAAAnNxAH4ABP///////////////v////7/////dXEAfgAHAAAABAUEo0F4eHdFAh4AApcCAgIhAgQCBQIGAgcCCAIJAj0CCwIMAg0CCAIIAggCCAIIAggCCAIIAggCCAIIAggCCAIIAggCCAIIAiICAwKlc3EAfgAAAAAAAnNxAH4ABP///////////////v////7/////dXEAfgAHAAAABA4LHEp4eHdFAh4AApcCAgIfAgQCBQIGAgcCCAIJAj0CCwIMAg0CCAIIAggCCAIIAggCCAIIAggCCAIIAggCCAIIAggCCAIIAiICAwKmc3EAfgAAAAAAAnNxAH4ABP///////////////v////7/////dXEAfgAHAAAABAFtStJ4eHoAAAQAAh4AAqcACTMzMDU2NDAwMAICAlMCBAIFAgYCBwIIAgkCCgILAjkCDQIIAggCCAIIAggCCAIIAggCCAIIAggCCAIIAggCCAIIAggCEgIDAlsCHgACpwICAjUCBAIFAgYCBwIIAgkCCgILAjkCDQIIAggCCAIIAggCCAIIAggCCAIIAggCCAIIAggCCAIIAggCEgIDAlwCHgACpwICAkcCBAIFAgYCBwIIAgkCOAILAjkCDQIIAggCCAIIAggCCAIIAggCCAIIAggCCAIIAggCCAIIAggCEgIDAkgCHgACpwICAjMCBAIFAgYCBwIIAgkCOAILAjkCDQIIAggCCAIIAggCCAIIAggCCAIIAggCCAIIAggCCAIIAggCEgIDAoECHgACpwICAjECBAIFAgYCBwIIAgkCOAILAjkCDQIIAggCCAIIAggCCAIIAggCCAIIAggCCAIIAggCCAIIAggCEgIDAl0CHgACpwICAkwCBAIFAgYCBwIIAgkCCgILAjkCDQIIAggCCAIIAggCCAIIAggCCAIIAggCCAIIAggCCAIIAggCEgIDAooCHgACpwICAmECBAIFAgYCBwIIAgkCPQILAjkCDQIIAggCCAIIAggCCAIIAggCCAIIAggCCAIIAggCCAIIAggCEgIDAmICHgACpwICAi8CBAIFAgYCBwIIAgkCPQILAjkCDQIIAggCCAIIAggCCAIIAggCCAIIAggCCAIIAggCCAIIAggCEgIDAmUCHgACpwICAgMCBAIFAgYCBwIIAgkCCgILAjkCDQIIAggCCAIIAggCCAIIAggCCAIIAggCCAIIAggCCAIIAggCEgIDAosCHgACpwICAhsCBAIFAgYCBwIIAgkCOAILAjkCDQIIAggCCAIIAggCCAIIAggCCAIIAggCCAIIAggCCAIIAggCEgIDAlACHgACpwICAh8CBAIFAgYCBwIIAgkCPQILAjkCDQIIAggCCAIIAggCCAIIAggCCAIIAggCCAIIAggCCAIIAggCEgIDAkYCHgACpwICAkECBAIFAgYCBwIIAgkCCgILAjkCDQIIAggCCAIIAggCCAIIAggCCAIIAggCCAIIAggCCAIIAggCEgIDAkICHgACpwICAj8CBAIFAgYCBwIIAgkCCgILAjkCDQIIAggCCAIIAggCCAIIAggCCAIIAggCCAIIAggCCAIIAggCEgIDAkACHgACpwICAiECBAIFAgYCBwIIAgkCOAILAjkCDQIIAggCCAIIAggCCAIIAggCCAIIAggCCAIIAggCCAIIAggCEgIDAjoCHgACpwICAiUCBAIFAgYCBwIIAgkCCgILAjkCDQIIAggCCAIIAggCCAIIAggCCHoAAAQAAggCCAIIAggCCAIIAggCCAISAgMCRQIeAAKnAgICQwIEAgUCBgIHAggCCQI9AgsCOQINAggCCAIIAggCCAIIAggCCAIIAggCCAIIAggCCAIIAggCCAISAgMCRAIeAAKnAgICJwIEAgUCBgIHAggCCQIKAgsCOQINAggCCAIIAggCCAIIAggCCAIIAggCCAIIAggCCAIIAggCCAISAgMCOwIeAAKnAgICPAIEAgUCBgIHAggCCQI9AgsCOQINAggCCAIIAggCCAIIAggCCAIIAggCCAIIAggCCAIIAggCCAISAgMCPgIeAAKnAgICAwIEAgUCBgIHAggCCQI9AgsCOQINAggCCAIIAggCCAIIAggCCAIIAggCCAIIAggCCAIIAggCCAISAgMCSQIeAAKnAgICTAIEAgUCBgIHAggCCQI9AgsCOQINAggCCAIIAggCCAIIAggCCAIIAggCCAIIAggCCAIIAggCCAISAgMCTQIeAAKnAgICUwIEAgUCBgIHAggCCQI4AgsCOQINAggCCAIIAggCCAIIAggCCAIIAggCCAIIAggCCAIIAggCCAISAgMCcAIeAAKnAgICNQIEAgUCBgIHAggCCQI4AgsCOQINAggCCAIIAggCCAIIAggCCAIIAggCCAIIAggCCAIIAggCCAISAgMCUAIeAAKnAgICHQIEAgUCBgIHAggCCQI9AgsCOQINAggCCAIIAggCCAIIAggCCAIIAggCCAIIAggCCAIIAggCCAISAgMCggIeAAKnAgICLQIEAgUCBgIHAggCCQI4AgsCOQINAggCCAIIAggCCAIIAggCCAIIAggCCAIIAggCCAIIAggCCAISAgMCUQIeAAKnAgICPAIEAgUCBgIHAggCCQI4AgsCOQINAggCCAIIAggCCAIIAggCCAIIAggCCAIIAggCCAIIAggCCAISAgMCeAIeAAKnAgICKQIEAgUCBgIHAggCCQI4AgsCOQINAggCCAIIAggCCAIIAggCCAIIAggCCAIIAggCCAIIAggCCAISAgMCUAIeAAKnAgICMwIEAgUCBgIHAggCCQIKAgsCOQINAggCCAIIAggCCAIIAggCCAIIAggCCAIIAggCCAIIAggCCAISAgMCTwIeAAKnAgICLwIEAgUCBgIHAggCCQIKAgsCOQINAggCCAIIAggCCAIIAggCCAIIAggCCAIIAggCCAIIAggCCAISAgMCeQIeAAKnAgICGwIEAgUCBgIHAggCCQIKAgsCOQINAggCCAIIAggCCAIIAggCCAIIAggCCAIIAggCCAIIAggCCAISAgMClQIeAAKnAgICIQIEAgUCBgIHAggCCQIKAgsCOQINAggCCAIIAnoAAAQACAIIAggCCAIIAggCCAIIAggCCAIIAggCCAIIAhICAwJ9Ah4AAqcCAgJDAgQCBQIGAgcCCAIJAgoCCwI5Ag0CCAIIAggCCAIIAggCCAIIAggCCAIIAggCCAIIAggCCAIIAhICAwJ/Ah4AAqcCAgJBAgQCBQIGAgcCCAIJAjgCCwI5Ag0CCAIIAggCCAIIAggCCAIIAggCCAIIAggCCAIIAggCCAIIAhICAwKMAh4AAqcCAgJqAgQCBQIGAgcCCAIJAjgCCwI5Ag0CCAIIAggCCAIIAggCCAIIAggCCAIIAggCCAIIAggCCAIIAhICAwKGAh4AAqcCAgJhAgQCBQIGAgcCCAIJAgoCCwI5Ag0CCAIIAggCCAIIAggCCAIIAggCCAIIAggCCAIIAggCCAIIAhICAwKAAh4AAqcCAgIrAgQCBQIGAgcCCAIJAjgCCwI5Ag0CCAIIAggCCAIIAggCCAIIAggCCAIIAggCCAIIAggCCAIIAhICAwJ8Ah4AAqcCAgIlAgQCBQIGAgcCCAIJAjgCCwI5Ag0CCAIIAggCCAIIAggCCAIIAggCCAIIAggCCAIIAggCCAIIAhICAwJ+Ah4AAqcCAgI/AgQCBQIGAgcCCAIJAj0CCwI5Ag0CCAIIAggCCAIIAggCCAIIAggCCAIIAggCCAIIAggCCAIIAhICAwKDAh4AAqcCAgIjAgQCBQIGAgcCCAIJAj0CCwI5Ag0CCAIIAggCCAIIAggCCAIIAggCCAIIAggCCAIIAggCCAIIAhICAwKFAh4AAqcCAgInAgQCBQIGAgcCCAIJAj0CCwI5Ag0CCAIIAggCCAIIAggCCAIIAggCCAIIAggCCAIIAggCCAIIAhICAwKHAh4AAqcCAgJjAgQCBQIGAgcCCAIJAj0CCwI5Ag0CCAIIAggCCAIIAggCCAIIAggCCAIIAggCCAIIAggCCAIIAhICAwKEAh4AAqcCAgJKAgQCBQIGAgcCCAIJAgoCCwI5Ag0CCAIIAggCCAIIAggCCAIIAggCCAIIAggCCAIIAggCCAIIAhICAwKJAh4AAqcCAgIpAgQCBQIGAgcCCAIJAgoCCwI5Ag0CCAIIAggCCAIIAggCCAIIAggCCAIIAggCCAIIAggCCAIIAhICAwJoAh4AAqcCAgIjAgQCBQIGAgcCCAIJAjgCCwI5Ag0CCAIIAggCCAIIAggCCAIIAggCCAIIAggCCAIIAggCCAIIAhICAwJfAh4AAqcCAgJjAgQCBQIGAgcCCAIJAjgCCwI5Ag0CCAIIAggCCAIIAggCCAIIAggCCAIIAggCCAIIAggCCAIIAhICAwJkAh4AAqcCAgIxAgQCBQIGAgcCCAIJAj0CC3oAAAQAAjkCDQIIAggCCAIIAggCCAIIAggCCAIIAggCCAIIAggCCAIIAggCEgIDAo0CHgACpwICAjMCBAIFAgYCBwIIAgkCPQILAjkCDQIIAggCCAIIAggCCAIIAggCCAIIAggCCAIIAggCCAIIAggCEgIDAmYCHgACpwICAkcCBAIFAgYCBwIIAgkCPQILAjkCDQIIAggCCAIIAggCCAIIAggCCAIIAggCCAIIAggCCAIIAggCEgIDAogCHgACpwICAisCBAIFAgYCBwIIAgkCCgILAjkCDQIIAggCCAIIAggCCAIIAggCCAIIAggCCAIIAggCCAIIAggCEgIDAmkCHgACpwICAi0CBAIFAgYCBwIIAgkCCgILAjkCDQIIAggCCAIIAggCCAIIAggCCAIIAggCCAIIAggCCAIIAggCEgIDAl4CHgACpwICAkMCBAIFAgYCBwIIAgkCOAILAjkCDQIIAggCCAIIAggCCAIIAggCCAIIAggCCAIIAggCCAIIAggCEgIDAnsCHgACpwICAmoCBAIFAgYCBwIIAgkCCgILAjkCDQIIAggCCAIIAggCCAIIAggCCAIIAggCCAIIAggCCAIIAggCEgIDAmsCHgACpwICAhsCBAIFAgYCBwIIAgkCPQILAjkCDQIIAggCCAIIAggCCAIIAggCCAIIAggCCAIIAggCCAIIAggCEgIDApMCHgACpwICAi8CBAIFAgYCBwIIAgkCOAILAjkCDQIIAggCCAIIAggCCAIIAggCCAIIAggCCAIIAggCCAIIAggCEgIDAmwCHgACpwICAikCBAIFAgYCBwIIAgkCPQILAjkCDQIIAggCCAIIAggCCAIIAggCCAIIAggCCAIIAggCCAIIAggCEgIDAnQCHgACpwICAh8CBAIFAgYCBwIIAgkCOAILAjkCDQIIAggCCAIIAggCCAIIAggCCAIIAggCCAIIAggCCAIIAggCEgIDAnUCHgACpwICAiECBAIFAgYCBwIIAgkCPQILAjkCDQIIAggCCAIIAggCCAIIAggCCAIIAggCCAIIAggCCAIIAggCEgIDAm4CHgACpwICAmECBAIFAgYCBwIIAgkCOAILAjkCDQIIAggCCAIIAggCCAIIAggCCAIIAggCCAIIAggCCAIIAggCEgIDAm8CHgACpwICAh0CBAIFAgYCBwIIAgkCCgILAjkCDQIIAggCCAIIAggCCAIIAggCCAIIAggCCAIIAggCCAIIAggCEgIDAnECHgACpwICAiMCBAIFAgYCBwIIAgkCCgILAjkCDQIIAggCCAIIAggCCAIIAggCCAIIAggCCAIIAggCCAIIAggCEgIDAnICHgACpwICAkoCBAIFAnoAAAQABgIHAggCCQI9AgsCOQINAggCCAIIAggCCAIIAggCCAIIAggCCAIIAggCCAIIAggCCAISAgMCbQIeAAKnAgICSgIEAgUCBgIHAggCCQI4AgsCOQINAggCCAIIAggCCAIIAggCCAIIAggCCAIIAggCCAIIAggCCAISAgMCSwIeAAKnAgICYwIEAgUCBgIHAggCCQIKAgsCOQINAggCCAIIAggCCAIIAggCCAIIAggCCAIIAggCCAIIAggCCAISAgMCcwIeAAKnAgICRwIEAgUCBgIHAggCCQIKAgsCOQINAggCCAIIAggCCAIIAggCCAIIAggCCAIIAggCCAIIAggCCAISAgMCUgIeAAKnAgICAwIEAgUCBgIHAggCCQI4AgsCOQINAggCCAIIAggCCAIIAggCCAIIAggCCAIIAggCCAIIAggCCAISAgMCVwIeAAKnAgICKwIEAgUCBgIHAggCCQI9AgsCOQINAggCCAIIAggCCAIIAggCCAIIAggCCAIIAggCCAIIAggCCAISAgMCdgIeAAKnAgICNQIEAgUCBgIHAggCCQI9AgsCOQINAggCCAIIAggCCAIIAggCCAIIAggCCAIIAggCCAIIAggCCAISAgMCVQIeAAKnAgICagIEAgUCBgIHAggCCQI9AgsCOQINAggCCAIIAggCCAIIAggCCAIIAggCCAIIAggCCAIIAggCCAISAgMCegIeAAKnAgICUwIEAgUCBgIHAggCCQI9AgsCOQINAggCCAIIAggCCAIIAggCCAIIAggCCAIIAggCCAIIAggCCAISAgMCVAIeAAKnAgICLQIEAgUCBgIHAggCCQI9AgsCOQINAggCCAIIAggCCAIIAggCCAIIAggCCAIIAggCCAIIAggCCAISAgMCdwIeAAKnAgICPwIEAgUCBgIHAggCCQI4AgsCOQINAggCCAIIAggCCAIIAggCCAIIAggCCAIIAggCCAIIAggCCAISAgMCZwIeAAKnAgICMQIEAgUCBgIHAggCCQIKAgsCOQINAggCCAIIAggCCAIIAggCCAIIAggCCAIIAggCCAIIAggCCAISAgMCTgIeAAKnAgICJQIEAgUCBgIHAggCCQI9AgsCOQINAggCCAIIAggCCAIIAggCCAIIAggCCAIIAggCCAIIAggCCAISAgMCWgIeAAKnAgICJwIEAgUCBgIHAggCCQI4AgsCOQINAggCCAIIAggCCAIIAggCCAIIAggCCAIIAggCCAIIAggCCAISAgMCUAIeAAKnAgICHwIEAgUCBgIHAggCCQIKAgsCOQINAggCCAIIAggCCAIIAggCCAIIAggCCAIIAggCCAIIAggCCAISAgMCWAIeAHoAAAQAAqcCAgI8AgQCBQIGAgcCCAIJAgoCCwI5Ag0CCAIIAggCCAIIAggCCAIIAggCCAIIAggCCAIIAggCCAIIAhICAwJgAh4AAqcCAgIdAgQCBQIGAgcCCAIJAjgCCwI5Ag0CCAIIAggCCAIIAggCCAIIAggCCAIIAggCCAIIAggCCAIIAhICAwJQAh4AAqcCAgJMAgQCBQIGAgcCCAIJAjgCCwI5Ag0CCAIIAggCCAIIAggCCAIIAggCCAIIAggCCAIIAggCCAIIAhICAwJZAh4AAqcCAgJBAgQCBQIGAgcCCAIJAj0CCwI5Ag0CCAIIAggCCAIIAggCCAIIAggCCAIIAggCCAIIAggCCAIIAhICAwJWAh4AAqgACTMxNjc4Mjk2MAICAjUCBAIFAgYCBwIIAgkCCgILAjkCDQIIAggCCAIIAggCCAIIAggCCAIIAggCCAIIAggCCAIIAggCDgIDAlwCHgACqAICAikCBAIFAgYCBwIIAgkCCgILAjkCDQIIAggCCAIIAggCCAIIAggCCAIIAggCCAIIAggCCAIIAggCDgIDAmgCHgACqAICAjMCBAIFAgYCBwIIAgkCCgILAjkCDQIIAggCCAIIAggCCAIIAggCCAIIAggCCAIIAggCCAIIAggCDgIDAk8CHgACqAICAiMCBAIFAgYCBwIIAgkCCgILAjkCDQIIAggCCAIIAggCCAIIAggCCAIIAggCCAIIAggCCAIIAggCDgIDAnICHgACqAICAgMCBAIFAgYCBwIIAgkCCgILAjkCDQIIAggCCAIIAggCCAIIAggCCAIIAggCCAIIAggCCAIIAggCDgIDAosCHgACqAICAi0CBAIFAgYCBwIIAgkCCgILAjkCDQIIAggCCAIIAggCCAIIAggCCAIIAggCCAIIAggCCAIIAggCDgIDAl4CHgACqAICAjECBAIFAgYCBwIIAgkCCgILAjkCDQIIAggCCAIIAggCCAIIAggCCAIIAggCCAIIAggCCAIIAggCDgIDAk4CHgACqAICAh8CBAIFAgYCBwIIAgkCCgILAjkCDQIIAggCCAIIAggCCAIIAggCCAIIAggCCAIIAggCCAIIAggCDgIDAlgCHgACqAICAisCBAIFAgYCBwIIAgkCCgILAjkCDQIIAggCCAIIAggCCAIIAggCCAIIAggCCAIIAggCCAIIAggCDgIDAmkCHgACqAICAhsCBAIFAgYCBwIIAgkCCgILAjkCDQIIAggCCAIIAggCCAIIAggCCAIIAggCCAIIAggCCAIIAggCDgIDApUCHgACqAICAh0CBAIFAgYCBwIIAgkCCgILAjkCDQIIAggCCAIIAggCCAIIAggCCAIIAnoAAAF/CAIIAggCCAIIAggCCAIOAgMCcQIeAAKoAgICLwIEAgUCBgIHAggCCQIKAgsCOQINAggCCAIIAggCCAIIAggCCAIIAggCCAIIAggCCAIIAggCCAIOAgMCeQIeAAKoAgICJwIEAgUCBgIHAggCCQIKAgsCOQINAggCCAIIAggCCAIIAggCCAIIAggCCAIIAggCCAIIAggCCAIOAgMCOwIeAAKoAgICJQIEAgUCBgIHAggCCQIKAgsCOQINAggCCAIIAggCCAIIAggCCAIIAggCCAIIAggCCAIIAggCCAIOAgMCRQIeAAKoAgICIQIEAgUCBgIHAggCCQIKAgsCOQINAggCCAIIAggCCAIIAggCCAIIAggCCAIIAggCCAIIAggCCAIOAgMCfQIeAAKpAAkzMzA1NjUxNjACAgJjAgQCBQIGAgcCCAIJAqoABjE5MTAxNQILAgwCDQIIAggCCAIIAggCCAIIAggCCAIIAggCCAIIAggCCAIIAggCEwIDAqtzcQB+AAAAAAACc3EAfgAE///////////////+/////v////91cQB+AAcAAAADEmtYeHh3RQIeAAKpAgICIwIEAgUCBgIHAggCCQKqAgsCDAINAggCCAIIAggCCAIIAggCCAIIAggCCAIIAggCCAIIAggCCAITAgMCrHNxAH4AAAAAAAJzcQB+AAT///////////////7////+/////3VxAH4ABwAAAAMSnq94eHeKAh4AAqkCAgItAgQCBQIGAgcCCAIJAj0CCwIMAg0CCAIIAggCCAIIAggCCAIIAggCCAIIAggCCAIIAggCCAIIAhMCAwKaAh4AAqkCAgJKAgQCBQIGAgcCCAIJAj0CCwIMAg0CCAIIAggCCAIIAggCCAIIAggCCAIIAggCCAIIAggCCAIIAhMCAwKtc3EAfgAAAAAAAnNxAH4ABP///////////////v////7/////dXEAfgAHAAAAAzL3EXh4egAAARQCHgACqQICAh0CBAIFAgYCBwIIAgkCCgILAgwCDQIIAggCCAIIAggCCAIIAggCCAIIAggCCAIIAggCCAIIAggCEwIDAh4CHgACqQICAisCBAIFAgYCBwIIAgkCCgILAgwCDQIIAggCCAIIAggCCAIIAggCCAIIAggCCAIIAggCCAIIAggCEwIDAiwCHgACqQICAhsCBAIFAgYCBwIIAgkCPQILAgwCDQIIAggCCAIIAggCCAIIAggCCAIIAggCCAIIAggCCAIIAggCEwIDAqMCHgACqQICAmECBAIFAgYCBwIIAgkCqgILAgwCDQIIAggCCAIIAggCCAIIAggCCAIIAggCCAIIAggCCAIIAggCEwIDAq5zcQB+AAAAAAACc3EAfgAE///////////////+/////v////91cQB+AAcAAAADEmdreHh3RQIeAAKpAgICagIEAgUCBgIHAggCCQIKAgsCDAINAggCCAIIAggCCAIIAggCCAIIAggCCAIIAggCCAIIAggCCAITAgMCr3NxAH4AAAAAAAJzcQB+AAT///////////////7////+/////3VxAH4ABwAAAAQx77UZeHh3RQIeAAKpAgICagIEAgUCBgIHAggCCQKqAgsCDAINAggCCAIIAggCCAIIAggCCAIIAggCCAIIAggCCAIIAggCCAITAgMCsHNxAH4AAAAAAAJzcQB+AAT///////////////7////+/////3VxAH4ABwAAAAMSb0Z4eHeKAh4AAqkCAgIdAgQCBQIGAgcCCAIJAj0CCwIMAg0CCAIIAggCCAIIAggCCAIIAggCCAIIAggCCAIIAggCCAIIAhMCAwKfAh4AAqkCAgIrAgQCBQIGAgcCCAIJAqoCCwIMAg0CCAIIAggCCAIIAggCCAIIAggCCAIIAggCCAIIAggCCAIIAhMCAwKxc3EAfgAAAAAAAnNxAH4ABP///////////////v////7/////dXEAfgAHAAAAAxKiqHh4d88CHgACqQICAikCBAIFAgYCBwIIAgkCCgILAgwCDQIIAggCCAIIAggCCAIIAggCCAIIAggCCAIIAggCCAIIAggCEwIDAioCHgACqQICAjECBAIFAgYCBwIIAgkCPQILAgwCDQIIAggCCAIIAggCCAIIAggCCAIIAggCCAIIAggCCAIIAggCEwIDApwCHgACqQICAh8CBAIFAgYCBwIIAgkCqgILAgwCDQIIAggCCAIIAggCCAIIAggCCAIIAggCCAIIAggCCAIIAggCEwIDArJzcQB+AAAAAAACc3EAfgAE///////////////+/////v////91cQB+AAcAAAADEpbAeHh3RQIeAAKpAgICQwIEAgUCBgIHAggCCQKqAgsCDAINAggCCAIIAggCCAIIAggCCAIIAggCCAIIAggCCAIIAggCCAITAgMCs3NxAH4AAAAAAAJzcQB+AAT///////////////7////+/////3VxAH4ABwAAAAMSfwZ4eHdFAh4AAqkCAgJKAgQCBQIGAgcCCAIJAgoCCwIMAg0CCAIIAggCCAIIAggCCAIIAggCCAIIAggCCAIIAggCCAIIAhMCAwK0c3EAfgAAAAAAAnNxAH4ABP///////////////v////7/////dXEAfgAHAAAABDO8lpJ4eHdFAh4AAqkCAgJKAgQCBQIGAgcCCAIJAqoCCwIMAg0CCAIIAggCCAIIAggCCAIIAggCCAIIAggCCAIIAggCCAIIAhMCAwK1c3EAfgAAAAAAAnNxAH4ABP///////////////v////7/////dXEAfgAHAAAAAxJzNXh4d0UCHgACqQICAkMCBAIFAgYCBwIIAgkCCgILAgwCDQIIAggCCAIIAggCCAIIAggCCAIIAggCCAIIAggCCAIIAggCEwIDArZzcQB+AAAAAAACc3EAfgAE///////////////+/////v////91cQB+AAcAAAAEFay1n3h4d0UCHgACqQICAjwCBAIFAgYCBwIIAgkCqgILAgwCDQIIAggCCAIIAggCCAIIAggCCAIIAggCCAIIAggCCAIIAggCEwIDArdzcQB+AAAAAAACc3EAfgAE///////////////+/////v////91cQB+AAcAAAADEmN/eHh3zwIeAAKpAgICMwIEAgUCBgIHAggCCQI9AgsCDAINAggCCAIIAggCCAIIAggCCAIIAggCCAIIAggCCAIIAggCCAITAgMCmQIeAAKpAgICIwIEAgUCBgIHAggCCQI9AgsCDAINAggCCAIIAggCCAIIAggCCAIIAggCCAIIAggCCAIIAggCCAITAgMCmAIeAAKpAgICYwIEAgUCBgIHAggCCQI9AgsCDAINAggCCAIIAggCCAIIAggCCAIIAggCCAIIAggCCAIIAggCCAITAgMCuHNxAH4AAAAAAAJzcQB+AAT///////////////7////+/////3VxAH4ABwAAAAQBBpRgeHh3igIeAAKpAgICNQIEAgUCBgIHAggCCQKqAgsCDAINAggCCAIIAggCCAIIAggCCAIIAggCCAIIAggCCAIIAggCCAITAgMCUAIeAAKpAgICLQIEAgUCBgIHAggCCQKqAgsCDAINAggCCAIIAggCCAIIAggCCAIIAggCCAIIAggCCAIIAggCCAITAgMCuXNxAH4AAAAAAAJzcQB+AAT///////////////7////+/////3VxAH4ABwAAAAMSgvh4eHoAAAGeAh4AAqkCAgIbAgQCBQIGAgcCCAIJAgoCCwIMAg0CCAIIAggCCAIIAggCCAIIAggCCAIIAggCCAIIAggCCAIIAhMCAwIcAh4AAqkCAgIhAgQCBQIGAgcCCAIJAgoCCwIMAg0CCAIIAggCCAIIAggCCAIIAggCCAIIAggCCAIIAggCCAIIAhMCAwIiAh4AAqkCAgIpAgQCBQIGAgcCCAIJAqoCCwIMAg0CCAIIAggCCAIIAggCCAIIAggCCAIIAggCCAIIAggCCAIIAhMCAwJQAh4AAqkCAgItAgQCBQIGAgcCCAIJAgoCCwIMAg0CCAIIAggCCAIIAggCCAIIAggCCAIIAggCCAIIAggCCAIIAhMCAwIuAh4AAqkCAgI1AgQCBQIGAgcCCAIJAgoCCwIMAg0CCAIIAggCCAIIAggCCAIIAggCCAIIAggCCAIIAggCCAIIAhMCAwI2Ah4AAqkCAgJTAgQCBQIGAgcCCAIJAgoCCwIMAg0CCAIIAggCCAIIAggCCAIIAggCCAIIAggCCAIIAggCCAIIAhMCAwK6c3EAfgAAAAAAAnNxAH4ABP///////////////v////7/////dXEAfgAHAAAABAvREnR4eHdFAh4AAqkCAgJhAgQCBQIGAgcCCAIJAgoCCwIMAg0CCAIIAggCCAIIAggCCAIIAggCCAIIAggCCAIIAggCCAIIAhMCAwK7c3EAfgAAAAAAAnNxAH4ABP///////////////v////7/////dXEAfgAHAAAABCsQC1F4eHdFAh4AAqkCAgJTAgQCBQIGAgcCCAIJAqoCCwIMAg0CCAIIAggCCAIIAggCCAIIAggCCAIIAggCCAIIAggCCAIIAhMCAwK8c3EAfgAAAAAAAnNxAH4ABP///////////////v////7/////dXEAfgAHAAAAAxJ7FXh4d0UCHgACqQICAi8CBAIFAgYCBwIIAgkCqgILAgwCDQIIAggCCAIIAggCCAIIAggCCAIIAggCCAIIAggCCAIIAggCEwIDAr1zcQB+AAAAAAACc3EAfgAE///////////////+/////v////91cQB+AAcAAAADEpq3eHh3zwIeAAKpAgICLwIEAgUCBgIHAggCCQIKAgsCDAINAggCCAIIAggCCAIIAggCCAIIAggCCAIIAggCCAIIAggCCAITAgMCMAIeAAKpAgICIQIEAgUCBgIHAggCCQI9AgsCDAINAggCCAIIAggCCAIIAggCCAIIAggCCAIIAggCCAIIAggCCAITAgMCpQIeAAKpAgICTAIEAgUCBgIHAggCCQI9AgsCDAINAggCCAIIAggCCAIIAggCCAIIAggCCAIIAggCCAIIAggCCAITAgMCvnNxAH4AAAAAAAJzcQB+AAT///////////////7////+/////3VxAH4ABwAAAAQCUB7peHh3igIeAAKpAgICAwIEAgUCBgIHAggCCQI9AgsCDAINAggCCAIIAggCCAIIAggCCAIIAggCCAIIAggCCAIIAggCCAITAgMCnQIeAAKpAgICQwIEAgUCBgIHAggCCQI9AgsCDAINAggCCAIIAggCCAIIAggCCAIIAggCCAIIAggCCAIIAggCCAITAgMCv3NxAH4AAAAAAAJzcQB+AAT///////////////7////+/////3VxAH4ABwAAAAQdEKl0eHh3RQIeAAKpAgICJQIEAgUCBgIHAggCCQKqAgsCDAINAggCCAIIAggCCAIIAggCCAIIAggCCAIIAggCCAIIAggCCAITAgMCwHNxAH4AAAAAAAJzcQB+AAT///////////////7////+/////3VxAH4ABwAAAAMSjtR4eHdFAh4AAqkCAgJBAgQCBQIGAgcCCAIJAqoCCwIMAg0CCAIIAggCCAIIAggCCAIIAggCCAIIAggCCAIIAggCCAIIAhMCAwLBc3EAfgAAAAAAAnNxAH4ABP///////////////v////7/////dXEAfgAHAAAAAxJbqXh4d0UCHgACqQICAkECBAIFAgYCBwIIAgkCCgILAgwCDQIIAggCCAIIAggCCAIIAggCCAIIAggCCAIIAggCCAIIAggCEwIDAsJzcQB+AAAAAAACc3EAfgAE///////////////+/////v////91cQB+AAcAAAAEHq4JT3h4d4oCHgACqQICAiUCBAIFAgYCBwIIAgkCCgILAgwCDQIIAggCCAIIAggCCAIIAggCCAIIAggCCAIIAggCCAIIAggCEwIDAiYCHgACqQICAjMCBAIFAgYCBwIIAgkCqgILAgwCDQIIAggCCAIIAggCCAIIAggCCAIIAggCCAIIAggCCAIIAggCEwIDAsNzcQB+AAAAAAACc3EAfgAE///////////////+/////v////91cQB+AAcAAAADEqaieHh3RQIeAAKpAgICUwIEAgUCBgIHAggCCQI9AgsCDAINAggCCAIIAggCCAIIAggCCAIIAggCCAIIAggCCAIIAggCCAITAgMCxHNxAH4AAAAAAAJzcQB+AAT///////////////7////+/////3VxAH4ABwAAAAQlkNH7eHh3RQIeAAKpAgICPAIEAgUCBgIHAggCCQI9AgsCDAINAggCCAIIAggCCAIIAggCCAIIAggCCAIIAggCCAIIAggCCAITAgMCxXNxAH4AAAAAAAJzcQB+AAT///////////////7////+/////3VxAH4ABwAAAAQBzUp3eHh6AAABFAIeAAKpAgICNQIEAgUCBgIHAggCCQI9AgsCDAINAggCCAIIAggCCAIIAggCCAIIAggCCAIIAggCCAIIAggCCAITAgMCngIeAAKpAgICHwIEAgUCBgIHAggCCQI9AgsCDAINAggCCAIIAggCCAIIAggCCAIIAggCCAIIAggCCAIIAggCCAITAgMCpgIeAAKpAgICMwIEAgUCBgIHAggCCQIKAgsCDAINAggCCAIIAggCCAIIAggCCAIIAggCCAIIAggCCAIIAggCCAITAgMCNAIeAAKpAgICMQIEAgUCBgIHAggCCQKqAgsCDAINAggCCAIIAggCCAIIAggCCAIIAggCCAIIAggCCAIIAggCCAITAgMCxnNxAH4AAAAAAAJzcQB+AAT///////////////7////+/////3VxAH4ABwAAAAMSit94eHdFAh4AAqkCAgJHAgQCBQIGAgcCCAIJAgoCCwIMAg0CCAIIAggCCAIIAggCCAIIAggCCAIIAggCCAIIAggCCAIIAhMCAwLHc3EAfgAAAAAAAnNxAH4ABP///////////////v////7/////dXEAfgAHAAAABBuzHlx4eHdFAh4AAqkCAgJMAgQCBQIGAgcCCAIJAgoCCwIMAg0CCAIIAggCCAIIAggCCAIIAggCCAIIAggCCAIIAggCCAIIAhMCAwLIc3EAfgAAAAAAAnNxAH4ABP///////////////v////7/////dXEAfgAHAAAABCPGeP14eHdFAh4AAqkCAgJHAgQCBQIGAgcCCAIJAqoCCwIMAg0CCAIIAggCCAIIAggCCAIIAggCCAIIAggCCAIIAggCCAIIAhMCAwLJc3EAfgAAAAAAAnNxAH4ABP///////////////v////7/////dXEAfgAHAAAAAxJXv3h4d0UCHgACqQICAmECBAIFAgYCBwIIAgkCPQILAgwCDQIIAggCCAIIAggCCAIIAggCCAIIAggCCAIIAggCCAIIAggCEwIDAspzcQB+AAAAAAACc3EAfgAE///////////////+/////v////91cQB+AAcAAAAEAWTK8nh4egAAARQCHgACqQICAgMCBAIFAgYCBwIIAgkCCgILAgwCDQIIAggCCAIIAggCCAIIAggCCAIIAggCCAIIAggCCAIIAggCEwIDAg4CHgACqQICAicCBAIFAgYCBwIIAgkCPQILAgwCDQIIAggCCAIIAggCCAIIAggCCAIIAggCCAIIAggCCAIIAggCEwIDAqACHgACqQICAi8CBAIFAgYCBwIIAgkCPQILAgwCDQIIAggCCAIIAggCCAIIAggCCAIIAggCCAIIAggCCAIIAggCEwIDAqECHgACqQICAj8CBAIFAgYCBwIIAgkCPQILAgwCDQIIAggCCAIIAggCCAIIAggCCAIIAggCCAIIAggCCAIIAggCEwIDAstzcQB+AAAAAAACc3EAfgAE///////////////+/////gAAAAF1cQB+AAcAAAADuXJ8eHh3RQIeAAKpAgICIQIEAgUCBgIHAggCCQKqAgsCDAINAggCCAIIAggCCAIIAggCCAIIAggCCAIIAggCCAIIAggCCAITAgMCzHNxAH4AAAAAAAJzcQB+AAT///////////////7////+/////3VxAH4ABwAAAAMShut4eHeKAh4AAqkCAgIbAgQCBQIGAgcCCAIJAqoCCwIMAg0CCAIIAggCCAIIAggCCAIIAggCCAIIAggCCAIIAggCCAIIAhMCAwJQAh4AAqkCAgJBAgQCBQIGAgcCCAIJAj0CCwIMAg0CCAIIAggCCAIIAggCCAIIAggCCAIIAggCCAIIAggCCAIIAhMCAwLNc3EAfgAAAAAAAnNxAH4ABP///////////////v////7/////dXEAfgAHAAAABAL7S4t4eHdFAh4AAqkCAgI8AgQCBQIGAgcCCAIJAgoCCwIMAg0CCAIIAggCCAIIAggCCAIIAggCCAIIAggCCAIIAggCCAIIAhMCAwLOc3EAfgAAAAAAAnNxAH4ABP///////////////v////7/////dXEAfgAHAAAABCYvMsJ4eHfPAh4AAqkCAgIfAgQCBQIGAgcCCAIJAgoCCwIMAg0CCAIIAggCCAIIAggCCAIIAggCCAIIAggCCAIIAggCCAIIAhMCAwIgAh4AAqkCAgIlAgQCBQIGAgcCCAIJAj0CCwIMAg0CCAIIAggCCAIIAggCCAIIAggCCAIIAggCCAIIAggCCAIIAhMCAwKkAh4AAqkCAgJHAgQCBQIGAgcCCAIJAj0CCwIMAg0CCAIIAggCCAIIAggCCAIIAggCCAIIAggCCAIIAggCCAIIAhMCAwLPc3EAfgAAAAAAAnNxAH4ABP///////////////v////7/////dXEAfgAHAAAABARbkhB4eHdFAh4AAqkCAgIDAgQCBQIGAgcCCAIJAqoCCwIMAg0CCAIIAggCCAIIAggCCAIIAggCCAIIAggCCAIIAggCCAIIAhMCAwLQc3EAfgAAAAAAAnNxAH4ABP///////////////v////7/////dXEAfgAHAAAAAxKSynh4d0UCHgACqQICAkwCBAIFAgYCBwIIAgkCqgILAgwCDQIIAggCCAIIAggCCAIIAggCCAIIAggCCAIIAggCCAIIAggCEwIDAtFzcQB+AAAAAAACc3EAfgAE///////////////+/////v////91cQB+AAcAAAADEl+UeHh3RQIeAAKpAgICPwIEAgUCBgIHAggCCQKqAgsCDAINAggCCAIIAggCCAIIAggCCAIIAggCCAIIAggCCAIIAggCCAITAgMC0nNxAH4AAAAAAAJzcQB+AAT///////////////7////+/////3VxAH4ABwAAAAMSdyV4eHfPAh4AAqkCAgInAgQCBQIGAgcCCAIJAqoCCwIMAg0CCAIIAggCCAIIAggCCAIIAggCCAIIAggCCAIIAggCCAIIAhMCAwJQAh4AAqkCAgIxAgQCBQIGAgcCCAIJAgoCCwIMAg0CCAIIAggCCAIIAggCCAIIAggCCAIIAggCCAIIAggCCAIIAhMCAwIyAh4AAqkCAgJqAgQCBQIGAgcCCAIJAj0CCwIMAg0CCAIIAggCCAIIAggCCAIIAggCCAIIAggCCAIIAggCCAIIAhMCAwLTc3EAfgAAAAAAAnNxAH4ABP///////////////v////7/////dXEAfgAHAAAAA56yqnh4egAAARQCHgACqQICAisCBAIFAgYCBwIIAgkCPQILAgwCDQIIAggCCAIIAggCCAIIAggCCAIIAggCCAIIAggCCAIIAggCEwIDAqICHgACqQICAh0CBAIFAgYCBwIIAgkCqgILAgwCDQIIAggCCAIIAggCCAIIAggCCAIIAggCCAIIAggCCAIIAggCEwIDAlACHgACqQICAicCBAIFAgYCBwIIAgkCCgILAgwCDQIIAggCCAIIAggCCAIIAggCCAIIAggCCAIIAggCCAIIAggCEwIDAigCHgACqQICAmMCBAIFAgYCBwIIAgkCCgILAgwCDQIIAggCCAIIAggCCAIIAggCCAIIAggCCAIIAggCCAIIAggCEwIDAtRzcQB+AAAAAAACc3EAfgAE///////////////+/////v////91cQB+AAcAAAAELv3gknh4d0UCHgACqQICAj8CBAIFAgYCBwIIAgkCCgILAgwCDQIIAggCCAIIAggCCAIIAggCCAIIAggCCAIIAggCCAIIAggCEwIDAtVzcQB+AAAAAAACc3EAfgAE///////////////+/////v////91cQB+AAcAAAAENJhHI3h4egAABAACHgACqQICAiMCBAIFAgYCBwIIAgkCCgILAgwCDQIIAggCCAIIAggCCAIIAggCCAIIAggCCAIIAggCCAIIAggCEwIDAiQCHgACqQICAikCBAIFAgYCBwIIAgkCPQILAgwCDQIIAggCCAIIAggCCAIIAggCCAIIAggCCAIIAggCCAIIAggCEwIDApsCHgAC1gAJNDIxMjA5NDE2AgICSgIEAgUCBgIHAggCCQI9AgsCDAINAggCCAIIAggCCAIIAggCCAIIAggCCAIIAggCCAIIAggCCAIVAgMCrQIeAALWAgICLQIEAgUCBgIHAggCCQI9AgsCDAINAggCCAIIAggCCAIIAggCCAIIAggCCAIIAggCCAIIAggCCAIVAgMCmgIeAALWAgICYwIEAgUCBgIHAggCCQIKAgsCDAINAggCCAIIAggCCAIIAggCCAIIAggCCAIIAggCCAIIAggCCAIVAgMC1AIeAALWAgICYwIEAgUCBgIHAggCCQKqAgsCDAINAggCCAIIAggCCAIIAggCCAIIAggCCAIIAggCCAIIAggCCAIVAgMCqwIeAALWAgICKQIEAgUCBgIHAggCCQI9AgsCDAINAggCCAIIAggCCAIIAggCCAIIAggCCAIIAggCCAIIAggCCAIVAgMCmwIeAALWAgICYQIEAgUCBgIHAggCCQKqAgsCDAINAggCCAIIAggCCAIIAggCCAIIAggCCAIIAggCCAIIAggCCAIVAgMCrgIeAALWAgICLwIEAgUCBgIHAggCCQKqAgsCDAINAggCCAIIAggCCAIIAggCCAIIAggCCAIIAggCCAIIAggCCAIVAgMCvQIeAALWAgICKwIEAgUCBgIHAggCCQIKAgsCDAINAggCCAIIAggCCAIIAggCCAIIAggCCAIIAggCCAIIAggCCAIVAgMCLAIeAALWAgICagIEAgUCBgIHAggCCQI9AgsCDAINAggCCAIIAggCCAIIAggCCAIIAggCCAIIAggCCAIIAggCCAIVAgMC0wIeAALWAgICIQIEAgUCBgIHAggCCQI9AgsCDAINAggCCAIIAggCCAIIAggCCAIIAggCCAIIAggCCAIIAggCCAIVAgMCpQIeAALWAgICHQIEAgUCBgIHAggCCQIKAgsCDAINAggCCAIIAggCCAIIAggCCAIIAggCCAIIAggCCAIIAggCCAIVAgMCHgIeAALWAgICKwIEAgUCBgIHAggCCQI9AgsCDAINAggCCAIIAggCCAIIAggCCAIIAggCCAIIAggCCAIIAggCCAIVAgMCogIeAALWAgICagIEAgUCBgIHAggCCQIKAgsCDAINAggCCAIIAggCCAIIAggCCAIIegAABAACCAIIAggCCAIIAggCCAIIAhUCAwKvAh4AAtYCAgJqAgQCBQIGAgcCCAIJAqoCCwIMAg0CCAIIAggCCAIIAggCCAIIAggCCAIIAggCCAIIAggCCAIIAhUCAwKwAh4AAtYCAgIjAgQCBQIGAgcCCAIJAqoCCwIMAg0CCAIIAggCCAIIAggCCAIIAggCCAIIAggCCAIIAggCCAIIAhUCAwKsAh4AAtYCAgIdAgQCBQIGAgcCCAIJAqoCCwIMAg0CCAIIAggCCAIIAggCCAIIAggCCAIIAggCCAIIAggCCAIIAhUCAwJQAh4AAtYCAgIjAgQCBQIGAgcCCAIJAgoCCwIMAg0CCAIIAggCCAIIAggCCAIIAggCCAIIAggCCAIIAggCCAIIAhUCAwIkAh4AAtYCAgI8AgQCBQIGAgcCCAIJAgoCCwIMAg0CCAIIAggCCAIIAggCCAIIAggCCAIIAggCCAIIAggCCAIIAhUCAwLOAh4AAtYCAgI1AgQCBQIGAgcCCAIJAqoCCwIMAg0CCAIIAggCCAIIAggCCAIIAggCCAIIAggCCAIIAggCCAIIAhUCAwJQAh4AAtYCAgJTAgQCBQIGAgcCCAIJAgoCCwIMAg0CCAIIAggCCAIIAggCCAIIAggCCAIIAggCCAIIAggCCAIIAhUCAwK6Ah4AAtYCAgJTAgQCBQIGAgcCCAIJAqoCCwIMAg0CCAIIAggCCAIIAggCCAIIAggCCAIIAggCCAIIAggCCAIIAhUCAwK8Ah4AAtYCAgIzAgQCBQIGAgcCCAIJAj0CCwIMAg0CCAIIAggCCAIIAggCCAIIAggCCAIIAggCCAIIAggCCAIIAhUCAwKZAh4AAtYCAgIvAgQCBQIGAgcCCAIJAj0CCwIMAg0CCAIIAggCCAIIAggCCAIIAggCCAIIAggCCAIIAggCCAIIAhUCAwKhAh4AAtYCAgIpAgQCBQIGAgcCCAIJAqoCCwIMAg0CCAIIAggCCAIIAggCCAIIAggCCAIIAggCCAIIAggCCAIIAhUCAwJQAh4AAtYCAgIpAgQCBQIGAgcCCAIJAgoCCwIMAg0CCAIIAggCCAIIAggCCAIIAggCCAIIAggCCAIIAggCCAIIAhUCAwIqAh4AAtYCAgItAgQCBQIGAgcCCAIJAgoCCwIMAg0CCAIIAggCCAIIAggCCAIIAggCCAIIAggCCAIIAggCCAIIAhUCAwIuAh4AAtYCAgIrAgQCBQIGAgcCCAIJAqoCCwIMAg0CCAIIAggCCAIIAggCCAIIAggCCAIIAggCCAIIAggCCAIIAhUCAwKxAh4AAtYCAgItAgQCBQIGAgcCCAIJAqoCCwIMAg0CCAIIAggCegAABAAIAggCCAIIAggCCAIIAggCCAIIAggCCAIIAggCFQIDArkCHgAC1gICAjUCBAIFAgYCBwIIAgkCCgILAgwCDQIIAggCCAIIAggCCAIIAggCCAIIAggCCAIIAggCCAIIAggCFQIDAjYCHgAC1gICAmECBAIFAgYCBwIIAgkCPQILAgwCDQIIAggCCAIIAggCCAIIAggCCAIIAggCCAIIAggCCAIIAggCFQIDAsoCHgAC1gICAjwCBAIFAgYCBwIIAgkCqgILAgwCDQIIAggCCAIIAggCCAIIAggCCAIIAggCCAIIAggCCAIIAggCFQIDArcCHgAC1gICAh8CBAIFAgYCBwIIAgkCqgILAgwCDQIIAggCCAIIAggCCAIIAggCCAIIAggCCAIIAggCCAIIAggCFQIDArICHgAC1gICAiUCBAIFAgYCBwIIAgkCPQILAgwCDQIIAggCCAIIAggCCAIIAggCCAIIAggCCAIIAggCCAIIAggCFQIDAqQCHgAC1gICAkECBAIFAgYCBwIIAgkCPQILAgwCDQIIAggCCAIIAggCCAIIAggCCAIIAggCCAIIAggCCAIIAggCFQIDAs0CHgAC1gICAh8CBAIFAgYCBwIIAgkCCgILAgwCDQIIAggCCAIIAggCCAIIAggCCAIIAggCCAIIAggCCAIIAggCFQIDAiACHgAC1gICAkcCBAIFAgYCBwIIAgkCqgILAgwCDQIIAggCCAIIAggCCAIIAggCCAIIAggCCAIIAggCCAIIAggCFQIDAskCHgAC1gICAjECBAIFAgYCBwIIAgkCqgILAgwCDQIIAggCCAIIAggCCAIIAggCCAIIAggCCAIIAggCCAIIAggCFQIDAsYCHgAC1gICAjMCBAIFAgYCBwIIAgkCCgILAgwCDQIIAggCCAIIAggCCAIIAggCCAIIAggCCAIIAggCCAIIAggCFQIDAjQCHgAC1gICAlMCBAIFAgYCBwIIAgkCPQILAgwCDQIIAggCCAIIAggCCAIIAggCCAIIAggCCAIIAggCCAIIAggCFQIDAsQCHgAC1gICAjUCBAIFAgYCBwIIAgkCPQILAgwCDQIIAggCCAIIAggCCAIIAggCCAIIAggCCAIIAggCCAIIAggCFQIDAp4CHgAC1gICAkECBAIFAgYCBwIIAgkCCgILAgwCDQIIAggCCAIIAggCCAIIAggCCAIIAggCCAIIAggCCAIIAggCFQIDAsICHgAC1gICAjECBAIFAgYCBwIIAgkCCgILAgwCDQIIAggCCAIIAggCCAIIAggCCAIIAggCCAIIAggCCAIIAggCFQIDAjICHgAC1gICAkcCBAIFAgYCBwIIAgkCCgILegAABAACDAINAggCCAIIAggCCAIIAggCCAIIAggCCAIIAggCCAIIAggCCAIVAgMCxwIeAALWAgICAwIEAgUCBgIHAggCCQI9AgsCDAINAggCCAIIAggCCAIIAggCCAIIAggCCAIIAggCCAIIAggCCAIVAgMCnQIeAALWAgICMwIEAgUCBgIHAggCCQKqAgsCDAINAggCCAIIAggCCAIIAggCCAIIAggCCAIIAggCCAIIAggCCAIVAgMCwwIeAALWAgICTAIEAgUCBgIHAggCCQI9AgsCDAINAggCCAIIAggCCAIIAggCCAIIAggCCAIIAggCCAIIAggCCAIVAgMCvgIeAALWAgICQwIEAgUCBgIHAggCCQI9AgsCDAINAggCCAIIAggCCAIIAggCCAIIAggCCAIIAggCCAIIAggCCAIVAgMCvwIeAALWAgICJQIEAgUCBgIHAggCCQKqAgsCDAINAggCCAIIAggCCAIIAggCCAIIAggCCAIIAggCCAIIAggCCAIVAgMCwAIeAALWAgICPwIEAgUCBgIHAggCCQIKAgsCDAINAggCCAIIAggCCAIIAggCCAIIAggCCAIIAggCCAIIAggCCAIVAgMC1QIeAALWAgICTAIEAgUCBgIHAggCCQIKAgsCDAINAggCCAIIAggCCAIIAggCCAIIAggCCAIIAggCCAIIAggCCAIVAgMCyAIeAALWAgICQQIEAgUCBgIHAggCCQKqAgsCDAINAggCCAIIAggCCAIIAggCCAIIAggCCAIIAggCCAIIAggCCAIVAgMCwQIeAALWAgICPwIEAgUCBgIHAggCCQKqAgsCDAINAggCCAIIAggCCAIIAggCCAIIAggCCAIIAggCCAIIAggCCAIVAgMC0gIeAALWAgICPAIEAgUCBgIHAggCCQI9AgsCDAINAggCCAIIAggCCAIIAggCCAIIAggCCAIIAggCCAIIAggCCAIVAgMCxQIeAALWAgICHwIEAgUCBgIHAggCCQI9AgsCDAINAggCCAIIAggCCAIIAggCCAIIAggCCAIIAggCCAIIAggCCAIVAgMCpgIeAALWAgICJwIEAgUCBgIHAggCCQKqAgsCDAINAggCCAIIAggCCAIIAggCCAIIAggCCAIIAggCCAIIAggCCAIVAgMCUAIeAALWAgICJwIEAgUCBgIHAggCCQIKAgsCDAINAggCCAIIAggCCAIIAggCCAIIAggCCAIIAggCCAIIAggCCAIVAgMCKAIeAALWAgICJQIEAgUCBgIHAggCCQIKAgsCDAINAggCCAIIAggCCAIIAggCCAIIAggCCAIIAggCCAIIAggCCAIVAgMCJgIeAALWAgICMQIEAgUCegAABAAGAgcCCAIJAj0CCwIMAg0CCAIIAggCCAIIAggCCAIIAggCCAIIAggCCAIIAggCCAIIAhUCAwKcAh4AAtYCAgJMAgQCBQIGAgcCCAIJAqoCCwIMAg0CCAIIAggCCAIIAggCCAIIAggCCAIIAggCCAIIAggCCAIIAhUCAwLRAh4AAtYCAgJKAgQCBQIGAgcCCAIJAqoCCwIMAg0CCAIIAggCCAIIAggCCAIIAggCCAIIAggCCAIIAggCCAIIAhUCAwK1Ah4AAtYCAgIDAgQCBQIGAgcCCAIJAgoCCwIMAg0CCAIIAggCCAIIAggCCAIIAggCCAIIAggCCAIIAggCCAIIAhUCAwIOAh4AAtYCAgIDAgQCBQIGAgcCCAIJAqoCCwIMAg0CCAIIAggCCAIIAggCCAIIAggCCAIIAggCCAIIAggCCAIIAhUCAwLQAh4AAtYCAgJHAgQCBQIGAgcCCAIJAj0CCwIMAg0CCAIIAggCCAIIAggCCAIIAggCCAIIAggCCAIIAggCCAIIAhUCAwLPAh4AAtYCAgIvAgQCBQIGAgcCCAIJAgoCCwIMAg0CCAIIAggCCAIIAggCCAIIAggCCAIIAggCCAIIAggCCAIIAhUCAwIwAh4AAtYCAgJhAgQCBQIGAgcCCAIJAgoCCwIMAg0CCAIIAggCCAIIAggCCAIIAggCCAIIAggCCAIIAggCCAIIAhUCAwK7Ah4AAtYCAgIhAgQCBQIGAgcCCAIJAqoCCwIMAg0CCAIIAggCCAIIAggCCAIIAggCCAIIAggCCAIIAggCCAIIAhUCAwLMAh4AAtYCAgJDAgQCBQIGAgcCCAIJAqoCCwIMAg0CCAIIAggCCAIIAggCCAIIAggCCAIIAggCCAIIAggCCAIIAhUCAwKzAh4AAtYCAgIdAgQCBQIGAgcCCAIJAj0CCwIMAg0CCAIIAggCCAIIAggCCAIIAggCCAIIAggCCAIIAggCCAIIAhUCAwKfAh4AAtYCAgJDAgQCBQIGAgcCCAIJAgoCCwIMAg0CCAIIAggCCAIIAggCCAIIAggCCAIIAggCCAIIAggCCAIIAhUCAwK2Ah4AAtYCAgJKAgQCBQIGAgcCCAIJAgoCCwIMAg0CCAIIAggCCAIIAggCCAIIAggCCAIIAggCCAIIAggCCAIIAhUCAwK0Ah4AAtYCAgIjAgQCBQIGAgcCCAIJAj0CCwIMAg0CCAIIAggCCAIIAggCCAIIAggCCAIIAggCCAIIAggCCAIIAhUCAwKYAh4AAtYCAgInAgQCBQIGAgcCCAIJAj0CCwIMAg0CCAIIAggCCAIIAggCCAIIAggCCAIIAggCCAIIAggCCAIIAhUCAwKgAh4AegAABAAC1gICAmMCBAIFAgYCBwIIAgkCPQILAgwCDQIIAggCCAIIAggCCAIIAggCCAIIAggCCAIIAggCCAIIAggCFQIDArgCHgAC1gICAj8CBAIFAgYCBwIIAgkCPQILAgwCDQIIAggCCAIIAggCCAIIAggCCAIIAggCCAIIAggCCAIIAggCFQIDAssCHgAC1gICAiECBAIFAgYCBwIIAgkCCgILAgwCDQIIAggCCAIIAggCCAIIAggCCAIIAggCCAIIAggCCAIIAggCFQIDAiICHgAC1wAJNDIxMjExNzM2AgICHQIEAgUCBgIHAggCCQIKAgsCDAINAggCCAIIAggCCAIIAggCCAIIAggCCAIIAggCCAIIAggCCAIXAgMCHgIeAALXAgICKwIEAgUCBgIHAggCCQIKAgsCDAINAggCCAIIAggCCAIIAggCCAIIAggCCAIIAggCCAIIAggCCAIXAgMCLAIeAALXAgICIQIEAgUCBgIHAggCCQI9AgsCDAINAggCCAIIAggCCAIIAggCCAIIAggCCAIIAggCCAIIAggCCAIXAgMCpQIeAALXAgICKwIEAgUCBgIHAggCCQKqAgsCDAINAggCCAIIAggCCAIIAggCCAIIAggCCAIIAggCCAIIAggCCAIXAgMCsQIeAALXAgICagIEAgUCBgIHAggCCQKqAgsCDAINAggCCAIIAggCCAIIAggCCAIIAggCCAIIAggCCAIIAggCCAIXAgMCsAIeAALXAgICagIEAgUCBgIHAggCCQIKAgsCDAINAggCCAIIAggCCAIIAggCCAIIAggCCAIIAggCCAIIAggCCAIXAgMCrwIeAALXAgICSgIEAgUCBgIHAggCCQI9AgsCDAINAggCCAIIAggCCAIIAggCCAIIAggCCAIIAggCCAIIAggCCAIXAgMCrQIeAALXAgICIwIEAgUCBgIHAggCCQIKAgsCDAINAggCCAIIAggCCAIIAggCCAIIAggCCAIIAggCCAIIAggCCAIXAgMCJAIeAALXAgICLQIEAgUCBgIHAggCCQI9AgsCDAINAggCCAIIAggCCAIIAggCCAIIAggCCAIIAggCCAIIAggCCAIXAgMCmgIeAALXAgICIwIEAgUCBgIHAggCCQKqAgsCDAINAggCCAIIAggCCAIIAggCCAIIAggCCAIIAggCCAIIAggCCAIXAgMCrAIeAALXAgICHQIEAgUCBgIHAggCCQKqAgsCDAINAggCCAIIAggCCAIIAggCCAIIAggCCAIIAggCCAIIAggCCAIXAgMCUAIeAALXAgICYwIEAgUCBgIHAggCCQKqAgsCDAINAggCCAIIAggCCAIIAggCCAIIAggCegAABAAIAggCCAIIAggCCAIIAhcCAwKrAh4AAtcCAgJjAgQCBQIGAgcCCAIJAgoCCwIMAg0CCAIIAggCCAIIAggCCAIIAggCCAIIAggCCAIIAggCCAIIAhcCAwLUAh4AAtcCAgJBAgQCBQIGAgcCCAIJAj0CCwIMAg0CCAIIAggCCAIIAggCCAIIAggCCAIIAggCCAIIAggCCAIIAhcCAwLNAh4AAtcCAgJqAgQCBQIGAgcCCAIJAj0CCwIMAg0CCAIIAggCCAIIAggCCAIIAggCCAIIAggCCAIIAggCCAIIAhcCAwLTAh4AAtcCAgIrAgQCBQIGAgcCCAIJAj0CCwIMAg0CCAIIAggCCAIIAggCCAIIAggCCAIIAggCCAIIAggCCAIIAhcCAwKiAh4AAtcCAgIlAgQCBQIGAgcCCAIJAj0CCwIMAg0CCAIIAggCCAIIAggCCAIIAggCCAIIAggCCAIIAggCCAIIAhcCAwKkAh4AAtcCAgIxAgQCBQIGAgcCCAIJAgoCCwIMAg0CCAIIAggCCAIIAggCCAIIAggCCAIIAggCCAIIAggCCAIIAhcCAwIyAh4AAtcCAgItAgQCBQIGAgcCCAIJAqoCCwIMAg0CCAIIAggCCAIIAggCCAIIAggCCAIIAggCCAIIAggCCAIIAhcCAwK5Ah4AAtcCAgI1AgQCBQIGAgcCCAIJAqoCCwIMAg0CCAIIAggCCAIIAggCCAIIAggCCAIIAggCCAIIAggCCAIIAhcCAwJQAh4AAtcCAgJTAgQCBQIGAgcCCAIJAqoCCwIMAg0CCAIIAggCCAIIAggCCAIIAggCCAIIAggCCAIIAggCCAIIAhcCAwK8Ah4AAtcCAgJHAgQCBQIGAgcCCAIJAgoCCwIMAg0CCAIIAggCCAIIAggCCAIIAggCCAIIAggCCAIIAggCCAIIAhcCAwLHAh4AAtcCAgJHAgQCBQIGAgcCCAIJAqoCCwIMAg0CCAIIAggCCAIIAggCCAIIAggCCAIIAggCCAIIAggCCAIIAhcCAwLJAh4AAtcCAgItAgQCBQIGAgcCCAIJAgoCCwIMAg0CCAIIAggCCAIIAggCCAIIAggCCAIIAggCCAIIAggCCAIIAhcCAwIuAh4AAtcCAgIfAgQCBQIGAgcCCAIJAgoCCwIMAg0CCAIIAggCCAIIAggCCAIIAggCCAIIAggCCAIIAggCCAIIAhcCAwIgAh4AAtcCAgI1AgQCBQIGAgcCCAIJAgoCCwIMAg0CCAIIAggCCAIIAggCCAIIAggCCAIIAggCCAIIAggCCAIIAhcCAwI2Ah4AAtcCAgIzAgQCBQIGAgcCCAIJAj0CCwIMAg0CCAIIAggCCAIIegAABAACCAIIAggCCAIIAggCCAIIAggCCAIIAggCFwIDApkCHgAC1wICAi8CBAIFAgYCBwIIAgkCPQILAgwCDQIIAggCCAIIAggCCAIIAggCCAIIAggCCAIIAggCCAIIAggCFwIDAqECHgAC1wICAh8CBAIFAgYCBwIIAgkCqgILAgwCDQIIAggCCAIIAggCCAIIAggCCAIIAggCCAIIAggCCAIIAggCFwIDArICHgAC1wICAjwCBAIFAgYCBwIIAgkCqgILAgwCDQIIAggCCAIIAggCCAIIAggCCAIIAggCCAIIAggCCAIIAggCFwIDArcCHgAC1wICAjwCBAIFAgYCBwIIAgkCCgILAgwCDQIIAggCCAIIAggCCAIIAggCCAIIAggCCAIIAggCCAIIAggCFwIDAs4CHgAC1wICAiUCBAIFAgYCBwIIAgkCqgILAgwCDQIIAggCCAIIAggCCAIIAggCCAIIAggCCAIIAggCCAIIAggCFwIDAsACHgAC1wICAkECBAIFAgYCBwIIAgkCqgILAgwCDQIIAggCCAIIAggCCAIIAggCCAIIAggCCAIIAggCCAIIAggCFwIDAsECHgAC1wICAicCBAIFAgYCBwIIAgkCCgILAgwCDQIIAggCCAIIAggCCAIIAggCCAIIAggCCAIIAggCCAIIAggCFwIDAigCHgAC1wICAkMCBAIFAgYCBwIIAgkCPQILAgwCDQIIAggCCAIIAggCCAIIAggCCAIIAggCCAIIAggCCAIIAggCFwIDAr8CHgAC1wICAh8CBAIFAgYCBwIIAgkCPQILAgwCDQIIAggCCAIIAggCCAIIAggCCAIIAggCCAIIAggCCAIIAggCFwIDAqYCHgAC1wICAmECBAIFAgYCBwIIAgkCPQILAgwCDQIIAggCCAIIAggCCAIIAggCCAIIAggCCAIIAggCCAIIAggCFwIDAsoCHgAC1wICAjMCBAIFAgYCBwIIAgkCqgILAgwCDQIIAggCCAIIAggCCAIIAggCCAIIAggCCAIIAggCCAIIAggCFwIDAsMCHgAC1wICAgMCBAIFAgYCBwIIAgkCCgILAgwCDQIIAggCCAIIAggCCAIIAggCCAIIAggCCAIIAggCCAIIAggCFwIDAg4CHgAC1wICAlMCBAIFAgYCBwIIAgkCCgILAgwCDQIIAggCCAIIAggCCAIIAggCCAIIAggCCAIIAggCCAIIAggCFwIDAroCHgAC1wICAkwCBAIFAgYCBwIIAgkCqgILAgwCDQIIAggCCAIIAggCCAIIAggCCAIIAggCCAIIAggCCAIIAggCFwIDAtECHgAC1wICAkwCBAIFAgYCBwIIAgkCCgILAgwCegAABAANAggCCAIIAggCCAIIAggCCAIIAggCCAIIAggCCAIIAggCCAIXAgMCyAIeAALXAgICMQIEAgUCBgIHAggCCQKqAgsCDAINAggCCAIIAggCCAIIAggCCAIIAggCCAIIAggCCAIIAggCCAIXAgMCxgIeAALXAgICMwIEAgUCBgIHAggCCQIKAgsCDAINAggCCAIIAggCCAIIAggCCAIIAggCCAIIAggCCAIIAggCCAIXAgMCNAIeAALXAgICUwIEAgUCBgIHAggCCQI9AgsCDAINAggCCAIIAggCCAIIAggCCAIIAggCCAIIAggCCAIIAggCCAIXAgMCxAIeAALXAgICTAIEAgUCBgIHAggCCQI9AgsCDAINAggCCAIIAggCCAIIAggCCAIIAggCCAIIAggCCAIIAggCCAIXAgMCvgIeAALXAgICAwIEAgUCBgIHAggCCQI9AgsCDAINAggCCAIIAggCCAIIAggCCAIIAggCCAIIAggCCAIIAggCCAIXAgMCnQIeAALXAgICNQIEAgUCBgIHAggCCQI9AgsCDAINAggCCAIIAggCCAIIAggCCAIIAggCCAIIAggCCAIIAggCCAIXAgMCngIeAALXAgICPwIEAgUCBgIHAggCCQKqAgsCDAINAggCCAIIAggCCAIIAggCCAIIAggCCAIIAggCCAIIAggCCAIXAgMC0gIeAALXAgICJwIEAgUCBgIHAggCCQKqAgsCDAINAggCCAIIAggCCAIIAggCCAIIAggCCAIIAggCCAIIAggCCAIXAgMCUAIeAALXAgICPAIEAgUCBgIHAggCCQI9AgsCDAINAggCCAIIAggCCAIIAggCCAIIAggCCAIIAggCCAIIAggCCAIXAgMCxQIeAALXAgICJQIEAgUCBgIHAggCCQIKAgsCDAINAggCCAIIAggCCAIIAggCCAIIAggCCAIIAggCCAIIAggCCAIXAgMCJgIeAALXAgICPwIEAgUCBgIHAggCCQIKAgsCDAINAggCCAIIAggCCAIIAggCCAIIAggCCAIIAggCCAIIAggCCAIXAgMC1QIeAALXAgICQQIEAgUCBgIHAggCCQIKAgsCDAINAggCCAIIAggCCAIIAggCCAIIAggCCAIIAggCCAIIAggCCAIXAgMCwgIeAALXAgICLwIEAgUCBgIHAggCCQIKAgsCDAINAggCCAIIAggCCAIIAggCCAIIAggCCAIIAggCCAIIAggCCAIXAgMCMAIeAALXAgICIQIEAgUCBgIHAggCCQIKAgsCDAINAggCCAIIAggCCAIIAggCCAIIAggCCAIIAggCCAIIAggCCAIXAgMCIgIeAALXAgICJwIEAgUCBgIHegAABAACCAIJAj0CCwIMAg0CCAIIAggCCAIIAggCCAIIAggCCAIIAggCCAIIAggCCAIIAhcCAwKgAh4AAtcCAgJhAgQCBQIGAgcCCAIJAqoCCwIMAg0CCAIIAggCCAIIAggCCAIIAggCCAIIAggCCAIIAggCCAIIAhcCAwKuAh4AAtcCAgIdAgQCBQIGAgcCCAIJAj0CCwIMAg0CCAIIAggCCAIIAggCCAIIAggCCAIIAggCCAIIAggCCAIIAhcCAwKfAh4AAtcCAgIvAgQCBQIGAgcCCAIJAqoCCwIMAg0CCAIIAggCCAIIAggCCAIIAggCCAIIAggCCAIIAggCCAIIAhcCAwK9Ah4AAtcCAgJhAgQCBQIGAgcCCAIJAgoCCwIMAg0CCAIIAggCCAIIAggCCAIIAggCCAIIAggCCAIIAggCCAIIAhcCAwK7Ah4AAtcCAgIxAgQCBQIGAgcCCAIJAj0CCwIMAg0CCAIIAggCCAIIAggCCAIIAggCCAIIAggCCAIIAggCCAIIAhcCAwKcAh4AAtcCAgJHAgQCBQIGAgcCCAIJAj0CCwIMAg0CCAIIAggCCAIIAggCCAIIAggCCAIIAggCCAIIAggCCAIIAhcCAwLPAh4AAtcCAgIDAgQCBQIGAgcCCAIJAqoCCwIMAg0CCAIIAggCCAIIAggCCAIIAggCCAIIAggCCAIIAggCCAIIAhcCAwLQAh4AAtcCAgIjAgQCBQIGAgcCCAIJAj0CCwIMAg0CCAIIAggCCAIIAggCCAIIAggCCAIIAggCCAIIAggCCAIIAhcCAwKYAh4AAtcCAgJjAgQCBQIGAgcCCAIJAj0CCwIMAg0CCAIIAggCCAIIAggCCAIIAggCCAIIAggCCAIIAggCCAIIAhcCAwK4Ah4AAtcCAgI/AgQCBQIGAgcCCAIJAj0CCwIMAg0CCAIIAggCCAIIAggCCAIIAggCCAIIAggCCAIIAggCCAIIAhcCAwLLAh4AAtcCAgIhAgQCBQIGAgcCCAIJAqoCCwIMAg0CCAIIAggCCAIIAggCCAIIAggCCAIIAggCCAIIAggCCAIIAhcCAwLMAh4AAtcCAgJDAgQCBQIGAgcCCAIJAqoCCwIMAg0CCAIIAggCCAIIAggCCAIIAggCCAIIAggCCAIIAggCCAIIAhcCAwKzAh4AAtcCAgJKAgQCBQIGAgcCCAIJAqoCCwIMAg0CCAIIAggCCAIIAggCCAIIAggCCAIIAggCCAIIAggCCAIIAhcCAwK1Ah4AAtcCAgJDAgQCBQIGAgcCCAIJAgoCCwIMAg0CCAIIAggCCAIIAggCCAIIAggCCAIIAggCCAIIAggCCAIIAhcCAwK2Ah4AAtcCegAABAACAkoCBAIFAgYCBwIIAgkCCgILAgwCDQIIAggCCAIIAggCCAIIAggCCAIIAggCCAIIAggCCAIIAggCFwIDArQCHgAC2AAJNDIxMjEwNTc2AgICRwIEAgUCBgIHAggCCQI9AgsCOQINAggCCAIIAggCCAIIAggCCAIIAggCCAIIAggCCAIIAggCCAIWAgMCiAIeAALYAgICIwIEAgUCBgIHAggCCQI4AgsCOQINAggCCAIIAggCCAIIAggCCAIIAggCCAIIAggCCAIIAggCCAIWAgMCXwIeAALYAgICLQIEAgUCBgIHAggCCQIKAgsCOQINAggCCAIIAggCCAIIAggCCAIIAggCCAIIAggCCAIIAggCCAIWAgMCXgIeAALYAgICSgIEAgUCBgIHAggCCQIKAgsCOQINAggCCAIIAggCCAIIAggCCAIIAggCCAIIAggCCAIIAggCCAIWAgMCiQIeAALYAgICIQIEAgUCBgIHAggCCQIKAgsCOQINAggCCAIIAggCCAIIAggCCAIIAggCCAIIAggCCAIIAggCCAIWAgMCfQIeAALYAgICIQIEAgUCBgIHAggCCQI9AgsCOQINAggCCAIIAggCCAIIAggCCAIIAggCCAIIAggCCAIIAggCCAIWAgMCbgIeAALYAgICYQIEAgUCBgIHAggCCQI4AgsCOQINAggCCAIIAggCCAIIAggCCAIIAggCCAIIAggCCAIIAggCCAIWAgMCbwIeAALYAgICJQIEAgUCBgIHAggCCQI9AgsCOQINAggCCAIIAggCCAIIAggCCAIIAggCCAIIAggCCAIIAggCCAIWAgMCWgIeAALYAgICagIEAgUCBgIHAggCCQI4AgsCOQINAggCCAIIAggCCAIIAggCCAIIAggCCAIIAggCCAIIAggCCAIWAgMChgIeAALYAgICKwIEAgUCBgIHAggCCQI4AgsCOQINAggCCAIIAggCCAIIAggCCAIIAggCCAIIAggCCAIIAggCCAIWAgMCfAIeAALYAgICMQIEAgUCBgIHAggCCQIKAgsCOQINAggCCAIIAggCCAIIAggCCAIIAggCCAIIAggCCAIIAggCCAIWAgMCTgIeAALYAgICTAIEAgUCBgIHAggCCQI9AgsCOQINAggCCAIIAggCCAIIAggCCAIIAggCCAIIAggCCAIIAggCCAIWAgMCTQIeAALYAgICQwIEAgUCBgIHAggCCQI4AgsCOQINAggCCAIIAggCCAIIAggCCAIIAggCCAIIAggCCAIIAggCCAIWAgMCewIeAALYAgICAwIEAgUCBgIHAggCCQI9AgsCOQINAggCCAIIAggCCAIIAggCCAIIAggCCAIIegAABAACCAIIAggCCAIIAhYCAwJJAh4AAtgCAgItAgQCBQIGAgcCCAIJAj0CCwI5Ag0CCAIIAggCCAIIAggCCAIIAggCCAIIAggCCAIIAggCCAIIAhYCAwJ3Ah4AAtgCAgI8AgQCBQIGAgcCCAIJAjgCCwI5Ag0CCAIIAggCCAIIAggCCAIIAggCCAIIAggCCAIIAggCCAIIAhYCAwJ4Ah4AAtgCAgJKAgQCBQIGAgcCCAIJAjgCCwI5Ag0CCAIIAggCCAIIAggCCAIIAggCCAIIAggCCAIIAggCCAIIAhYCAwJLAh4AAtgCAgJKAgQCBQIGAgcCCAIJAj0CCwI5Ag0CCAIIAggCCAIIAggCCAIIAggCCAIIAggCCAIIAggCCAIIAhYCAwJtAh4AAtgCAgJTAgQCBQIGAgcCCAIJAj0CCwI5Ag0CCAIIAggCCAIIAggCCAIIAggCCAIIAggCCAIIAggCCAIIAhYCAwJUAh4AAtgCAgIfAgQCBQIGAgcCCAIJAjgCCwI5Ag0CCAIIAggCCAIIAggCCAIIAggCCAIIAggCCAIIAggCCAIIAhYCAwJ1Ah4AAtgCAgJBAgQCBQIGAgcCCAIJAgoCCwI5Ag0CCAIIAggCCAIIAggCCAIIAggCCAIIAggCCAIIAggCCAIIAhYCAwJCAh4AAtgCAgJHAgQCBQIGAgcCCAIJAgoCCwI5Ag0CCAIIAggCCAIIAggCCAIIAggCCAIIAggCCAIIAggCCAIIAhYCAwJSAh4AAtgCAgIlAgQCBQIGAgcCCAIJAgoCCwI5Ag0CCAIIAggCCAIIAggCCAIIAggCCAIIAggCCAIIAggCCAIIAhYCAwJFAh4AAtgCAgIDAgQCBQIGAgcCCAIJAjgCCwI5Ag0CCAIIAggCCAIIAggCCAIIAggCCAIIAggCCAIIAggCCAIIAhYCAwJXAh4AAtgCAgJMAgQCBQIGAgcCCAIJAjgCCwI5Ag0CCAIIAggCCAIIAggCCAIIAggCCAIIAggCCAIIAggCCAIIAhYCAwJZAh4AAtgCAgIdAgQCBQIGAgcCCAIJAjgCCwI5Ag0CCAIIAggCCAIIAggCCAIIAggCCAIIAggCCAIIAggCCAIIAhYCAwJQAh4AAtgCAgInAgQCBQIGAgcCCAIJAjgCCwI5Ag0CCAIIAggCCAIIAggCCAIIAggCCAIIAggCCAIIAggCCAIIAhYCAwJQAh4AAtgCAgJBAgQCBQIGAgcCCAIJAj0CCwI5Ag0CCAIIAggCCAIIAggCCAIIAggCCAIIAggCCAIIAggCCAIIAhYCAwJWAh4AAtgCAgIrAgQCBQIGAgcCCAIJAgoCCwI5Ag0CCAIIAggCCAIIAggCegAABAAIAggCCAIIAggCCAIIAggCCAIIAggCFgIDAmkCHgAC2AICAmoCBAIFAgYCBwIIAgkCCgILAjkCDQIIAggCCAIIAggCCAIIAggCCAIIAggCCAIIAggCCAIIAggCFgIDAmsCHgAC2AICAmECBAIFAgYCBwIIAgkCPQILAjkCDQIIAggCCAIIAggCCAIIAggCCAIIAggCCAIIAggCCAIIAggCFgIDAmICHgAC2AICAjMCBAIFAgYCBwIIAgkCPQILAjkCDQIIAggCCAIIAggCCAIIAggCCAIIAggCCAIIAggCCAIIAggCFgIDAmYCHgAC2AICAj8CBAIFAgYCBwIIAgkCOAILAjkCDQIIAggCCAIIAggCCAIIAggCCAIIAggCCAIIAggCCAIIAggCFgIDAmcCHgAC2AICAmMCBAIFAgYCBwIIAgkCOAILAjkCDQIIAggCCAIIAggCCAIIAggCCAIIAggCCAIIAggCCAIIAggCFgIDAmQCHgAC2AICAi8CBAIFAgYCBwIIAgkCPQILAjkCDQIIAggCCAIIAggCCAIIAggCCAIIAggCCAIIAggCCAIIAggCFgIDAmUCHgAC2AICAh8CBAIFAgYCBwIIAgkCCgILAjkCDQIIAggCCAIIAggCCAIIAggCCAIIAggCCAIIAggCCAIIAggCFgIDAlgCHgAC2AICAjMCBAIFAgYCBwIIAgkCOAILAjkCDQIIAggCCAIIAggCCAIIAggCCAIIAggCCAIIAggCCAIIAggCFgIDAoECHgAC2AICAmMCBAIFAgYCBwIIAgkCPQILAjkCDQIIAggCCAIIAggCCAIIAggCCAIIAggCCAIIAggCCAIIAggCFgIDAoQCHgAC2AICAlMCBAIFAgYCBwIIAgkCCgILAjkCDQIIAggCCAIIAggCCAIIAggCCAIIAggCCAIIAggCCAIIAggCFgIDAlsCHgAC2AICAjUCBAIFAgYCBwIIAgkCCgILAjkCDQIIAggCCAIIAggCCAIIAggCCAIIAggCCAIIAggCCAIIAggCFgIDAlwCHgAC2AICAjwCBAIFAgYCBwIIAgkCCgILAjkCDQIIAggCCAIIAggCCAIIAggCCAIIAggCCAIIAggCCAIIAggCFgIDAmACHgAC2AICAjECBAIFAgYCBwIIAgkCOAILAjkCDQIIAggCCAIIAggCCAIIAggCCAIIAggCCAIIAggCCAIIAggCFgIDAl0CHgAC2AICAkcCBAIFAgYCBwIIAgkCOAILAjkCDQIIAggCCAIIAggCCAIIAggCCAIIAggCCAIIAggCCAIIAggCFgIDAkgCHgAC2AICAiMCBAIFAgYCBwIIAgkCPQILAjkCDQIIegAABAACCAIIAggCCAIIAggCCAIIAggCCAIIAggCCAIIAggCCAIWAgMChQIeAALYAgICYQIEAgUCBgIHAggCCQIKAgsCOQINAggCCAIIAggCCAIIAggCCAIIAggCCAIIAggCCAIIAggCCAIWAgMCgAIeAALYAgICQwIEAgUCBgIHAggCCQI9AgsCOQINAggCCAIIAggCCAIIAggCCAIIAggCCAIIAggCCAIIAggCCAIWAgMCRAIeAALYAgICLwIEAgUCBgIHAggCCQIKAgsCOQINAggCCAIIAggCCAIIAggCCAIIAggCCAIIAggCCAIIAggCCAIWAgMCeQIeAALYAgICagIEAgUCBgIHAggCCQI9AgsCOQINAggCCAIIAggCCAIIAggCCAIIAggCCAIIAggCCAIIAggCCAIWAgMCegIeAALYAgICIQIEAgUCBgIHAggCCQI4AgsCOQINAggCCAIIAggCCAIIAggCCAIIAggCCAIIAggCCAIIAggCCAIWAgMCOgIeAALYAgICPwIEAgUCBgIHAggCCQIKAgsCOQINAggCCAIIAggCCAIIAggCCAIIAggCCAIIAggCCAIIAggCCAIWAgMCQAIeAALYAgICJwIEAgUCBgIHAggCCQIKAgsCOQINAggCCAIIAggCCAIIAggCCAIIAggCCAIIAggCCAIIAggCCAIWAgMCOwIeAALYAgICNQIEAgUCBgIHAggCCQI9AgsCOQINAggCCAIIAggCCAIIAggCCAIIAggCCAIIAggCCAIIAggCCAIWAgMCVQIeAALYAgICKwIEAgUCBgIHAggCCQI9AgsCOQINAggCCAIIAggCCAIIAggCCAIIAggCCAIIAggCCAIIAggCCAIWAgMCdgIeAALYAgICMwIEAgUCBgIHAggCCQIKAgsCOQINAggCCAIIAggCCAIIAggCCAIIAggCCAIIAggCCAIIAggCCAIWAgMCTwIeAALYAgICLQIEAgUCBgIHAggCCQI4AgsCOQINAggCCAIIAggCCAIIAggCCAIIAggCCAIIAggCCAIIAggCCAIWAgMCUQIeAALYAgICIwIEAgUCBgIHAggCCQIKAgsCOQINAggCCAIIAggCCAIIAggCCAIIAggCCAIIAggCCAIIAggCCAIWAgMCcgIeAALYAgICNQIEAgUCBgIHAggCCQI4AgsCOQINAggCCAIIAggCCAIIAggCCAIIAggCCAIIAggCCAIIAggCCAIWAgMCUAIeAALYAgICYwIEAgUCBgIHAggCCQIKAgsCOQINAggCCAIIAggCCAIIAggCCAIIAggCCAIIAggCCAIIAggCCAIWAgMCcwIeAALYAgICPAIEAgUCBgIHAggCegAABAAJAj0CCwI5Ag0CCAIIAggCCAIIAggCCAIIAggCCAIIAggCCAIIAggCCAIIAhYCAwI+Ah4AAtgCAgIdAgQCBQIGAgcCCAIJAj0CCwI5Ag0CCAIIAggCCAIIAggCCAIIAggCCAIIAggCCAIIAggCCAIIAhYCAwKCAh4AAtgCAgJTAgQCBQIGAgcCCAIJAjgCCwI5Ag0CCAIIAggCCAIIAggCCAIIAggCCAIIAggCCAIIAggCCAIIAhYCAwJwAh4AAtgCAgInAgQCBQIGAgcCCAIJAj0CCwI5Ag0CCAIIAggCCAIIAggCCAIIAggCCAIIAggCCAIIAggCCAIIAhYCAwKHAh4AAtgCAgIdAgQCBQIGAgcCCAIJAgoCCwI5Ag0CCAIIAggCCAIIAggCCAIIAggCCAIIAggCCAIIAggCCAIIAhYCAwJxAh4AAtgCAgIfAgQCBQIGAgcCCAIJAj0CCwI5Ag0CCAIIAggCCAIIAggCCAIIAggCCAIIAggCCAIIAggCCAIIAhYCAwJGAh4AAtgCAgIvAgQCBQIGAgcCCAIJAjgCCwI5Ag0CCAIIAggCCAIIAggCCAIIAggCCAIIAggCCAIIAggCCAIIAhYCAwJsAh4AAtgCAgI/AgQCBQIGAgcCCAIJAj0CCwI5Ag0CCAIIAggCCAIIAggCCAIIAggCCAIIAggCCAIIAggCCAIIAhYCAwKDAh4AAtgCAgIDAgQCBQIGAgcCCAIJAgoCCwI5Ag0CCAIIAggCCAIIAggCCAIIAggCCAIIAggCCAIIAggCCAIIAhYCAwKLAh4AAtgCAgJMAgQCBQIGAgcCCAIJAgoCCwI5Ag0CCAIIAggCCAIIAggCCAIIAggCCAIIAggCCAIIAggCCAIIAhYCAwKKAh4AAtgCAgJDAgQCBQIGAgcCCAIJAgoCCwI5Ag0CCAIIAggCCAIIAggCCAIIAggCCAIIAggCCAIIAggCCAIIAhYCAwJ/Ah4AAtgCAgIlAgQCBQIGAgcCCAIJAjgCCwI5Ag0CCAIIAggCCAIIAggCCAIIAggCCAIIAggCCAIIAggCCAIIAhYCAwJ+Ah4AAtgCAgJBAgQCBQIGAgcCCAIJAjgCCwI5Ag0CCAIIAggCCAIIAggCCAIIAggCCAIIAggCCAIIAggCCAIIAhYCAwKMAh4AAtgCAgIxAgQCBQIGAgcCCAIJAj0CCwI5Ag0CCAIIAggCCAIIAggCCAIIAggCCAIIAggCCAIIAggCCAIIAhYCAwKNAh4AAtkACTMzMDU2Mjg0MAICAh8CBAIFAgYCBwIIAgkCqgILAgwCDQIIAggCCAIIAggCCAIIAggCCAIIAggCCAIIAggCCAIIAggAAgMCegAABACyAh4AAtkCAgI8AgQCBQIGAgcCCAIJAqoCCwIMAg0CCAIIAggCCAIIAggCCAIIAggCCAIIAggCCAIIAggCCAIIAAIDArcCHgAC2QICAkMCBAIFAgYCBwIIAgkCCgILAgwCDQIIAggCCAIIAggCCAIIAggCCAIIAggCCAIIAggCCAIIAggAAgMCtgIeAALZAgICLwIEAgUCBgIHAggCCQIKAgsCDAINAggCCAIIAggCCAIIAggCCAIIAggCCAIIAggCCAIIAggCCAACAwIwAh4AAtkCAgJjAgQCBQIGAgcCCAIJAj0CCwIMAg0CCAIIAggCCAIIAggCCAIIAggCCAIIAggCCAIIAggCCAIIAAIDArgCHgAC2QICAmoCBAIFAgYCBwIIAgkCPQILAgwCDQIIAggCCAIIAggCCAIIAggCCAIIAggCCAIIAggCCAIIAggAAgMC0wIeAALZAgICKwIEAgUCBgIHAggCCQI9AgsCDAINAggCCAIIAggCCAIIAggCCAIIAggCCAIIAggCCAIIAggCCAACAwKiAh4AAtkCAgJDAgQCBQIGAgcCCAIJAqoCCwIMAg0CCAIIAggCCAIIAggCCAIIAggCCAIIAggCCAIIAggCCAIIAAIDArMCHgAC2QICAjwCBAIFAgYCBwIIAgkCCgILAgwCDQIIAggCCAIIAggCCAIIAggCCAIIAggCCAIIAggCCAIIAggAAgMCzgIeAALZAgICLwIEAgUCBgIHAggCCQKqAgsCDAINAggCCAIIAggCCAIIAggCCAIIAggCCAIIAggCCAIIAggCCAACAwK9Ah4AAtkCAgIfAgQCBQIGAgcCCAIJAgoCCwIMAg0CCAIIAggCCAIIAggCCAIIAggCCAIIAggCCAIIAggCCAIIAAIDAiACHgAC2QICAiMCBAIFAgYCBwIIAgkCPQILAgwCDQIIAggCCAIIAggCCAIIAggCCAIIAggCCAIIAggCCAIIAggAAgMCmAIeAALZAgICYQIEAgUCBgIHAggCCQIKAgsCDAINAggCCAIIAggCCAIIAggCCAIIAggCCAIIAggCCAIIAggCCAACAwK7Ah4AAtkCAgJhAgQCBQIGAgcCCAIJAqoCCwIMAg0CCAIIAggCCAIIAggCCAIIAggCCAIIAggCCAIIAggCCAIIAAIDAq4CHgAC2QICAh0CBAIFAgYCBwIIAgkCPQILAgwCDQIIAggCCAIIAggCCAIIAggCCAIIAggCCAIIAggCCAIIAggAAgMCnwIeAALZAgICagIEAgUCBgIHAggCCQIKAgsCDAINAggCCAIIAggCCAIIAggCCAIIAggCCAIIAggCCAIIAggCCAACAwKvAh4AegAABAAC2QICAiUCBAIFAgYCBwIIAgkCqgILAgwCDQIIAggCCAIIAggCCAIIAggCCAIIAggCCAIIAggCCAIIAggAAgMCwAIeAALZAgICJQIEAgUCBgIHAggCCQIKAgsCDAINAggCCAIIAggCCAIIAggCCAIIAggCCAIIAggCCAIIAggCCAACAwImAh4AAtkCAgIzAgQCBQIGAgcCCAIJAqoCCwIMAg0CCAIIAggCCAIIAggCCAIIAggCCAIIAggCCAIIAggCCAIIAAIDAsMCHgAC2QICAisCBAIFAgYCBwIIAgkCCgILAgwCDQIIAggCCAIIAggCCAIIAggCCAIIAggCCAIIAggCCAIIAggAAgMCLAIeAALZAgICQwIEAgUCBgIHAggCCQI9AgsCDAINAggCCAIIAggCCAIIAggCCAIIAggCCAIIAggCCAIIAggCCAACAwK/Ah4AAtkCAgJBAgQCBQIGAgcCCAIJAgoCCwIMAg0CCAIIAggCCAIIAggCCAIIAggCCAIIAggCCAIIAggCCAIIAAIDAsICHgAC2QICAi8CBAIFAgYCBwIIAgkCPQILAgwCDQIIAggCCAIIAggCCAIIAggCCAIIAggCCAIIAggCCAIIAggAAgMCoQIeAALZAgICQQIEAgUCBgIHAggCCQKqAgsCDAINAggCCAIIAggCCAIIAggCCAIIAggCCAIIAggCCAIIAggCCAACAwLBAh4AAtkCAgIpAgQCBQIGAgcCCAIJAgoCCwIMAg0CCAIIAggCCAIIAggCCAIIAggCCAIIAggCCAIIAggCCAIIAAIDAioCHgAC2QICAlMCBAIFAgYCBwIIAgkCCgILAgwCDQIIAggCCAIIAggCCAIIAggCCAIIAggCCAIIAggCCAIIAggAAgMCugIeAALZAgICYQIEAgUCBgIHAggCCQI9AgsCDAINAggCCAIIAggCCAIIAggCCAIIAggCCAIIAggCCAIIAggCCAACAwLKAh4AAtkCAgItAgQCBQIGAgcCCAIJAgoCCwIMAg0CCAIIAggCCAIIAggCCAIIAggCCAIIAggCCAIIAggCCAIIAAIDAi4CHgAC2QICAisCBAIFAgYCBwIIAgkCqgILAgwCDQIIAggCCAIIAggCCAIIAggCCAIIAggCCAIIAggCCAIIAggAAgMCsQIeAALZAgICSgIEAgUCBgIHAggCCQI9AgsCDAINAggCCAIIAggCCAIIAggCCAIIAggCCAIIAggCCAIIAggCCAACAwKtAh4AAtkCAgI1AgQCBQIGAgcCCAIJAgoCCwIMAg0CCAIIAggCCAIIAggCCAIIAggCCAIIAggCCAIIAggCCAIIAAIDAjYCHgAC2QICegAABAACGwIEAgUCBgIHAggCCQI9AgsCDAINAggCCAIIAggCCAIIAggCCAIIAggCCAIIAggCCAIIAggCCAACAwKjAh4AAtkCAgI1AgQCBQIGAgcCCAIJAqoCCwIMAg0CCAIIAggCCAIIAggCCAIIAggCCAIIAggCCAIIAggCCAIIAAIDAlACHgAC2QICAlMCBAIFAgYCBwIIAgkCqgILAgwCDQIIAggCCAIIAggCCAIIAggCCAIIAggCCAIIAggCCAIIAggAAgMCvAIeAALZAgICagIEAgUCBgIHAggCCQKqAgsCDAINAggCCAIIAggCCAIIAggCCAIIAggCCAIIAggCCAIIAggCCAACAwKwAh4AAtkCAgIhAgQCBQIGAgcCCAIJAj0CCwIMAg0CCAIIAggCCAIIAggCCAIIAggCCAIIAggCCAIIAggCCAIIAAIDAqUCHgAC2QICAhsCBAIFAgYCBwIIAgkCCgILAgwCDQIIAggCCAIIAggCCAIIAggCCAIIAggCCAIIAggCCAIIAggAAgMCHAIeAALZAgICIQIEAgUCBgIHAggCCQIKAgsCDAINAggCCAIIAggCCAIIAggCCAIIAggCCAIIAggCCAIIAggCCAACAwIiAh4AAtkCAgIlAgQCBQIGAgcCCAIJAj0CCwIMAg0CCAIIAggCCAIIAggCCAIIAggCCAIIAggCCAIIAggCCAIIAAIDAqQCHgAC2QICAi0CBAIFAgYCBwIIAgkCqgILAgwCDQIIAggCCAIIAggCCAIIAggCCAIIAggCCAIIAggCCAIIAggAAgMCuQIeAALZAgICQQIEAgUCBgIHAggCCQI9AgsCDAINAggCCAIIAggCCAIIAggCCAIIAggCCAIIAggCCAIIAggCCAACAwLNAh4AAtkCAgIhAgQCBQIGAgcCCAIJAqoCCwIMAg0CCAIIAggCCAIIAggCCAIIAggCCAIIAggCCAIIAggCCAIIAAIDAswCHgAC2QICAkoCBAIFAgYCBwIIAgkCqgILAgwCDQIIAggCCAIIAggCCAIIAggCCAIIAggCCAIIAggCCAIIAggAAgMCtQIeAALZAgICKQIEAgUCBgIHAggCCQKqAgsCDAINAggCCAIIAggCCAIIAggCCAIIAggCCAIIAggCCAIIAggCCAACAwJQAh4AAtkCAgIzAgQCBQIGAgcCCAIJAj0CCwIMAg0CCAIIAggCCAIIAggCCAIIAggCCAIIAggCCAIIAggCCAIIAAIDApkCHgAC2QICAjECBAIFAgYCBwIIAgkCPQILAgwCDQIIAggCCAIIAggCCAIIAggCCAIIAggCCAIIAggCCAIIAggAAgMCnAIeAALZAgICkgIEdzkCBQIGAgcCCAIJAj0CCwIMAg0CCAIIAggCCAIIAggCCAIIAggCCAIIAggCCAIIAggCCAIIAAIDAtpzcQB+AAAAAAACc3EAfgAE///////////////+/////v////91cQB+AAcAAAAEATJrz3h4d8wCHgAC2QICAkwCBAIFAgYCBwIIAgkCPQILAgwCDQIIAggCCAIIAggCCAIIAggCCAIIAggCCAIIAggCCAIIAggAAgMCvgIeAALZAgICAwIEAgUCBgIHAggCCQI9AgsCDAINAggCCAIIAggCCAIIAggCCAIIAggCCAIIAggCCAIIAggCCAACAwKdAh4AAtkCAgKSAgQCBQIGAgcCCAIJAgoCCwIMAg0CCAIIAggCCAIIAggCCAIIAggCCAIIAggCCAIIAggCCAIIAAIDAttzcQB+AAAAAAACc3EAfgAE///////////////+/////v////91cQB+AAcAAAAELvQU/3h4egAABAACHgAC2QICAkcCBAIFAgYCBwIIAgkCCgILAgwCDQIIAggCCAIIAggCCAIIAggCCAIIAggCCAIIAggCCAIIAggAAgMCxwIeAALZAgICSgIEAgUCBgIHAggCCQIKAgsCDAINAggCCAIIAggCCAIIAggCCAIIAggCCAIIAggCCAIIAggCCAACAwK0Ah4AAtkCAgIxAgQCBQIGAgcCCAIJAgoCCwIMAg0CCAIIAggCCAIIAggCCAIIAggCCAIIAggCCAIIAggCCAIIAAIDAjICHgAC2QICAjECBAIFAgYCBwIIAgkCqgILAgwCDQIIAggCCAIIAggCCAIIAggCCAIIAggCCAIIAggCCAIIAggAAgMCxgIeAALZAgICMwIEAgUCBgIHAggCCQIKAgsCDAINAggCCAIIAggCCAIIAggCCAIIAggCCAIIAggCCAIIAggCCAACAwI0Ah4AAtkCAgJTAgQCBQIGAgcCCAIJAj0CCwIMAg0CCAIIAggCCAIIAggCCAIIAggCCAIIAggCCAIIAggCCAIIAAIDAsQCHgAC2QICAj8CBAIFAgYCBwIIAgkCPQILAgwCDQIIAggCCAIIAggCCAIIAggCCAIIAggCCAIIAggCCAIIAggAAgMCywIeAALZAgICGwIEAgUCBgIHAggCCQKqAgsCDAINAggCCAIIAggCCAIIAggCCAIIAggCCAIIAggCCAIIAggCCAACAwJQAh4AAtkCAgJHAgQCBQIGAgcCCAIJAqoCCwIMAg0CCAIIAggCCAIIAggCCAIIAggCCAIIAggCCAIIAggCCAIIAAIDAskCHgAC2QICAicCBAIFAgYCBwIIAgkCPQILAgwCDQIIAggCCAIIAggCCAIIAggCCAIIAggCCAIIAggCCAIIAggAAgMCoAIeAALZAgICHwIEAgUCBgIHAggCCQI9AgsCDAINAggCCAIIAggCCAIIAggCCAIIAggCCAIIAggCCAIIAggCCAACAwKmAh4AAtkCAgI/AgQCBQIGAgcCCAIJAgoCCwIMAg0CCAIIAggCCAIIAggCCAIIAggCCAIIAggCCAIIAggCCAIIAAIDAtUCHgAC2QICAiMCBAIFAgYCBwIIAgkCqgILAgwCDQIIAggCCAIIAggCCAIIAggCCAIIAggCCAIIAggCCAIIAggAAgMCrAIeAALZAgICPAIEAgUCBgIHAggCCQI9AgsCDAINAggCCAIIAggCCAIIAggCCAIIAggCCAIIAggCCAIIAggCCAACAwLFAh4AAtkCAgInAgQCBQIGAgcCCAIJAgoCCwIMAg0CCAIIAggCCAIIAggCCAIIAggCCAIIAggCCAIIAggCCAIIAAIDAigCHgACegAABADZAgICLQIEAgUCBgIHAggCCQI9AgsCDAINAggCCAIIAggCCAIIAggCCAIIAggCCAIIAggCCAIIAggCCAACAwKaAh4AAtkCAgI1AgQCBQIGAgcCCAIJAj0CCwIMAg0CCAIIAggCCAIIAggCCAIIAggCCAIIAggCCAIIAggCCAIIAAIDAp4CHgAC2QICAikCBAIFAgYCBwIIAgkCPQILAgwCDQIIAggCCAIIAggCCAIIAggCCAIIAggCCAIIAggCCAIIAggAAgMCmwIeAALZAgICkgIEAgUCBgIHAggCCQKqAgsCDAINAggCCAIIAggCCAIIAggCCAIIAggCCAIIAggCCAIIAggCCAACAwJQAh4AAtkCAgI/AgQCBQIGAgcCCAIJAqoCCwIMAg0CCAIIAggCCAIIAggCCAIIAggCCAIIAggCCAIIAggCCAIIAAIDAtICHgAC2QICAmMCBAIFAgYCBwIIAgkCqgILAgwCDQIIAggCCAIIAggCCAIIAggCCAIIAggCCAIIAggCCAIIAggAAgMCqwIeAALZAgICTAIEAgUCBgIHAggCCQKqAgsCDAINAggCCAIIAggCCAIIAggCCAIIAggCCAIIAggCCAIIAggCCAACAwLRAh4AAtkCAgJjAgQCBQIGAgcCCAIJAgoCCwIMAg0CCAIIAggCCAIIAggCCAIIAggCCAIIAggCCAIIAggCCAIIAAIDAtQCHgAC2QICAh0CBAIFAgYCBwIIAgkCqgILAgwCDQIIAggCCAIIAggCCAIIAggCCAIIAggCCAIIAggCCAIIAggAAgMCUAIeAALZAgICRwIEAgUCBgIHAggCCQI9AgsCDAINAggCCAIIAggCCAIIAggCCAIIAggCCAIIAggCCAIIAggCCAACAwLPAh4AAtkCAgIjAgQCBQIGAgcCCAIJAgoCCwIMAg0CCAIIAggCCAIIAggCCAIIAggCCAIIAggCCAIIAggCCAIIAAIDAiQCHgAC2QICAicCBAIFAgYCBwIIAgkCqgILAgwCDQIIAggCCAIIAggCCAIIAggCCAIIAggCCAIIAggCCAIIAggAAgMCUAIeAALZAgICAwIEAgUCBgIHAggCCQIKAgsCDAINAggCCAIIAggCCAIIAggCCAIIAggCCAIIAggCCAIIAggCCAACAwIOAh4AAtkCAgIDAgQCBQIGAgcCCAIJAqoCCwIMAg0CCAIIAggCCAIIAggCCAIIAggCCAIIAggCCAIIAggCCAIIAAIDAtACHgAC2QICAkwCBAIFAgYCBwIIAgkCCgILAgwCDQIIAggCCAIIAggCCAIIAggCCAIIAggCCAIIAggCCAIIAggAAgMCyAIeAALZAgICegAABAAdAgQCBQIGAgcCCAIJAgoCCwIMAg0CCAIIAggCCAIIAggCCAIIAggCCAIIAggCCAIIAggCCAIIAAIDAh4CHgAC3AAJMzE2Nzg1MjgwAgICLwIEAgUCBgIHAggCCQI9AgsCOQINAggCCAIIAggCCAIIAggCCAIIAggCCAIIAggCCAIIAggCCAIgAgMCZQIeAALcAgICHQIEAgUCBgIHAggCCQI9AgsCOQINAggCCAIIAggCCAIIAggCCAIIAggCCAIIAggCCAIIAggCCAIgAgMCggIeAALcAgICKwIEAgUCBgIHAggCCQI9AgsCOQINAggCCAIIAggCCAIIAggCCAIIAggCCAIIAggCCAIIAggCCAIgAgMCdgIeAALcAgICAwIEAgUCBgIHAggCCQI9AgsCOQINAggCCAIIAggCCAIIAggCCAIIAggCCAIIAggCCAIIAggCCAIgAgMCSQIeAALcAgICIQIEAgUCBgIHAggCCQI9AgsCOQINAggCCAIIAggCCAIIAggCCAIIAggCCAIIAggCCAIIAggCCAIgAgMCbgIeAALcAgICJwIEAgUCBgIHAggCCQI9AgsCOQINAggCCAIIAggCCAIIAggCCAIIAggCCAIIAggCCAIIAggCCAIgAgMChwIeAALcAgICGwIEAgUCBgIHAggCCQI9AgsCOQINAggCCAIIAggCCAIIAggCCAIIAggCCAIIAggCCAIIAggCCAIgAgMCkwIeAALcAgICMwIEAgUCBgIHAggCCQI9AgsCOQINAggCCAIIAggCCAIIAggCCAIIAggCCAIIAggCCAIIAggCCAIgAgMCZgIeAALcAgICLQIEAgUCBgIHAggCCQI9AgsCOQINAggCCAIIAggCCAIIAggCCAIIAggCCAIIAggCCAIIAggCCAIgAgMCdwIeAALcAgICHwIEAgUCBgIHAggCCQI9AgsCOQINAggCCAIIAggCCAIIAggCCAIIAggCCAIIAggCCAIIAggCCAIgAgMCRgIeAALcAgICJQIEAgUCBgIHAggCCQI9AgsCOQINAggCCAIIAggCCAIIAggCCAIIAggCCAIIAggCCAIIAggCCAIgAgMCWgIeAALcAgICIwIEAgUCBgIHAggCCQI9AgsCOQINAggCCAIIAggCCAIIAggCCAIIAggCCAIIAggCCAIIAggCCAIgAgMChQIeAALcAgICNQIEAgUCBgIHAggCCQI9AgsCOQINAggCCAIIAggCCAIIAggCCAIIAggCCAIIAggCCAIIAggCCAIgAgMCVQIeAALcAgICMQIEAgUCBgIHAggCCQI9AgsCOQINAggCCAIIAggCCAIIAggCCAIIAggCCAIIAggCegAABAAIAggCCAIIAiACAwKNAh4AAtwCAgIpAgQCBQIGAgcCCAIJAj0CCwI5Ag0CCAIIAggCCAIIAggCCAIIAggCCAIIAggCCAIIAggCCAIIAiACAwJ0Ah4AAt0ACTMzMDU1OTM2MAICAicCBAIFAgYCBwIIAgkCOAILAjkCDQIIAggCCAIIAggCCAIIAggCCAIIAggCCAIIAggCCAIIAggCEAIDAlACHgAC3QICAj8CBAIFAgYCBwIIAgkCOAILAjkCDQIIAggCCAIIAggCCAIIAggCCAIIAggCCAIIAggCCAIIAggCEAIDAmcCHgAC3QICAmECBAIFAgYCBwIIAgkCCgILAjkCDQIIAggCCAIIAggCCAIIAggCCAIIAggCCAIIAggCCAIIAggCEAIDAoACHgAC3QICAmoCBAIFAgYCBwIIAgkCPQILAjkCDQIIAggCCAIIAggCCAIIAggCCAIIAggCCAIIAggCCAIIAggCEAIDAnoCHgAC3QICAi8CBAIFAgYCBwIIAgkCCgILAjkCDQIIAggCCAIIAggCCAIIAggCCAIIAggCCAIIAggCCAIIAggCEAIDAnkCHgAC3QICAt4ABjIwMTgwNQIEAgUCBgIHAggCCQI4AgsCOQINAggCCAIIAggCCAIIAggCCAIIAggCCAIIAggCCAIIAggCCAIQAgMCUAIeAALdAgICJQIEAgUCBgIHAggCCQI4AgsCOQINAggCCAIIAggCCAIIAggCCAIIAggCCAIIAggCCAIIAggCCAIQAgMCfgIeAALdAgICQwIEAgUCBgIHAggCCQIKAgsCOQINAggCCAIIAggCCAIIAggCCAIIAggCCAIIAggCCAIIAggCCAIQAgMCfwIeAALdAgICKwIEAgUCBgIHAggCCQI9AgsCOQINAggCCAIIAggCCAIIAggCCAIIAggCCAIIAggCCAIIAggCCAIQAgMCdgIeAALdAgICQQIEAgUCBgIHAggCCQI4AgsCOQINAggCCAIIAggCCAIIAggCCAIIAggCCAIIAggCCAIIAggCCAIQAgMCjAIeAALdAgICUwIEAgUCBgIHAggCCQI4AgsCOQINAggCCAIIAggCCAIIAggCCAIIAggCCAIIAggCCAIIAggCCAIQAgMCcAIeAALdAgICNQIEAgUCBgIHAggCCQI4AgsCOQINAggCCAIIAggCCAIIAggCCAIIAggCCAIIAggCCAIIAggCCAIQAgMCUAIeAALdAgICPAIEAgUCBgIHAggCCQIKAgsCOQINAggCCAIIAggCCAIIAggCCAIIAggCCAIIAggCCAIIAggCCAIQAgMCYAIeAALdAgICHwIEAgUCBgIHAggCCQIKAgsCegAABAA5Ag0CCAIIAggCCAIIAggCCAIIAggCCAIIAggCCAIIAggCCAIIAhACAwJYAh4AAt0CAgIdAgQCBQIGAgcCCAIJAj0CCwI5Ag0CCAIIAggCCAIIAggCCAIIAggCCAIIAggCCAIIAggCCAIIAhACAwKCAh4AAt0CAgJMAgQCBQIGAgcCCAIJAjgCCwI5Ag0CCAIIAggCCAIIAggCCAIIAggCCAIIAggCCAIIAggCCAIIAhACAwJZAh4AAt0CAgIDAgQCBQIGAgcCCAIJAjgCCwI5Ag0CCAIIAggCCAIIAggCCAIIAggCCAIIAggCCAIIAggCCAIIAhACAwJXAh4AAt0CAgIjAgQCBQIGAgcCCAIJAj0CCwI5Ag0CCAIIAggCCAIIAggCCAIIAggCCAIIAggCCAIIAggCCAIIAhACAwKFAh4AAt0CAgJjAgQCBQIGAgcCCAIJAj0CCwI5Ag0CCAIIAggCCAIIAggCCAIIAggCCAIIAggCCAIIAggCCAIIAhACAwKEAh4AAt0CAgJqAgQCBQIGAgcCCAIJAgoCCwI5Ag0CCAIIAggCCAIIAggCCAIIAggCCAIIAggCCAIIAggCCAIIAhACAwJrAh4AAt0CAgIrAgQCBQIGAgcCCAIJAgoCCwI5Ag0CCAIIAggCCAIIAggCCAIIAggCCAIIAggCCAIIAggCCAIIAhACAwJpAh4AAt0CAgJDAgQCBQIGAgcCCAIJAj0CCwI5Ag0CCAIIAggCCAIIAggCCAIIAggCCAIIAggCCAIIAggCCAIIAhACAwJEAh4AAt0CAgJBAgQCBQIGAgcCCAIJAgoCCwI5Ag0CCAIIAggCCAIIAggCCAIIAggCCAIIAggCCAIIAggCCAIIAhACAwJCAh4AAt0CAgJhAgQCBQIGAgcCCAIJAj0CCwI5Ag0CCAIIAggCCAIIAggCCAIIAggCCAIIAggCCAIIAggCCAIIAhACAwJiAh4AAt0CAgIvAgQCBQIGAgcCCAIJAj0CCwI5Ag0CCAIIAggCCAIIAggCCAIIAggCCAIIAggCCAIIAggCCAIIAhACAwJlAh4AAt0CAgIfAgQCBQIGAgcCCAIJAjgCCwI5Ag0CCAIIAggCCAIIAggCCAIIAggCCAIIAggCCAIIAggCCAIIAhACAwJ1Ah4AAt0CAgI8AgQCBQIGAgcCCAIJAjgCCwI5Ag0CCAIIAggCCAIIAggCCAIIAggCCAIIAggCCAIIAggCCAIIAhACAwJ4Ah4AAt0CAgJjAgQCBQIGAgcCCAIJAjgCCwI5Ag0CCAIIAggCCAIIAggCCAIIAggCCAIIAggCCAIIAggCCAIIAhACAwJkAh4AAt0CAgIpAgQCBQIGegAABAACBwIIAgkCCgILAjkCDQIIAggCCAIIAggCCAIIAggCCAIIAggCCAIIAggCCAIIAggCEAIDAmgCHgAC3QICAlMCBAIFAgYCBwIIAgkCCgILAjkCDQIIAggCCAIIAggCCAIIAggCCAIIAggCCAIIAggCCAIIAggCEAIDAlsCHgAC3QICApICBAIFAgYCBwIIAgkCOAILAjkCDQIIAggCCAIIAggCCAIIAggCCAIIAggCCAIIAggCCAIIAggCEAIDAlACHgAC3QICAkoCBAIFAgYCBwIIAgkCPQILAjkCDQIIAggCCAIIAggCCAIIAggCCAIIAggCCAIIAggCCAIIAggCEAIDAm0CHgAC3QICAi0CBAIFAgYCBwIIAgkCCgILAjkCDQIIAggCCAIIAggCCAIIAggCCAIIAggCCAIIAggCCAIIAggCEAIDAl4CHgAC3QICAjUCBAIFAgYCBwIIAgkCCgILAjkCDQIIAggCCAIIAggCCAIIAggCCAIIAggCCAIIAggCCAIIAggCEAIDAlwCHgAC3QICAiUCBAIFAgYCBwIIAgkCCgILAjkCDQIIAggCCAIIAggCCAIIAggCCAIIAggCCAIIAggCCAIIAggCEAIDAkUCHgAC3QICAt4CBAIFAgYCBwIIAgkCCgILAjkCDQIIAggCCAIIAggCCAIIAggCCAIIAggCCAIIAggCCAIIAggCEAIDApQCHgAC3QICAjECBAIFAgYCBwIIAgkCOAILAjkCDQIIAggCCAIIAggCCAIIAggCCAIIAggCCAIIAggCCAIIAggCEAIDAl0CHgAC3QICAkcCBAIFAgYCBwIIAgkCOAILAjkCDQIIAggCCAIIAggCCAIIAggCCAIIAggCCAIIAggCCAIIAggCEAIDAkgCHgAC3QICAhsCBAIFAgYCBwIIAgkCPQILAjkCDQIIAggCCAIIAggCCAIIAggCCAIIAggCCAIIAggCCAIIAggCEAIDApMCHgAC3QICAiECBAIFAgYCBwIIAgkCPQILAjkCDQIIAggCCAIIAggCCAIIAggCCAIIAggCCAIIAggCCAIIAggCEAIDAm4CHgAC3QICAisCBAIFAgYCBwIIAgkCOAILAjkCDQIIAggCCAIIAggCCAIIAggCCAIIAggCCAIIAggCCAIIAggCEAIDAnwCHgAC3QICAkECBAIFAgYCBwIIAgkCPQILAjkCDQIIAggCCAIIAggCCAIIAggCCAIIAggCCAIIAggCCAIIAggCEAIDAlYCHgAC3QICAiUCBAIFAgYCBwIIAgkCPQILAjkCDQIIAggCCAIIAggCCAIIAggCCAIIAggCCAIIAggCCAIIAggCEAIDAloCHgACegAABADdAgICagIEAgUCBgIHAggCCQI4AgsCOQINAggCCAIIAggCCAIIAggCCAIIAggCCAIIAggCCAIIAggCCAIQAgMChgIeAALdAgIC3gIEAgUCBgIHAggCCQI9AgsCOQINAggCCAIIAggCCAIIAggCCAIIAggCCAIIAggCCAIIAggCCAIQAgMClgIeAALdAgICIQIEAgUCBgIHAggCCQIKAgsCOQINAggCCAIIAggCCAIIAggCCAIIAggCCAIIAggCCAIIAggCCAIQAgMCfQIeAALdAgICPwIEAgUCBgIHAggCCQI9AgsCOQINAggCCAIIAggCCAIIAggCCAIIAggCCAIIAggCCAIIAggCCAIQAgMCgwIeAALdAgICHQIEAgUCBgIHAggCCQI4AgsCOQINAggCCAIIAggCCAIIAggCCAIIAggCCAIIAggCCAIIAggCCAIQAgMCUAIeAALdAgICMwIEAgUCBgIHAggCCQI9AgsCOQINAggCCAIIAggCCAIIAggCCAIIAggCCAIIAggCCAIIAggCCAIQAgMCZgIeAALdAgICAwIEAgUCBgIHAggCCQI9AgsCOQINAggCCAIIAggCCAIIAggCCAIIAggCCAIIAggCCAIIAggCCAIQAgMCSQIeAALdAgICkgIEAgUCBgIHAggCCQIKAgsCOQINAggCCAIIAggCCAIIAggCCAIIAggCCAIIAggCCAIIAggCCAIQAgMClAIeAALdAgICSgIEAgUCBgIHAggCCQI4AgsCOQINAggCCAIIAggCCAIIAggCCAIIAggCCAIIAggCCAIIAggCCAIQAgMCSwIeAALdAgICKQIEAgUCBgIHAggCCQI4AgsCOQINAggCCAIIAggCCAIIAggCCAIIAggCCAIIAggCCAIIAggCCAIQAgMCUAIeAALdAgICLQIEAgUCBgIHAggCCQI4AgsCOQINAggCCAIIAggCCAIIAggCCAIIAggCCAIIAggCCAIIAggCCAIQAgMCUQIeAALdAgICkgIEAgUCBgIHAggCCQI9AgsCOQINAggCCAIIAggCCAIIAggCCAIIAggCCAIIAggCCAIIAggCCAIQAgMClgIeAALdAgICIwIEAgUCBgIHAggCCQI4AgsCOQINAggCCAIIAggCCAIIAggCCAIIAggCCAIIAggCCAIIAggCCAIQAgMCXwIeAALdAgICUwIEAgUCBgIHAggCCQI9AgsCOQINAggCCAIIAggCCAIIAggCCAIIAggCCAIIAggCCAIIAggCCAIQAgMCVAIeAALdAgICSgIEAgUCBgIHAggCCQIKAgsCOQINAggCCAIIAggCCAIIAggCCAIIAggCCAIIAggCCAIIAggCegAABAAIAhACAwKJAh4AAt0CAgJMAgQCBQIGAgcCCAIJAj0CCwI5Ag0CCAIIAggCCAIIAggCCAIIAggCCAIIAggCCAIIAggCCAIIAhACAwJNAh4AAt0CAgIxAgQCBQIGAgcCCAIJAgoCCwI5Ag0CCAIIAggCCAIIAggCCAIIAggCCAIIAggCCAIIAggCCAIIAhACAwJOAh4AAt0CAgIzAgQCBQIGAgcCCAIJAgoCCwI5Ag0CCAIIAggCCAIIAggCCAIIAggCCAIIAggCCAIIAggCCAIIAhACAwJPAh4AAt0CAgJHAgQCBQIGAgcCCAIJAgoCCwI5Ag0CCAIIAggCCAIIAggCCAIIAggCCAIIAggCCAIIAggCCAIIAhACAwJSAh4AAt0CAgInAgQCBQIGAgcCCAIJAj0CCwI5Ag0CCAIIAggCCAIIAggCCAIIAggCCAIIAggCCAIIAggCCAIIAhACAwKHAh4AAt0CAgIbAgQCBQIGAgcCCAIJAgoCCwI5Ag0CCAIIAggCCAIIAggCCAIIAggCCAIIAggCCAIIAggCCAIIAhACAwKVAh4AAt0CAgInAgQCBQIGAgcCCAIJAgoCCwI5Ag0CCAIIAggCCAIIAggCCAIIAggCCAIIAggCCAIIAggCCAIIAhACAwI7Ah4AAt0CAgIdAgQCBQIGAgcCCAIJAgoCCwI5Ag0CCAIIAggCCAIIAggCCAIIAggCCAIIAggCCAIIAggCCAIIAhACAwJxAh4AAt0CAgIhAgQCBQIGAgcCCAIJAjgCCwI5Ag0CCAIIAggCCAIIAggCCAIIAggCCAIIAggCCAIIAggCCAIIAhACAwI6Ah4AAt0CAgI/AgQCBQIGAgcCCAIJAgoCCwI5Ag0CCAIIAggCCAIIAggCCAIIAggCCAIIAggCCAIIAggCCAIIAhACAwJAAh4AAt0CAgI8AgQCBQIGAgcCCAIJAj0CCwI5Ag0CCAIIAggCCAIIAggCCAIIAggCCAIIAggCCAIIAggCCAIIAhACAwI+Ah4AAt0CAgIbAgQCBQIGAgcCCAIJAjgCCwI5Ag0CCAIIAggCCAIIAggCCAIIAggCCAIIAggCCAIIAggCCAIIAhACAwJQAh4AAt0CAgIDAgQCBQIGAgcCCAIJAgoCCwI5Ag0CCAIIAggCCAIIAggCCAIIAggCCAIIAggCCAIIAggCCAIIAhACAwKLAh4AAt0CAgIpAgQCBQIGAgcCCAIJAj0CCwI5Ag0CCAIIAggCCAIIAggCCAIIAggCCAIIAggCCAIIAggCCAIIAhACAwJ0Ah4AAt0CAgI1AgQCBQIGAgcCCAIJAj0CCwI5Ag0CCAIIAggCCAIIAggCCAIIAggCCAIIegAABAACCAIIAggCCAIIAggCEAIDAlUCHgAC3QICAi0CBAIFAgYCBwIIAgkCPQILAjkCDQIIAggCCAIIAggCCAIIAggCCAIIAggCCAIIAggCCAIIAggCEAIDAncCHgAC3QICAkMCBAIFAgYCBwIIAgkCOAILAjkCDQIIAggCCAIIAggCCAIIAggCCAIIAggCCAIIAggCCAIIAggCEAIDAnsCHgAC3QICAmMCBAIFAgYCBwIIAgkCCgILAjkCDQIIAggCCAIIAggCCAIIAggCCAIIAggCCAIIAggCCAIIAggCEAIDAnMCHgAC3QICAiMCBAIFAgYCBwIIAgkCCgILAjkCDQIIAggCCAIIAggCCAIIAggCCAIIAggCCAIIAggCCAIIAggCEAIDAnICHgAC3QICAkcCBAIFAgYCBwIIAgkCPQILAjkCDQIIAggCCAIIAggCCAIIAggCCAIIAggCCAIIAggCCAIIAggCEAIDAogCHgAC3QICAjECBAIFAgYCBwIIAgkCPQILAjkCDQIIAggCCAIIAggCCAIIAggCCAIIAggCCAIIAggCCAIIAggCEAIDAo0CHgAC3QICAkwCBAIFAgYCBwIIAgkCCgILAjkCDQIIAggCCAIIAggCCAIIAggCCAIIAggCCAIIAggCCAIIAggCEAIDAooCHgAC3QICAi8CBAIFAgYCBwIIAgkCOAILAjkCDQIIAggCCAIIAggCCAIIAggCCAIIAggCCAIIAggCCAIIAggCEAIDAmwCHgAC3QICAh8CBAIFAgYCBwIIAgkCPQILAjkCDQIIAggCCAIIAggCCAIIAggCCAIIAggCCAIIAggCCAIIAggCEAIDAkYCHgAC3QICAjMCBAIFAgYCBwIIAgkCOAILAjkCDQIIAggCCAIIAggCCAIIAggCCAIIAggCCAIIAggCCAIIAggCEAIDAoECHgAC3QICAmECBAIFAgYCBwIIAgkCOAILAjkCDQIIAggCCAIIAggCCAIIAggCCAIIAggCCAIIAggCCAIIAggCEAIDAm8CHgAC3wAJMzMwNTYwNTIwAgICLwIEAgUCBgIHAggCCQKqAgsCDAINAggCCAIIAggCCAIIAggCCAIIAggCCAIIAggCCAIIAggCCAIRAgMCvQIeAALfAgICYQIEAgUCBgIHAggCCQKqAgsCDAINAggCCAIIAggCCAIIAggCCAIIAggCCAIIAggCCAIIAggCCAIRAgMCrgIeAALfAgICYwIEAgUCBgIHAggCCQIKAgsCDAINAggCCAIIAggCCAIIAggCCAIIAggCCAIIAggCCAIIAggCCAIRAgMC1AIeAALfAgICHQIEAgUCBgIHAggCCQI9AgsCDAINegAABAACCAIIAggCCAIIAggCCAIIAggCCAIIAggCCAIIAggCCAIIAhECAwKfAh4AAt8CAgIjAgQCBQIGAgcCCAIJAgoCCwIMAg0CCAIIAggCCAIIAggCCAIIAggCCAIIAggCCAIIAggCCAIIAhECAwIkAh4AAt8CAgJKAgQCBQIGAgcCCAIJAj0CCwIMAg0CCAIIAggCCAIIAggCCAIIAggCCAIIAggCCAIIAggCCAIIAhECAwKtAh4AAt8CAgJjAgQCBQIGAgcCCAIJAqoCCwIMAg0CCAIIAggCCAIIAggCCAIIAggCCAIIAggCCAIIAggCCAIIAhECAwKrAh4AAt8CAgIjAgQCBQIGAgcCCAIJAqoCCwIMAg0CCAIIAggCCAIIAggCCAIIAggCCAIIAggCCAIIAggCCAIIAhECAwKsAh4AAt8CAgJhAgQCBQIGAgcCCAIJAgoCCwIMAg0CCAIIAggCCAIIAggCCAIIAggCCAIIAggCCAIIAggCCAIIAhECAwK7Ah4AAt8CAgIvAgQCBQIGAgcCCAIJAgoCCwIMAg0CCAIIAggCCAIIAggCCAIIAggCCAIIAggCCAIIAggCCAIIAhECAwIwAh4AAt8CAgIpAgQCBQIGAgcCCAIJAj0CCwIMAg0CCAIIAggCCAIIAggCCAIIAggCCAIIAggCCAIIAggCCAIIAhECAwKbAh4AAt8CAgJqAgQCBQIGAgcCCAIJAj0CCwIMAg0CCAIIAggCCAIIAggCCAIIAggCCAIIAggCCAIIAggCCAIIAhECAwLTAh4AAt8CAgIrAgQCBQIGAgcCCAIJAj0CCwIMAg0CCAIIAggCCAIIAggCCAIIAggCCAIIAggCCAIIAggCCAIIAhECAwKiAh4AAt8CAgItAgQCBQIGAgcCCAIJAj0CCwIMAg0CCAIIAggCCAIIAggCCAIIAggCCAIIAggCCAIIAggCCAIIAhECAwKaAh4AAt8CAgJKAgQCBQIGAgcCCAIJAgoCCwIMAg0CCAIIAggCCAIIAggCCAIIAggCCAIIAggCCAIIAggCCAIIAhECAwK0Ah4AAt8CAgJMAgQCBQIGAgcCCAIJAqoCCwIMAg0CCAIIAggCCAIIAggCCAIIAggCCAIIAggCCAIIAggCCAIIAhECAwLRAh4AAt8CAgI/AgQCBQIGAgcCCAIJAqoCCwIMAg0CCAIIAggCCAIIAggCCAIIAggCCAIIAggCCAIIAggCCAIIAhECAwLSAh4AAt8CAgInAgQCBQIGAgcCCAIJAqoCCwIMAg0CCAIIAggCCAIIAggCCAIIAggCCAIIAggCCAIIAggCCAIIAhECAwJQAh4AAt8CAgIDAgQCBQIGAgcCegAABAAIAgkCqgILAgwCDQIIAggCCAIIAggCCAIIAggCCAIIAggCCAIIAggCCAIIAggCEQIDAtACHgAC3wICAkwCBAIFAgYCBwIIAgkCCgILAgwCDQIIAggCCAIIAggCCAIIAggCCAIIAggCCAIIAggCCAIIAggCEQIDAsgCHgAC3wICAmMCBAIFAgYCBwIIAgkCPQILAgwCDQIIAggCCAIIAggCCAIIAggCCAIIAggCCAIIAggCCAIIAggCEQIDArgCHgAC3wICAh0CBAIFAgYCBwIIAgkCqgILAgwCDQIIAggCCAIIAggCCAIIAggCCAIIAggCCAIIAggCCAIIAggCEQIDAlACHgAC3wICAh0CBAIFAgYCBwIIAgkCCgILAgwCDQIIAggCCAIIAggCCAIIAggCCAIIAggCCAIIAggCCAIIAggCEQIDAh4CHgAC3wICAiMCBAIFAgYCBwIIAgkCPQILAgwCDQIIAggCCAIIAggCCAIIAggCCAIIAggCCAIIAggCCAIIAggCEQIDApgCHgAC3wICAkMCBAIFAgYCBwIIAgkCCgILAgwCDQIIAggCCAIIAggCCAIIAggCCAIIAggCCAIIAggCCAIIAggCEQIDArYCHgAC3wICAiECBAIFAgYCBwIIAgkCCgILAgwCDQIIAggCCAIIAggCCAIIAggCCAIIAggCCAIIAggCCAIIAggCEQIDAiICHgAC3wICAkoCBAIFAgYCBwIIAgkCqgILAgwCDQIIAggCCAIIAggCCAIIAggCCAIIAggCCAIIAggCCAIIAggCEQIDArUCHgAC3wICAgMCBAIFAgYCBwIIAgkCCgILAgwCDQIIAggCCAIIAggCCAIIAggCCAIIAggCCAIIAggCCAIIAggCEQIDAg4CHgAC3wICApICBAIFAgYCBwIIAgkCPQILAgwCDQIIAggCCAIIAggCCAIIAggCCAIIAggCCAIIAggCCAIIAggCEQIDAtoCHgAC3wICAkMCBAIFAgYCBwIIAgkCqgILAgwCDQIIAggCCAIIAggCCAIIAggCCAIIAggCCAIIAggCCAIIAggCEQIDArMCHgAC3wICAkcCBAIFAgYCBwIIAgkCPQILAgwCDQIIAggCCAIIAggCCAIIAggCCAIIAggCCAIIAggCCAIIAggCEQIDAs8CHgAC3wICAjECBAIFAgYCBwIIAgkCPQILAgwCDQIIAggCCAIIAggCCAIIAggCCAIIAggCCAIIAggCCAIIAggCEQIDApwCHgAC3wICAjECBAIFAgYCBwIIAgkCCgILAgwCDQIIAggCCAIIAggCCAIIAggCCAIIAggCCAIIAggCCAIIAggCEQIDAjICHgAC3wICegAABAACTAIEAgUCBgIHAggCCQI9AgsCDAINAggCCAIIAggCCAIIAggCCAIIAggCCAIIAggCCAIIAggCCAIRAgMCvgIeAALfAgICRwIEAgUCBgIHAggCCQIKAgsCDAINAggCCAIIAggCCAIIAggCCAIIAggCCAIIAggCCAIIAggCCAIRAgMCxwIeAALfAgICGwIEAgUCBgIHAggCCQKqAgsCDAINAggCCAIIAggCCAIIAggCCAIIAggCCAIIAggCCAIIAggCCAIRAgMCUAIeAALfAgICIQIEAgUCBgIHAggCCQKqAgsCDAINAggCCAIIAggCCAIIAggCCAIIAggCCAIIAggCCAIIAggCCAIRAgMCzAIeAALfAgICRwIEAgUCBgIHAggCCQKqAgsCDAINAggCCAIIAggCCAIIAggCCAIIAggCCAIIAggCCAIIAggCCAIRAgMCyQIeAALfAgICPwIEAgUCBgIHAggCCQI9AgsCDAINAggCCAIIAggCCAIIAggCCAIIAggCCAIIAggCCAIIAggCCAIRAgMCywIeAALfAgICJwIEAgUCBgIHAggCCQI9AgsCDAINAggCCAIIAggCCAIIAggCCAIIAggCCAIIAggCCAIIAggCCAIRAgMCoAIeAALfAgICGwIEAgUCBgIHAggCCQIKAgsCDAINAggCCAIIAggCCAIIAggCCAIIAggCCAIIAggCCAIIAggCCAIRAgMCHAIeAALfAgICJQIEAgUCBgIHAggCCQI9AgsCDAINAggCCAIIAggCCAIIAggCCAIIAggCCAIIAggCCAIIAggCCAIRAgMCpAIeAALfAgICHwIEAgUCBgIHAggCCQI9AgsCDAINAggCCAIIAggCCAIIAggCCAIIAggCCAIIAggCCAIIAggCCAIRAgMCpgIeAALfAgIC3gIEAgUCBgIHAggCCQIKAgsCDAINAggCCAIIAggCCAIIAggCCAIIAggCCAIIAggCCAIIAggCCAIRAgMC2wIeAALfAgICPAIEAgUCBgIHAggCCQI9AgsCDAINAggCCAIIAggCCAIIAggCCAIIAggCCAIIAggCCAIIAggCCAIRAgMCxQIeAALfAgIC3gIEAgUCBgIHAggCCQI9AgsCDAINAggCCAIIAggCCAIIAggCCAIIAggCCAIIAggCCAIIAggCCAIRAgMC2gIeAALfAgICJwIEAgUCBgIHAggCCQIKAgsCDAINAggCCAIIAggCCAIIAggCCAIIAggCCAIIAggCCAIIAggCCAIRAgMCKAIeAALfAgICQQIEAgUCBgIHAggCCQIKAgsCDAINAggCCAIIAggCCAIIAggCCAIIAggCCAIIAggCCAIIAggCCAIRegAABAACAwLCAh4AAt8CAgJBAgQCBQIGAgcCCAIJAqoCCwIMAg0CCAIIAggCCAIIAggCCAIIAggCCAIIAggCCAIIAggCCAIIAhECAwLBAh4AAt8CAgIlAgQCBQIGAgcCCAIJAgoCCwIMAg0CCAIIAggCCAIIAggCCAIIAggCCAIIAggCCAIIAggCCAIIAhECAwImAh4AAt8CAgI/AgQCBQIGAgcCCAIJAgoCCwIMAg0CCAIIAggCCAIIAggCCAIIAggCCAIIAggCCAIIAggCCAIIAhECAwLVAh4AAt8CAgIlAgQCBQIGAgcCCAIJAqoCCwIMAg0CCAIIAggCCAIIAggCCAIIAggCCAIIAggCCAIIAggCCAIIAhECAwLAAh4AAt8CAgIzAgQCBQIGAgcCCAIJAqoCCwIMAg0CCAIIAggCCAIIAggCCAIIAggCCAIIAggCCAIIAggCCAIIAhECAwLDAh4AAt8CAgJTAgQCBQIGAgcCCAIJAj0CCwIMAg0CCAIIAggCCAIIAggCCAIIAggCCAIIAggCCAIIAggCCAIIAhECAwLEAh4AAt8CAgI1AgQCBQIGAgcCCAIJAj0CCwIMAg0CCAIIAggCCAIIAggCCAIIAggCCAIIAggCCAIIAggCCAIIAhECAwKeAh4AAt8CAgIxAgQCBQIGAgcCCAIJAqoCCwIMAg0CCAIIAggCCAIIAggCCAIIAggCCAIIAggCCAIIAggCCAIIAhECAwLGAh4AAt8CAgKSAgQCBQIGAgcCCAIJAqoCCwIMAg0CCAIIAggCCAIIAggCCAIIAggCCAIIAggCCAIIAggCCAIIAhECAwJQAh4AAt8CAgIzAgQCBQIGAgcCCAIJAgoCCwIMAg0CCAIIAggCCAIIAggCCAIIAggCCAIIAggCCAIIAggCCAIIAhECAwI0Ah4AAt8CAgIDAgQCBQIGAgcCCAIJAj0CCwIMAg0CCAIIAggCCAIIAggCCAIIAggCCAIIAggCCAIIAggCCAIIAhECAwKdAh4AAt8CAgKSAgQCBQIGAgcCCAIJAgoCCwIMAg0CCAIIAggCCAIIAggCCAIIAggCCAIIAggCCAIIAggCCAIIAhECAwLbAh4AAt8CAgJTAgQCBQIGAgcCCAIJAgoCCwIMAg0CCAIIAggCCAIIAggCCAIIAggCCAIIAggCCAIIAggCCAIIAhECAwK6Ah4AAt8CAgI1AgQCBQIGAgcCCAIJAgoCCwIMAg0CCAIIAggCCAIIAggCCAIIAggCCAIIAggCCAIIAggCCAIIAhECAwI2Ah4AAt8CAgJhAgQCBQIGAgcCCAIJAj0CCwIMAg0CCAIIAggCCAIIAggCCAIIAggCCAIIAggCegAABAAIAggCCAIIAggCEQIDAsoCHgAC3wICAi0CBAIFAgYCBwIIAgkCCgILAgwCDQIIAggCCAIIAggCCAIIAggCCAIIAggCCAIIAggCCAIIAggCEQIDAi4CHgAC3wICAisCBAIFAgYCBwIIAgkCqgILAgwCDQIIAggCCAIIAggCCAIIAggCCAIIAggCCAIIAggCCAIIAggCEQIDArECHgAC3wICAhsCBAIFAgYCBwIIAgkCPQILAgwCDQIIAggCCAIIAggCCAIIAggCCAIIAggCCAIIAggCCAIIAggCEQIDAqMCHgAC3wICAh8CBAIFAgYCBwIIAgkCCgILAgwCDQIIAggCCAIIAggCCAIIAggCCAIIAggCCAIIAggCCAIIAggCEQIDAiACHgAC3wICAkMCBAIFAgYCBwIIAgkCPQILAgwCDQIIAggCCAIIAggCCAIIAggCCAIIAggCCAIIAggCCAIIAggCEQIDAr8CHgAC3wICAlMCBAIFAgYCBwIIAgkCqgILAgwCDQIIAggCCAIIAggCCAIIAggCCAIIAggCCAIIAggCCAIIAggCEQIDArwCHgAC3wICAmoCBAIFAgYCBwIIAgkCqgILAgwCDQIIAggCCAIIAggCCAIIAggCCAIIAggCCAIIAggCCAIIAggCEQIDArACHgAC3wICAt4CBAIFAgYCBwIIAgkCqgILAgwCDQIIAggCCAIIAggCCAIIAggCCAIIAggCCAIIAggCCAIIAggCEQIDAlACHgAC3wICAiECBAIFAgYCBwIIAgkCPQILAgwCDQIIAggCCAIIAggCCAIIAggCCAIIAggCCAIIAggCCAIIAggCEQIDAqUCHgAC3wICAjwCBAIFAgYCBwIIAgkCqgILAgwCDQIIAggCCAIIAggCCAIIAggCCAIIAggCCAIIAggCCAIIAggCEQIDArcCHgAC3wICAh8CBAIFAgYCBwIIAgkCqgILAgwCDQIIAggCCAIIAggCCAIIAggCCAIIAggCCAIIAggCCAIIAggCEQIDArICHgAC3wICAisCBAIFAgYCBwIIAgkCCgILAgwCDQIIAggCCAIIAggCCAIIAggCCAIIAggCCAIIAggCCAIIAggCEQIDAiwCHgAC3wICAkECBAIFAgYCBwIIAgkCPQILAgwCDQIIAggCCAIIAggCCAIIAggCCAIIAggCCAIIAggCCAIIAggCEQIDAs0CHgAC3wICAi0CBAIFAgYCBwIIAgkCqgILAgwCDQIIAggCCAIIAggCCAIIAggCCAIIAggCCAIIAggCCAIIAggCEQIDArkCHgAC3wICAmoCBAIFAgYCBwIIAgkCCgILAgwCDQIIAggCCAIIAggCCAIIegAAAbgCCAIIAggCCAIIAggCCAIIAggCCAIRAgMCrwIeAALfAgICNQIEAgUCBgIHAggCCQKqAgsCDAINAggCCAIIAggCCAIIAggCCAIIAggCCAIIAggCCAIIAggCCAIRAgMCUAIeAALfAgICPAIEAgUCBgIHAggCCQIKAgsCDAINAggCCAIIAggCCAIIAggCCAIIAggCCAIIAggCCAIIAggCCAIRAgMCzgIeAALfAgICMwIEAgUCBgIHAggCCQI9AgsCDAINAggCCAIIAggCCAIIAggCCAIIAggCCAIIAggCCAIIAggCCAIRAgMCmQIeAALfAgICKQIEAgUCBgIHAggCCQKqAgsCDAINAggCCAIIAggCCAIIAggCCAIIAggCCAIIAggCCAIIAggCCAIRAgMCUAIeAALfAgICKQIEAgUCBgIHAggCCQIKAgsCDAINAggCCAIIAggCCAIIAggCCAIIAggCCAIIAggCCAIIAggCCAIRAgMCKgIeAALfAgICLwIEAgUCBgIHAggCCQI9AgsCDAINAggCCAIIAggCCAIIAggCCAIIAggCCAIIAggCCAIIAggCCAIRAgMCoQ==]]></xxe4awand>
</file>

<file path=customXml/item16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17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7C8840655DF834D9146E3231B1BC14A" ma:contentTypeVersion="76" ma:contentTypeDescription="" ma:contentTypeScope="" ma:versionID="76b820c8eb875b714a0a368c59c6e24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18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19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2018-08-17T07:00:00+00:00</OpenedDate>
    <SignificantOrder xmlns="dc463f71-b30c-4ab2-9473-d307f9d35888">false</SignificantOrder>
    <Date1 xmlns="dc463f71-b30c-4ab2-9473-d307f9d35888">2018-08-17T07:00:00+00:00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180700</DocketNumber>
    <DelegatedOrder xmlns="dc463f71-b30c-4ab2-9473-d307f9d35888">false</DelegatedOrder>
  </documentManagement>
</p:properties>
</file>

<file path=customXml/item2.xml><?xml version="1.0" encoding="utf-8"?>
<xxe4awand xmlns="http://www.excel4apps.com"><![CDATA[rO0ABXfZCMCtii8CJgJXAh4AAERjb20uZXhjZWw0YXBwcy53YW5kLm9yYWNsZS5n
bHdhbmQuY2FsY3VsYXRpb25zLmdldGJhbGFuY2UuR2V0QmFsYW5jZQIBAAk1MjE3
OTY3NjgCAgABMAIDAAYyMDE2MTECBAADWVREAgUAA1VTRAIGAAVUb3RhbAIHAAFB
AggAAAIJAAMwMDECCgAGMTkxMDEwAgsAAkdEAgwAAldBAg0AAkRMAggCCAIIAggC
CAIIAggCCAIIAggCCAIIAggCCAIIAggCCAISAgMCDnNyAg8AFGphdmEubWF0aC5C
aWdEZWNpbWFsVMcVV/mBKE8DAAJJAhAABXNjYWxlTAIRAAZpbnRWYWx0ABZMamF2
YS9tYXRoL0JpZ0ludGVnZXI7eHICEgAQamF2YS5sYW5nLk51bWJlcoaslR0LlOCL
AgAAeHAAAAACc3ICEwAUamF2YS5tYXRoLkJpZ0ludGVnZXKM/J8fqTv7HQMABkkC
FAAIYml0Q291bnRJAhUACWJpdExlbmd0aEkCFgATZmlyc3ROb256ZXJvQnl0ZU51
bUkCFwAMbG93ZXN0U2V0Qml0SQIYAAZzaWdudW1bAhkACW1hZ25pdHVkZXQAAltC
eHEAfgAC///////////////+/////v////91cgIaAAJbQqzzF/gGCFTgAgAAeHAA
AAAEElQVqnh4d00CHgACAQICAhsABjIwMTYwNQIEAgUCBgIHAggCCQIKAgsCDAIN
AggCCAIIAggCCAIIAggCCAIIAggCCAIIAggCCAIIAggCCAISAgMCHHNxAH4AAAAA
AAJzcQB+AAT///////////////7////+/////3VxAH4ABwAAAARMKwuAeHh3TQIeAAIBAgICHQAGMjAxNzA2AgQCBQIGAgcCCAIJAgoCCwIMAg0CCAIIAggCCAIIAggCCAIIAggCCAIIAggCCAIIAggCCAIIAhICAwIec3EAfgAAAAAAAnNxAH4ABP///////////////v////7/////dXEAfgAHAAAABFgLByx4eHdNAh4AAgECAgIfAAYyMDE3MTICBAIFAgYCBwIIAgkCCgILAgwCDQIIAggCCAIIAggCCAIIAggCCAIIAggCCAIIAggCCAIIAggCEgIDAiBzcQB+AAAAAAACc3EAfgAE///////////////+/////v////91cQB+AAcAAAAEQjS8fHh4d1UCHgACAQICAiEABjIwMTgwNAIEAgUCBgIHAggCCQIiAAYxOTEwMjUCCwIMAg0CCAIIAggCCAIIAggCCAIIAggCCAIIAggCCAIIAggCCAIIAhICAwIjc3EAfgAAAAAAAnNxAH4ABP///////////////v////4AAAAAdXEAfgAHAAAAAHh4d1UCHgACAQICAiQABjIwMTcwOAIEAgUCBgIHAggCCQIlAAYxOTEwMDACCwIMAg0CCAIIAggCCAIIAggCCAIIAggCCAIIAggCCAIIAggCCAIIAhICAwImc3EAfgAAAAAAAnNxAH4ABP///////////////v////7/////dXEAfgAHAAAAAzKU1nh4d00CHgACAQICAicABjIwMTYwNAIEAgUCBgIHAggCCQIKAgsCDAINAggCCAIIAggCCAIIAggCCAIIAggCCAIIAggCCAIIAggCCAISAgMCKHNxAH4AAAAAAAJzcQB+AAT///////////////7////+/////3VxAH4ABwAAAARIcHiveHh3TQIeAAIBAgICKQAGMjAxNjA3AgQCBQIGAgcCCAIJAiUCCwIMAg0CCAIIAggCCAIIAggCCAIIAggCCAIIAggCCAIIAggCCAIIAhICAwIqc3EAfgAAAAAAAnNxAH4ABP///////////////v////7/////dXEAfgAHAAAABAM2kpl4eHdNAh4AAgECAgIrAAYyMDE2MDICBAIFAgYCBwIIAgkCIgILAgwCDQIIAggCCAIIAggCCAIIAggCCAIIAggCCAIIAggCCAIIAggCEgIDAixzcQB+AAAAAAACc3EAfgAE///////////////+/////v////91cQB+AAcAAAADEhXLeHh3TQIeAAIBAgICLQAGMjAxNzAzAgQCBQIGAgcCCAIJAiICCwIMAg0CCAIIAggCCAIIAggCCAIIAggCCAIIAggCCAIIAggCCAIIAhICAwIuc3EAfgAAAAAAAnNxAH4ABP///////////////v////7/////dXEAfgAHAAAAAwSrl3h4d00CHgACAQICAi8ABjIwMTcxMAIEAgUCBgIHAggCCQIiAgsCDAINAggCCAIIAggCCAIIAggCCAIIAggCCAIIAggCCAIIAggCCAISAgMCMHNxAH4AAAAAAAJzcQB+AAT///////////////7////+/////3VxAH4ABwAAAAMD3Kt4eHdNAh4AAgECAgIxAAYyMDE2MTACBAIFAgYCBwIIAgkCIgILAgwCDQIIAggCCAIIAggCCAIIAggCCAIIAggCCAIIAggCCAIIAggCEgIDAjJzcQB+AAAAAAACc3EAfgAE///////////////+/////v////91cQB+AAcAAAADBT+veHh3mgIeAAIBAgICMwAGMjAxNzExAgQCBQIGAgcCCAIJAiICCwIMAg0CCAIIAggCCAIIAggCCAIIAggCCAIIAggCCAIIAggCCAIIAhICAwIjAh4AAgECAgI0AAYyMDE2MTICBAIFAgYCBwIIAgkCCgILAgwCDQIIAggCCAIIAggCCAIIAggCCAIIAggCCAIIAggCCAIIAggCEgIDAjVzcQB+AAAAAAACc3EAfgAE///////////////+/////v////91cQB+AAcAAAAEKKPaWXh4d5oCHgACAQICAjYABjIwMTgwNQIEAgUCBgIHAggCCQIiAgsCDAINAggCCAIIAggCCAIIAggCCAIIAggCCAIIAggCCAIIAggCCAISAgMCIwIeAAIBAgICNwAGMjAxODA2AgQCBQIGAgcCCAIJAgoCCwIMAg0CCAIIAggCCAIIAggCCAIIAggCCAIIAggCCAIIAggCCAIIAhICAwI4c3EAfgAAAAAAAnNxAH4ABP///////////////v////7/////dXEAfgAHAAAABFzlwLB4eHdNAh4AAgECAgI5AAYyMDE2MDYCBAIFAgYCBwIIAgkCJQILAgwCDQIIAggCCAIIAggCCAIIAggCCAIIAggCCAIIAggCCAIIAggCEgIDAjpzcQB+AAAAAAACc3EAfgAE///////////////+/////v////91cQB+AAcAAAAEA6uLrXh4d00CHgACAQICAjsABjIwMTcwNQIEAgUCBgIHAggCCQIKAgsCDAINAggCCAIIAggCCAIIAggCCAIIAggCCAIIAggCCAIIAggCCAISAgMCPHNxAH4AAAAAAAJzcQB+AAT///////////////7////+/////3VxAH4ABwAAAARZ/eXyeHh3TQIeAAIBAgICPQAGMjAxNzA0AgQCBQIGAgcCCAIJAiICCwIMAg0CCAIIAggCCAIIAggCCAIIAggCCAIIAggCCAIIAggCCAIIAhICAwI+c3EAfgAAAAAAAnNxAH4ABP///////////////v////7/////dXEAfgAHAAAAAwR0jXh4d00CHgACAQICAj8ABjIwMTYwMwIEAgUCBgIHAggCCQIiAgsCDAINAggCCAIIAggCCAIIAggCCAIIAggCCAIIAggCCAIIAggCCAISAgMCQHNxAH4AAAAAAAJzcQB+AAT///////////////7////+/////3VxAH4ABwAAAAMOg914eHdNAh4AAgECAgJBAAYyMDE3MDcCBAIFAgYCBwIIAgkCJQILAgwCDQIIAggCCAIIAggCCAIIAggCCAIIAggCCAIIAggCCAIIAggCEgIDAkJzcQB+AAAAAAACc3EAfgAE///////////////+/////v////91cQB+AAcAAAAEAgr29Hh4d0UCHgACAQICAikCBAIFAgYCBwIIAgkCCgILAgwCDQIIAggCCAIIAggCCAIIAggCCAIIAggCCAIIAggCCAIIAggCEgIDAkNzcQB+AAAAAAACc3EAfgAE///////////////+/////v////91cQB+AAcAAAAEWi+1rXh4d0UCHgACAQICAiQCBAIFAgYCBwIIAgkCCgILAgwCDQIIAggCCAIIAggCCAIIAggCCAIIAggCCAIIAggCCAIIAggCEgIDAkRzcQB+AAAAAAACc3EAfgAE///////////////+/////v////91cQB+AAcAAAAEZTFBq3h4d0UCHgACAQICAisCBAIFAgYCBwIIAgkCCgILAgwCDQIIAggCCAIIAggCCAIIAggCCAIIAggCCAIIAggCCAIIAggCEgIDAkVzcQB+AAAAAAACc3EAfgAE///////////////+/////v////91cQB+AAcAAAAENzj1T3h4d0UCHgACAQICAgMCBAIFAgYCBwIIAgkCJQILAgwCDQIIAggCCAIIAggCCAIIAggCCAIIAggCCAIIAggCCAIIAggCEgIDAkZzcQB+AAAAAAACc3EAfgAE///////////////+/////v////91cQB+AAcAAAAETEMOFXh4d0UCHgACAQICAi0CBAIFAgYCBwIIAgkCCgILAgwCDQIIAggCCAIIAggCCAIIAggCCAIIAggCCAIIAggCCAIIAggCEgIDAkdzcQB+AAAAAAACc3EAfgAE///////////////+/////v////91cQB+AAcAAAAEU2ObJnh4d4oCHgACAQICAjcCBAIFAgYCBwIIAgkCIgILAgwCDQIIAggCCAIIAggCCAIIAggCCAIIAggCCAIIAggCCAIIAggCEgIDAiMCHgACAQICAicCBAIFAgYCBwIIAgkCIgILAgwCDQIIAggCCAIIAggCCAIIAggCCAIIAggCCAIIAggCCAIIAggCEgIDAkhzcQB+AAAAAAACc3EAfgAE///////////////+/////v////91cQB+AAcAAAADDMb+eHh3RQIeAAIBAgICOwIEAgUCBgIHAggCCQIiAgsCDAINAggCCAIIAggCCAIIAggCCAIIAggCCAIIAggCCAIIAggCCAISAgMCSXNxAH4AAAAAAAJzcQB+AAT///////////////7////+/////3VxAH4ABwAAAAMEVit4eHdFAh4AAgECAgIdAgQCBQIGAgcCCAIJAiUCCwIMAg0CCAIIAggCCAIIAggCCAIIAggCCAIIAggCCAIIAggCCAIIAhICAwJKc3EAfgAAAAAAAnNxAH4ABP///////////////v////7/////dXEAfgAHAAAABAPdTSB4eHdFAh4AAgECAgI2AgQCBQIGAgcCCAIJAiUCCwIMAg0CCAIIAggCCAIIAggCCAIIAggCCAIIAggCCAIIAggCCAIIAhICAwJLc3EAfgAAAAAAAnNxAH4ABP///////////////v////7/////dXEAfgAHAAAABARKQZV4eHdFAh4AAgECAgIxAgQCBQIGAgcCCAIJAgoCCwIMAg0CCAIIAggCCAIIAggCCAIIAggCCAIIAggCCAIIAggCCAIIAhICAwJMc3EAfgAAAAAAAnNxAH4ABP///////////////v////7/////dXEAfgAHAAAABGKNyxZ4eHdFAh4AAgECAgIzAgQCBQIGAgcCCAIJAgoCCwIMAg0CCAIIAggCCAIIAggCCAIIAggCCAIIAggCCAIIAggCCAIIAhICAwJNc3EAfgAAAAAAAnNxAH4ABP///////////////v////7/////dXEAfgAHAAAABDDQqrN4eHdNAh4AAgECAgJOAAYyMDE4MDECBAIFAgYCBwIIAgkCCgILAgwCDQIIAggCCAIIAggCCAIIAggCCAIIAggCCAIIAggCCAIIAggCEgIDAk9zcQB+AAAAAAACc3EAfgAE///////////////+/////v////91cQB+AAcAAAAETu7o2nh4d00CHgACAQICAlAABjIwMTcwMgIEAgUCBgIHAggCCQIiAgsCDAINAggCCAIIAggCCAIIAggCCAIIAggCCAIIAggCCAIIAggCCAISAgMCUXNxAH4AAAAAAAJzcQB+AAT///////////////7////+/////3VxAH4ABwAAAAME+2h4eHdFAh4AAgECAgIbAgQCBQIGAgcCCAIJAiUCCwIMAg0CCAIIAggCCAIIAggCCAIIAggCCAIIAggCCAIIAggCCAIIAhICAwJSc3EAfgAAAAAAAnNxAH4ABP///////////////v////7/////dXEAfgAHAAAABAQ2ieN4eHdNAh4AAgECAgJTAAYyMDE2MDgCBAIFAgYCBwIIAgkCJQILAgwCDQIIAggCCAIIAggCCAIIAggCCAIIAggCCAIIAggCCAIIAggCEgIDAlRzcQB+AAAAAAACc3EAfgAE///////////////+/////v////91cQB+AAcAAAAEAr0/pHh4d5oCHgACAQICAlUABjIwMTgwMwIEAgUCBgIHAggCCQIiAgsCDAINAggCCAIIAggCCAIIAggCCAIIAggCCAIIAggCCAIIAggCCAISAgMCIwIeAAIBAgICVgAGMjAxODAyAgQCBQIGAgcCCAIJAiUCCwIMAg0CCAIIAggCCAIIAggCCAIIAggCCAIIAggCCAIIAggCCAIIAhICAwJXc3EAfgAAAAAAAnNxAH4ABP///////////////v////7/////dXEAfgAHAAAABBli52V4eHdFAh4AAgECAgIhAgQCBQIGAgcCCAIJAgoCCwIMAg0CCAIIAggCCAIIAggCCAIIAggCCAIIAggCCAIIAggCCAIIAhICAwJYc3EAfgAAAAAAAnNxAH4ABP///////////////v////7/////dXEAfgAHAAAABFqpyF94eHdFAh4AAgECAgI0AgQCBQIGAgcCCAIJAiICCwIMAg0CCAIIAggCCAIIAggCCAIIAggCCAIIAggCCAIIAggCCAIIAhICAwJZc3EAfgAAAAAAAnNxAH4ABP///////////////v////7/////dXEAfgAHAAAAAwbck3h4d00CHgACAQICAloABjIwMTcwOQIEAgUCBgIHAggCCQIlAgsCDAINAggCCAIIAggCCAIIAggCCAIIAggCCAIIAggCCAIIAggCCAISAgMCW3NxAH4AAAAAAAJzcQB+AAT///////////////7////+AAAAAXVxAH4ABwAAAAQCjrCgeHh3RQIeAAIBAgICHwIEAgUCBgIHAggCCQIlAgsCDAINAggCCAIIAggCCAIIAggCCAIIAggCCAIIAggCCAIIAggCCAISAgMCXHNxAH4AAAAAAAJzcQB+AAT///////////////7////+/////3VxAH4ABwAAAAQ0Sb4jeHh3TQIeAAIBAgICXQAGMjAxNzAxAgQCBQIGAgcCCAIJAiUCCwIMAg0CCAIIAggCCAIIAggCCAIIAggCCAIIAggCCAIIAggCCAIIAhICAwJec3EAfgAAAAAAAnNxAH4ABP///////////////v////7/////dXEAfgAHAAAABCjphrZ4eHdNAh4AAgECAgJfAAYyMDE2MDkCBAIFAgYCBwIIAgkCIgILAgwCDQIIAggCCAIIAggCCAIIAggCCAIIAggCCAIIAggCCAIIAggCEgIDAmBzcQB+AAAAAAACc3EAfgAE///////////////+/////v////91cQB+AAcAAAADB43UeHh3RQIeAAIBAgICVgIEAgUCBgIHAggCCQIKAgsCDAINAggCCAIIAggCCAIIAggCCAIIAggCCAIIAggCCAIIAggCCAISAgMCYXNxAH4AAAAAAAJzcQB+AAT///////////////7////+/////3VxAH4ABwAAAARPKnH5eHh3RQIeAAIBAgICXQIEAgUCBgIHAggCCQIKAgsCDAINAggCCAIIAggCCAIIAggCCAIIAggCCAIIAggCCAIIAggCCAISAgMCYnNxAH4AAAAAAAJzcQB+AAT///////////////7////+/////3VxAH4ABwAAAAQ9FTt2eHh3RQIeAAIBAgICKwIEAgUCBgIHAggCCQIlAgsCDAINAggCCAIIAggCCAIIAggCCAIIAggCCAIIAggCCAIIAggCCAISAgMCY3NxAH4AAAAAAAJzcQB+AAT///////////////7////+/////3VxAH4ABwAAAAQIJf+xeHh3RQIeAAIBAgICIQIEAgUCBgIHAggCCQIlAgsCDAINAggCCAIIAggCCAIIAggCCAIIAggCCAIIAggCCAIIAggCCAISAgMCZHNxAH4AAAAAAAJzcQB+AAT///////////////7////+/////3VxAH4ABwAAAAQHGT+ZeHh3RQIeAAIBAgICJAIEAgUCBgIHAggCCQIiAgsCDAINAggCCAIIAggCCAIIAggCCAIIAggCCAIIAggCCAIIAggCCAISAgMCZXNxAH4AAAAAAAJzcQB+AAT///////////////7////+/////3VxAH4ABwAAAAMEJQl4eHdFAh4AAgECAgJfAgQCBQIGAgcCCAIJAgoCCwIMAg0CCAIIAggCCAIIAggCCAIIAggCCAIIAggCCAIIAggCCAIIAhICAwJmc3EAfgAAAAAAAnNxAH4ABP///////////////v////7/////dXEAfgAHAAAABGExCBR4eHdFAh4AAgECAgJVAgQCBQIGAgcCCAIJAiUCCwIMAg0CCAIIAggCCAIIAggCCAIIAggCCAIIAggCCAIIAggCCAIIAhICAwJnc3EAfgAAAAAAAnNxAH4ABP///////////////v////7/////dXEAfgAHAAAABA5TyYx4eHdFAh4AAgECAgI5AgQCBQIGAgcCCAIJAiICCwIMAg0CCAIIAggCCAIIAggCCAIIAggCCAIIAggCCAIIAggCCAIIAhICAwJoc3EAfgAAAAAAAnNxAH4ABP///////////////v////7/////dXEAfgAHAAAAAwqAVHh4d0UCHgACAQICAlACBAIFAgYCBwIIAgkCJQILAgwCDQIIAggCCAIIAggCCAIIAggCCAIIAggCCAIIAggCCAIIAggCEgIDAmlzcQB+AAAAAAACc3EAfgAE///////////////+/////v////91cQB+AAcAAAAEG0cx03h4d0UCHgACAQICAkECBAIFAgYCBwIIAgkCIgILAgwCDQIIAggCCAIIAggCCAIIAggCCAIIAggCCAIIAggCCAIIAggCEgIDAmpzcQB+AAAAAAACc3EAfgAE///////////////+/////v////91cQB+AAcAAAADBDQ4eHh3RQIeAAIBAgICVQIEAgUCBgIHAggCCQIKAgsCDAINAggCCAIIAggCCAIIAggCCAIIAggCCAIIAggCCAIIAggCCAISAgMCa3NxAH4AAAAAAAJzcQB+AAT///////////////7////+/////3VxAH4ABwAAAARSfqMaeHh3RQIeAAIBAgICUwIEAgUCBgIHAggCCQIiAgsCDAINAggCCAIIAggCCAIIAggCCAIIAggCCAIIAggCCAIIAggCCAISAgMCbHNxAH4AAAAAAAJzcQB+AAT///////////////7////+/////3VxAH4ABwAAAAMItpx4eHdFAh4AAgECAgI9AgQCBQIGAgcCCAIJAiUCCwIMAg0CCAIIAggCCAIIAggCCAIIAggCCAIIAggCCAIIAggCCAIIAhICAwJtc3EAfgAAAAAAAnNxAH4ABP///////////////v////7/////dXEAfgAHAAAABAnwakZ4eHdFAh4AAgECAgI/AgQCBQIGAgcCCAIJAiUCCwIMAg0CCAIIAggCCAIIAggCCAIIAggCCAIIAggCCAIIAggCCAIIAhICAwJuc3EAfgAAAAAAAnNxAH4ABP///////////////v////7/////dXEAfgAHAAAABAXojm54eHdFAh4AAgECAgJaAgQCBQIGAgcCCAIJAgoCCwIMAg0CCAIIAggCCAIIAggCCAIIAggCCAIIAggCCAIIAggCCAIIAhICAwJvc3EAfgAAAAAAAnNxAH4ABP///////////////v////7/////dXEAfgAHAAAABHEGWUl4eHdFAh4AAgECAgJTAgQCBQIGAgcCCAIJAgoCCwIMAg0CCAIIAggCCAIIAggCCAIIAggCCAIIAggCCAIIAggCCAIIAhICAwJwc3EAfgAAAAAAAnNxAH4ABP///////////////v////7/////dXEAfgAHAAAABF1XUMl4eHdFAh4AAgECAgJQAgQCBQIGAgcCCAIJAgoCCwIMAg0CCAIIAggCCAIIAggCCAIIAggCCAIIAggCCAIIAggCCAIIAhICAwJxc3EAfgAAAAAAAnNxAH4ABP///////////////v////7/////dXEAfgAHAAAABEmLU8l4eHeKAh4AAgECAgJOAgQCBQIGAgcCCAIJAiICCwIMAg0CCAIIAggCCAIIAggCCAIIAggCCAIIAggCCAIIAggCCAIIAhICAwIjAh4AAgECAgIvAgQCBQIGAgcCCAIJAiUCCwIMAg0CCAIIAggCCAIIAggCCAIIAggCCAIIAggCCAIIAggCCAIIAhICAwJyc3EAfgAAAAAAAnNxAH4ABP///////////////v////4AAAABdXEAfgAHAAAABAkNFf14eHdFAh4AAgECAgIpAgQCBQIGAgcCCAIJAiICCwIMAg0CCAIIAggCCAIIAggCCAIIAggCCAIIAggCCAIIAggCCAIIAhICAwJzc3EAfgAAAAAAAnNxAH4ABP///////////////v////7/////dXEAfgAHAAAAAwmef3h4d0UCHgACAQICAi0CBAIFAgYCBwIIAgkCJQILAgwCDQIIAggCCAIIAggCCAIIAggCCAIIAggCCAIIAggCCAIIAggCEgIDAnRzcQB+AAAAAAACc3EAfgAE///////////////+/////v////91cQB+AAcAAAAEEP3yI3h4d0UCHgACAQICAl0CBAIFAgYCBwIIAgkCIgILAgwCDQIIAggCCAIIAggCCAIIAggCCAIIAggCCAIIAggCCAIIAggCEgIDAnVzcQB+AAAAAAACc3EAfgAE///////////////+/////v////91cQB+AAcAAAADBWT/eHh3igIeAAIBAgICHwIEAgUCBgIHAggCCQIiAgsCDAINAggCCAIIAggCCAIIAggCCAIIAggCCAIIAggCCAIIAggCCAISAgMCIwIeAAIBAgICAwIEAgUCBgIHAggCCQIiAgsCDAINAggCCAIIAggCCAIIAggCCAIIAggCCAIIAggCCAIIAggCCAISAgMCdnNxAH4AAAAAAAJzcQB+AAT///////////////7////+/////3VxAH4ABwAAAAMGaCt4eHeKAh4AAgECAgI3AgQCBQIGAgcCCAIJAiUCCwIMAg0CCAIIAggCCAIIAggCCAIIAggCCAIIAggCCAIIAggCCAIIAhICAwJLAh4AAgECAgInAgQCBQIGAgcCCAIJAiUCCwIMAg0CCAIIAggCCAIIAggCCAIIAggCCAIIAggCCAIIAggCCAIIAhICAwJ3c3EAfgAAAAAAAnNxAH4ABP///////////////v////7/////dXEAfgAHAAAABATkMA94eHdFAh4AAgECAgJfAgQCBQIGAgcCCAIJAiUCCwIMAg0CCAIIAggCCAIIAggCCAIIAggCCAIIAggCCAIIAggCCAIIAhICAwJ4c3EAfgAAAAAAAnNxAH4ABP///////////////v////7/////dXEAfgAHAAAABAIbp254eHdFAh4AAgECAgIvAgQCBQIGAgcCCAIJAgoCCwIMAg0CCAIIAggCCAIIAggCCAIIAggCCAIIAggCCAIIAggCCAIIAhICAwJ5c3EAfgAAAAAAAnNxAH4ABP///////////////v////7/////dXEAfgAHAAAABILciPF4eHeKAh4AAgECAgJWAgQCBQIGAgcCCAIJAiICCwIMAg0CCAIIAggCCAIIAggCCAIIAggCCAIIAggCCAIIAggCCAIIAhICAwIjAh4AAgECAgJOAgQCBQIGAgcCCAIJAiUCCwIMAg0CCAIIAggCCAIIAggCCAIIAggCCAIIAggCCAIIAggCCAIIAhICAwJ6c3EAfgAAAAAAAnNxAH4ABP///////////////v////7/////dXEAfgAHAAAABCZxo1d4eHeKAh4AAgECAgI2AgQCBQIGAgcCCAIJAgoCCwIMAg0CCAIIAggCCAIIAggCCAIIAggCCAIIAggCCAIIAggCCAIIAhICAwI4Ah4AAgECAgIxAgQCBQIGAgcCCAIJAiUCCwIMAg0CCAIIAggCCAIIAggCCAIIAggCCAIIAggCCAIIAggCCAIIAhICAwJ7c3EAfgAAAAAAAnNxAH4ABP///////////////v////7/////dXEAfgAHAAAAA7xcsnh4d0UCHgACAQICAj0CBAIFAgYCBwIIAgkCCgILAgwCDQIIAggCCAIIAggCCAIIAggCCAIIAggCCAIIAggCCAIIAggCEgIDAnxzcQB+AAAAAAACc3EAfgAE///////////////+/////v////91cQB+AAcAAAAEWnDZd3h4d0UCHgACAQICAjMCBAIFAgYCBwIIAgkCJQILAgwCDQIIAggCCAIIAggCCAIIAggCCAIIAggCCAIIAggCCAIIAggCEgIDAn1zcQB+AAAAAAACc3EAfgAE///////////////+/////v////91cQB+AAcAAAAERLpXvHh4d0UCHgACAQICAloCBAIFAgYCBwIIAgkCIgILAgwCDQIIAggCCAIIAggCCAIIAggCCAIIAggCCAIIAggCCAIIAggCEgIDAn5zcQB+AAAAAAACc3EAfgAE///////////////+/////v////91cQB+AAcAAAADBA6ueHh3RQIeAAIBAgICOQIEAgUCBgIHAggCCQIKAgsCDAINAggCCAIIAggCCAIIAggCCAIIAggCCAIIAggCCAIIAggCCAISAgMCf3NxAH4AAAAAAAJzcQB+AAT///////////////7////+/////3VxAH4ABwAAAARUiEubeHh3RQIeAAIBAgICQQIEAgUCBgIHAggCCQIKAgsCDAINAggCCAIIAggCCAIIAggCCAIIAggCCAIIAggCCAIIAggCCAISAgMCgHNxAH4AAAAAAAJzcQB+AAT///////////////7////+/////3VxAH4ABwAAAARe1GL4eHh3RQIeAAIBAgICNAIEAgUCBgIHAggCCQIlAgsCDAINAggCCAIIAggCCAIIAggCCAIIAggCCAIIAggCCAIIAggCCAISAgMCgXNxAH4AAAAAAAJzcQB+AAT///////////////7////+/////3VxAH4ABwAAAAQ7i4i9eHh3RQIeAAIBAgICPwIEAgUCBgIHAggCCQIKAgsCDAINAggCCAIIAggCCAIIAggCCAIIAggCCAIIAggCCAIIAggCCAISAgMCgnNxAH4AAAAAAAJzcQB+AAT///////////////7////+/////3VxAH4ABwAAAAQ9+1bieHh3RQIeAAIBAgICHQIEAgUCBgIHAggCCQIiAgsCDAINAggCCAIIAggCCAIIAggCCAIIAggCCAIIAggCCAIIAggCCAISAgMCg3NxAH4AAAAAAAJzcQB+AAT///////////////7////+/////3VxAH4ABwAAAAMEQ3p4eHdFAh4AAgECAgIbAgQCBQIGAgcCCAIJAiICCwIMAg0CCAIIAggCCAIIAggCCAIIAggCCAIIAggCCAIIAggCCAIIAhICAwKEc3EAfgAAAAAAAnNxAH4ABP///////////////v////7/////dXEAfgAHAAAAAwuCrXh4d0UCHgACAQICAjsCBAIFAgYCBwIIAgkCJQILAgwCDQIIAggCCAIIAggCCAIIAggCCAIIAggCCAIIAggCCAIIAggCEgIDAoVzcQB+AAAAAAACc3EAfgAE///////////////+/////v////91cQB+AAcAAAAEBiEYhXh4]]></xxe4awand>
</file>

<file path=customXml/item3.xml><?xml version="1.0" encoding="utf-8"?>
<xxe4awand xmlns="http://www.excel4apps.com"><![CDATA[rO0ABXfaCMCtii8CAgTxAwIeAABEY29tLmV4Y2VsNGFwcHMud2FuZC5vcmFjbGUu
Z2x3YW5kLmNhbGN1bGF0aW9ucy5nZXRiYWxhbmNlLkdldEJhbGFuY2UCAQAJMjE5
MDY3MDk2AgIAATACAwAGMjAxNzA1AgQAA1lURAIFAANVU0QCBgAFVG90YWwCBwAB
QQIIAAACCQADMDAxAgoABjE5MTAwMAILAAJHRAIMAAJXQQINAAJETAIIAggCCAII
AggCCAIIAggCCAIIAggCCAIIAggCCAIIAggCBAIDAg5zcgIPABRqYXZhLm1hdGgu
QmlnRGVjaW1hbFTHFVf5gShPAwACSQIQAAVzY2FsZUwCEQAGaW50VmFsdAAWTGph
dmEvbWF0aC9CaWdJbnRlZ2VyO3hyAhIAEGphdmEubGFuZy5OdW1iZXKGrJUdC5Tg
iwIAAHhwAAAAAnNyAhMAFGphdmEubWF0aC5CaWdJbnRlZ2VyjPyfH6k7+x0DAAZJ
AhQACGJpdENvdW50SQIVAAliaXRMZW5ndGhJAhYAE2ZpcnN0Tm9uemVyb0J5dGVO
dW1JAhcADGxvd2VzdFNldEJpdEkCGAAGc2lnbnVtWwIZAAltYWduaXR1ZGV0AAJb
QnhxAH4AAv///////////////v////7/////dXICGgACW0Ks8xf4BghU4AIAAHhwAAAABAYhGIV4eHdNAh4AAgECAgIbAAYyMDE3MDMCBAIFAgYCBwIIAgkCCgILAgwCDQIIAggCCAIIAggCCAIIAggCCAIIAggCCAIIAggCCAIIAggCBAIDAhxzcQB+AAAAAAACc3EAfgAE///////////////+/////v////91cQB+AAcAAAAEEP3yI3h4d00CHgACAQICAh0ABjIwMTcxMgIEAgUCBgIHAggCCQIKAgsCDAINAggCCAIIAggCCAIIAggCCAIIAggCCAIIAggCCAIIAggCCAIEAgMCHnNxAH4AAAAAAAJzcQB+AAT///////////////7////+/////3VxAH4ABwAAAAQ0Sb4jeHh3TQIeAAIBAgICHwAGMjAxNzA3AgQCBQIGAgcCCAIJAgoCCwIMAg0CCAIIAggCCAIIAggCCAIIAggCCAIIAggCCAIIAggCCAIIAgQCAwIgc3EAfgAAAAAAAnNxAH4ABP///////////////v////7/////dXEAfgAHAAAABAIK9vR4eHdNAh4AAgECAgIhAAYyMDE3MTECBAIFAgYCBwIIAgkCCgILAgwCDQIIAggCCAIIAggCCAIIAggCCAIIAggCCAIIAggCCAIIAggCBAIDAiJzcQB+AAAAAAACc3EAfgAE///////////////+/////v////91cQB+AAcAAAAERLpXvHh4d00CHgACAQICAiMABjIwMTgwMQIEAgUCBgIHAggCCQIKAgsCDAINAggCCAIIAggCCAIIAggCCAIIAggCCAIIAggCCAIIAggCCAIEAgMCJHNxAH4AAAAAAAJzcQB+AAT///////////////7////+/////3VxAH4ABwAAAAQmcaNXeHh3TQIeAAIBAgICJQAGMjAxODAzAgQCBQIGAgcCCAIJAgoCCwIMAg0CCAIIAggCCAIIAggCCAIIAggCCAIIAggCCAIIAggCCAIIAgQCAwImc3EAfgAAAAAAAnNxAH4ABP///////////////v////7/////dXEAfgAHAAAABA5TyYx4eHdNAh4AAgECAgInAAYyMDE3MDYCBAIFAgYCBwIIAgkCCgILAgwCDQIIAggCCAIIAggCCAIIAggCCAIIAggCCAIIAggCCAIIAggCBAIDAihzcQB+AAAAAAACc3EAfgAE///////////////+/////v////91cQB+AAcAAAAEA91NIHh4d00CHgACAQICAikABjIwMTcwMgIEAgUCBgIHAggCCQIKAgsCDAINAggCCAIIAggCCAIIAggCCAIIAggCCAIIAggCCAIIAggCCAIEAgMCKnNxAH4AAAAAAAJzcQB+AAT///////////////7////+/////3VxAH4ABwAAAAQbRzHTeHh3TQIeAAIBAgICKwAGMjAxNzA0AgQCBQIGAgcCCAIJAgoCCwIMAg0CCAIIAggCCAIIAggCCAIIAggCCAIIAggCCAIIAggCCAIIAgQCAwIsc3EAfgAAAAAAAnNxAH4ABP///////////////v////7/////dXEAfgAHAAAABAnwakZ4eHdNAh4AAgECAgItAAYyMDE3MTACBAIFAgYCBwIIAgkCCgILAgwCDQIIAggCCAIIAggCCAIIAggCCAIIAggCCAIIAggCCAIIAggCBAIDAi5zcQB+AAAAAAACc3EAfgAE///////////////+/////gAAAAF1cQB+AAcAAAAECQ0V/Xh4d00CHgACAQICAi8ABjIwMTcwOQIEAgUCBgIHAggCCQIKAgsCDAINAggCCAIIAggCCAIIAggCCAIIAggCCAIIAggCCAIIAggCCAIEAgMCMHNxAH4AAAAAAAJzcQB+AAT///////////////7////+AAAAAXVxAH4ABwAAAAQCjrCgeHh3TQIeAAIBAgICMQAGMjAxNzA4AgQCBQIGAgcCCAIJAgoCCwIMAg0CCAIIAggCCAIIAggCCAIIAggCCAIIAggCCAIIAggCCAIIAgQCAwIyc3EAfgAAAAAAAnNxAH4ABP///////////////v////7/////dXEAfgAHAAAAAzKU1nh4d00CHgACAQICAjMABjIwMTgwMgIEAgUCBgIHAggCCQIKAgsCDAINAggCCAIIAggCCAIIAggCCAIIAggCCAIIAggCCAIIAggCCAIEAgMCNHNxAH4AAAAAAAJzcQB+AAT///////////////7////+/////3VxAH4ABwAAAAQZYudleHh3TQIeAAIBAgICNQAGMjAxNzAxAgQCBQIGAgcCCAIJAgoCCwIMAg0CCAIIAggCCAIIAggCCAIIAggCCAIIAggCCAIIAggCCAIIAgQCAwI2c3EAfgAAAAAAAnNxAH4ABP///////////////v////7/////dXEAfgAHAAAABCjphrZ4eHdYAh4AAjcACTQzMTcwMzA1NgICAjECBAIFAgYCBwIIAgkCOAAGMTkxMDEwAgsCDAINAggCCAIIAggCCAIIAggCCAIIAggCCAIIAggCCAIIAggCCAICAgMCOXNxAH4AAAAAAAJzcQB+AAT///////////////7////+/////3VxAH4ABwAAAARlMUGreHh3RQIeAAI3AgICIQIEAgUCBgIHAggCCQI4AgsCDAINAggCCAIIAggCCAIIAggCCAIIAggCCAIIAggCCAIIAggCCAICAgMCOnNxAH4AAAAAAAJzcQB+AAT///////////////7////+/////3VxAH4ABwAAAAQw0KqzeHh3RQIeAAI3AgICIwIEAgUCBgIHAggCCQI4AgsCDAINAggCCAIIAggCCAIIAggCCAIIAggCCAIIAggCCAIIAggCCAICAgMCO3NxAH4AAAAAAAJzcQB+AAT///////////////7////+/////3VxAH4ABwAAAARO7ujaeHh3RQIeAAI3AgICJQIEAgUCBgIHAggCCQI4AgsCDAINAggCCAIIAggCCAIIAggCCAIIAggCCAIIAggCCAIIAggCCAICAgMCPHNxAH4AAAAAAAJzcQB+AAT///////////////7////+/////3VxAH4ABwAAAARSfqMaeHh3RQIeAAI3AgICKQIEAgUCBgIHAggCCQI4AgsCDAINAggCCAIIAggCCAIIAggCCAIIAggCCAIIAggCCAIIAggCCAICAgMCPXNxAH4AAAAAAAJzcQB+AAT///////////////7////+/////3VxAH4ABwAAAARJi1PJeHh3RQIeAAI3AgICJwIEAgUCBgIHAggCCQI4AgsCDAINAggCCAIIAggCCAIIAggCCAIIAggCCAIIAggCCAIIAggCCAICAgMCPnNxAH4AAAAAAAJzcQB+AAT///////////////7////+/////3VxAH4ABwAAAARYCwcseHh3RQIeAAI3AgICKwIEAgUCBgIHAggCCQI4AgsCDAINAggCCAIIAggCCAIIAggCCAIIAggCCAIIAggCCAIIAggCCAICAgMCP3NxAH4AAAAAAAJzcQB+AAT///////////////7////+/////3VxAH4ABwAAAARacNl3eHh3RQIeAAI3AgICLQIEAgUCBgIHAggCCQI4AgsCDAINAggCCAIIAggCCAIIAggCCAIIAggCCAIIAggCCAIIAggCCAICAgMCQHNxAH4AAAAAAAJzcQB+AAT///////////////7////+/////3VxAH4ABwAAAASC3IjxeHh3RQIeAAI3AgICMwIEAgUCBgIHAggCCQI4AgsCDAINAggCCAIIAggCCAIIAggCCAIIAggCCAIIAggCCAIIAggCCAICAgMCQXNxAH4AAAAAAAJzcQB+AAT///////////////7////+/////3VxAH4ABwAAAARPKnH5eHh3RQIeAAI3AgICHQIEAgUCBgIHAggCCQI4AgsCDAINAggCCAIIAggCCAIIAggCCAIIAggCCAIIAggCCAIIAggCCAICAgMCQnNxAH4AAAAAAAJzcQB+AAT///////////////7////+/////3VxAH4ABwAAAARCNLx8eHh3RQIeAAI3AgICLwIEAgUCBgIHAggCCQI4AgsCDAINAggCCAIIAggCCAIIAggCCAIIAggCCAIIAggCCAIIAggCCAICAgMCQ3NxAH4AAAAAAAJzcQB+AAT///////////////7////+/////3VxAH4ABwAAAARxBllJeHh3RQIeAAI3AgICAwIEAgUCBgIHAggCCQI4AgsCDAINAggCCAIIAggCCAIIAggCCAIIAggCCAIIAggCCAIIAggCCAICAgMCRHNxAH4AAAAAAAJzcQB+AAT///////////////7////+/////3VxAH4ABwAAAARZ/eXyeHh3RQIeAAI3AgICNQIEAgUCBgIHAggCCQI4AgsCDAINAggCCAIIAggCCAIIAggCCAIIAggCCAIIAggCCAIIAggCCAICAgMCRXNxAH4AAAAAAAJzcQB+AAT///////////////7////+/////3VxAH4ABwAAAAQ9FTt2eHh3RQIeAAI3AgICGwIEAgUCBgIHAggCCQI4AgsCDAINAggCCAIIAggCCAIIAggCCAIIAggCCAIIAggCCAIIAggCCAICAgMCRnNxAH4AAAAAAAJzcQB+AAT///////////////7////+/////3VxAH4ABwAAAARTY5smeHh3RQIeAAI3AgICHwIEAgUCBgIHAggCCQI4AgsCDAINAggCCAIIAggCCAIIAggCCAIIAggCCAIIAggCCAIIAggCCAICAgMCR3NxAH4AAAAAAAJzcQB+AAT///////////////7////+/////3VxAH4ABwAAAARe1GL4eHh3VAIeAAJIAAk0MTcwMTU5MDQCAgItAgQCBQIGAgcCCAIJAjgCCwJJAAJJRAINAggCCAIIAggCCAIIAggCCAIIAggCCAIIAggCCAIIAggCCAITAgMCSnNxAH4AAAAAAAJzcQB+AAT///////////////7////+/////3VxAH4ABwAAAARDRE3geHh3VQIeAAJIAgICSwAGMjAxNjAyAgQCBQIGAgcCCAIJAkwABjE5MTAxNQILAkkCDQIIAggCCAIIAggCCAIIAggCCAIIAggCCAIIAggCCAIIAggCEwIDAk1zcQB+AAAAAAACc3EAfgAE///////////////+/////v////91cQB+AAcAAAADEle/eHh3RQIeAAJIAgICGwIEAgUCBgIHAggCCQJMAgsCSQINAggCCAIIAggCCAIIAggCCAIIAggCCAIIAggCCAIIAggCCAITAgMCTnNxAH4AAAAAAAJzcQB+AAT///////////////7////+/////3VxAH4ABwAAAAMSit94eHdNAh4AAkgCAgJPAAYyMDE4MDQCBAIFAgYCBwIIAgkCTAILAkkCDQIIAggCCAIIAggCCAIIAggCCAIIAggCCAIIAggCCAIIAggCEwIDAlBzcQB+AAAAAAACc3EAfgAE///////////////+/////gAAAAB1cQB+AAcAAAAAeHh3RQIeAAJIAgICHQIEAgUCBgIHAggCCQIKAgsCSQINAggCCAIIAggCCAIIAggCCAIIAggCCAIIAggCCAIIAggCCAITAgMCUXNxAH4AAAAAAAJzcQB+AAT///////////////7////+/////3VxAH4ABwAAAAQWt6iieHh3RQIeAAJIAgICGwIEAgUCBgIHAggCCQI4AgsCSQINAggCCAIIAggCCAIIAggCCAIIAggCCAIIAggCCAIIAggCCAITAgMCUnNxAH4AAAAAAAJzcQB+AAT///////////////7////+/////3VxAH4ABwAAAAQmeB9xeHh3TQIeAAJIAgICUwAGMjAxNjA0AgQCBQIGAgcCCAIJAgoCCwJJAg0CCAIIAggCCAIIAggCCAIIAggCCAIIAggCCAIIAggCCAIIAhMCAwJUc3EAfgAAAAAAAnNxAH4ABP///////////////v////7/////dXEAfgAHAAAABAJQHul4eHdFAh4AAkgCAgIrAgQCBQIGAgcCCAIJAjgCCwJJAg0CCAIIAggCCAIIAggCCAIIAggCCAIIAggCCAIIAggCCAIIAhMCAwJVc3EAfgAAAAAAAnNxAH4ABP///////////////v////7/////dXEAfgAHAAAABCng5RN4eHdNAh4AAkgCAgJWAAYyMDE2MTECBAIFAgYCBwIIAgkCCgILAkkCDQIIAggCCAIIAggCCAIIAggCCAIIAggCCAIIAggCCAIIAggCEwIDAldzcQB+AAAAAAACc3EAfgAE///////////////+/////v////91cQB+AAcAAAAEJZDR+3h4d0UCHgACSAICAk8CBAIFAgYCBwIIAgkCOAILAkkCDQIIAggCCAIIAggCCAIIAggCCAIIAggCCAIIAggCCAIIAggCEwIDAlhzcQB+AAAAAAACc3EAfgAE///////////////+/////v////91cQB+AAcAAAAELvQU/3h4d00CHgACSAICAlkABjIwMTYwMwIEAgUCBgIHAggCCQI4AgsCSQINAggCCAIIAggCCAIIAggCCAIIAggCCAIIAggCCAIIAggCCAITAgMCWnNxAH4AAAAAAAJzcQB+AAT///////////////7////+/////3VxAH4ABwAAAAQerglPeHh3RQIeAAJIAgICAwIEAgUCBgIHAggCCQIKAgsCSQINAggCCAIIAggCCAIIAggCCAIIAggCCAIIAggCCAIIAggCCAITAgMCW3NxAH4AAAAAAAJzcQB+AAT///////////////7////+/////3VxAH4ABwAAAAQC12dUeHh3RQIeAAJIAgICKwIEAgUCBgIHAggCCQIKAgsCSQINAggCCAIIAggCCAIIAggCCAIIAggCCAIIAggCCAIIAggCCAITAgMCXHNxAH4AAAAAAAJzcQB+AAT///////////////7////+/////3VxAH4ABwAAAAQFBKNBeHh3igIeAAJIAgICJQIEAgUCBgIHAggCCQJMAgsCSQINAggCCAIIAggCCAIIAggCCAIIAggCCAIIAggCCAIIAggCCAITAgMCUAIeAAJIAgICKQIEAgUCBgIHAggCCQJMAgsCSQINAggCCAIIAggCCAIIAggCCAIIAggCCAIIAggCCAIIAggCCAITAgMCXXNxAH4AAAAAAAJzcQB+AAT///////////////7////+/////3VxAH4ABwAAAAMShut4eHdFAh4AAkgCAgIpAgQCBQIGAgcCCAIJAjgCCwJJAg0CCAIIAggCCAIIAggCCAIIAggCCAIIAggCCAIIAggCCAIIAhMCAwJec3EAfgAAAAAAAnNxAH4ABP///////////////v////7/////dXEAfgAHAAAABCIKrDF4eHdNAh4AAkgCAgJfAAYyMDE2MTACBAIFAgYCBwIIAgkCCgILAkkCDQIIAggCCAIIAggCCAIIAggCCAIIAggCCAIIAggCCAIIAggCEwIDAmBzcQB+AAAAAAACc3EAfgAE///////////////+/////gAAAAF1cQB+AAcAAAADuXJ8eHh3RQIeAAJIAgICWQIEAgUCBgIHAggCCQIKAgsCSQINAggCCAIIAggCCAIIAggCCAIIAggCCAIIAggCCAIIAggCCAITAgMCYXNxAH4AAAAAAAJzcQB+AAT///////////////7////+/////3VxAH4ABwAAAAQC+0uLeHh3RQIeAAJIAgICLQIEAgUCBgIHAggCCQJMAgsCSQINAggCCAIIAggCCAIIAggCCAIIAggCCAIIAggCCAIIAggCCAITAgMCYnNxAH4AAAAAAAJzcQB+AAT///////////////7////+/////3VxAH4ABwAAAAMSpqJ4eHdFAh4AAkgCAgIlAgQCBQIGAgcCCAIJAjgCCwJJAg0CCAIIAggCCAIIAggCCAIIAggCCAIIAggCCAIIAggCCAIIAhMCAwJjc3EAfgAAAAAAAnNxAH4ABP///////////////v////7/////dXEAfgAHAAAABCrCsfh4eHdFAh4AAkgCAgJLAgQCBQIGAgcCCAIJAjgCCwJJAg0CCAIIAggCCAIIAggCCAIIAggCCAIIAggCCAIIAggCCAIIAhMCAwJkc3EAfgAAAAAAAnNxAH4ABP///////////////v////7/////dXEAfgAHAAAABBuzHlx4eHdFAh4AAkgCAgIhAgQCBQIGAgcCCAIJAgoCCwJJAg0CCAIIAggCCAIIAggCCAIIAggCCAIIAggCCAIIAggCCAIIAhMCAwJlc3EAfgAAAAAAAnNxAH4ABP///////////////v////7/////dXEAfgAHAAAABB7AdGx4eHdNAh4AAkgCAgJmAAYyMDE4MDUCBAIFAgYCBwIIAgkCCgILAkkCDQIIAggCCAIIAggCCAIIAggCCAIIAggCCAIIAggCCAIIAggCEwIDAmdzcQB+AAAAAAACc3EAfgAE///////////////+/////gAAAAF1cQB+AAcAAAADNqW2eHh3RQIeAAJIAgICMwIEAgUCBgIHAggCCQI4AgsCSQINAggCCAIIAggCCAIIAggCCAIIAggCCAIIAggCCAIIAggCCAITAgMCaHNxAH4AAAAAAAJzcQB+AAT///////////////7////+/////3VxAH4ABwAAAAQpRoS2eHh3TQIeAAJIAgICaQAGMjAxNjA1AgQCBQIGAgcCCAIJAjgCCwJJAg0CCAIIAggCCAIIAggCCAIIAggCCAIIAggCCAIIAggCCAIIAhMCAwJqc3EAfgAAAAAAAnNxAH4ABP///////////////v////7/////dXEAfgAHAAAABCYvMsJ4eHdFAh4AAkgCAgIdAgQCBQIGAgcCCAIJAjgCCwJJAg0CCAIIAggCCAIIAggCCAIIAggCCAIIAggCCAIIAggCCAIIAhMCAwJrc3EAfgAAAAAAAnNxAH4ABP///////////////v////7/////dXEAfgAHAAAABCQ0bfR4eHeKAh4AAkgCAgIdAgQCBQIGAgcCCAIJAkwCCwJJAg0CCAIIAggCCAIIAggCCAIIAggCCAIIAggCCAIIAggCCAIIAhMCAwJQAh4AAkgCAgI1AgQCBQIGAgcCCAIJAkwCCwJJAg0CCAIIAggCCAIIAggCCAIIAggCCAIIAggCCAIIAggCCAIIAhMCAwJsc3EAfgAAAAAAAnNxAH4ABP///////////////v////7/////dXEAfgAHAAAAAxKC+Hh4d0UCHgACSAICAicCBAIFAgYCBwIIAgkCOAILAkkCDQIIAggCCAIIAggCCAIIAggCCAIIAggCCAIIAggCCAIIAggCEwIDAm1zcQB+AAAAAAACc3EAfgAE///////////////+/////v////91cQB+AAcAAAAEKgtGIXh4d0UCHgACSAICAjUCBAIFAgYCBwIIAgkCOAILAkkCDQIIAggCCAIIAggCCAIIAggCCAIIAggCCAIIAggCCAIIAggCEwIDAm5zcQB+AAAAAAACc3EAfgAE///////////////+/////v////91cQB+AAcAAAAEHbH6THh4d0UCHgACSAICAh8CBAIFAgYCBwIIAgkCCgILAkkCDQIIAggCCAIIAggCCAIIAggCCAIIAggCCAIIAggCCAIIAggCEwIDAm9zcQB+AAAAAAACc3EAfgAE///////////////+/////v////91cQB+AAcAAAADTrgKeHh3igIeAAJIAgICMwIEAgUCBgIHAggCCQJMAgsCSQINAggCCAIIAggCCAIIAggCCAIIAggCCAIIAggCCAIIAggCCAITAgMCUAIeAAJIAgICLQIEAgUCBgIHAggCCQIKAgsCSQINAggCCAIIAggCCAIIAggCCAIIAggCCAIIAggCCAIIAggCCAITAgMCcHNxAH4AAAAAAAJzcQB+AAT///////////////7////+AAAAAXVxAH4ABwAAAAQGG1pqeHh3RQIeAAJIAgICaQIEAgUCBgIHAggCCQJMAgsCSQINAggCCAIIAggCCAIIAggCCAIIAggCCAIIAggCCAIIAggCCAITAgMCcXNxAH4AAAAAAAJzcQB+AAT///////////////7////+/////3VxAH4ABwAAAAMSY394eHeKAh4AAkgCAgJmAgQCBQIGAgcCCAIJAkwCCwJJAg0CCAIIAggCCAIIAggCCAIIAggCCAIIAggCCAIIAggCCAIIAhMCAwJQAh4AAkgCAgJZAgQCBQIGAgcCCAIJAkwCCwJJAg0CCAIIAggCCAIIAggCCAIIAggCCAIIAggCCAIIAggCCAIIAhMCAwJyc3EAfgAAAAAAAnNxAH4ABP///////////////v////7/////dXEAfgAHAAAAAxJbqXh4d0UCHgACSAICAisCBAIFAgYCBwIIAgkCTAILAkkCDQIIAggCCAIIAggCCAIIAggCCAIIAggCCAIIAggCCAIIAggCEwIDAnNzcQB+AAAAAAACc3EAfgAE///////////////+/////v////91cQB+AAcAAAADEo7UeHh3RQIeAAJIAgICKQIEAgUCBgIHAggCCQIKAgsCSQINAggCCAIIAggCCAIIAggCCAIIAggCCAIIAggCCAIIAggCCAITAgMCdHNxAH4AAAAAAAJzcQB+AAT///////////////7////+/////3VxAH4ABwAAAAQOCxxKeHh3TQIeAAJIAgICdQAGMjAxNjA4AgQCBQIGAgcCCAIJAjgCCwJJAg0CCAIIAggCCAIIAggCCAIIAggCCAIIAggCCAIIAggCCAIIAhMCAwJ2c3EAfgAAAAAAAnNxAH4ABP///////////////v////7/////dXEAfgAHAAAABDHvtRl4eHdFAh4AAkgCAgIvAgQCBQIGAgcCCAIJAkwCCwJJAg0CCAIIAggCCAIIAggCCAIIAggCCAIIAggCCAIIAggCCAIIAhMCAwJ3c3EAfgAAAAAAAnNxAH4ABP///////////////v////7/////dXEAfgAHAAAAAxKiqHh4d00CHgACSAICAngABjIwMTYwNgIEAgUCBgIHAggCCQIKAgsCSQINAggCCAIIAggCCAIIAggCCAIIAggCCAIIAggCCAIIAggCCAITAgMCeXNxAH4AAAAAAAJzcQB+AAT///////////////7////+/////3VxAH4ABwAAAAQBZMryeHh3RQIeAAJIAgICLwIEAgUCBgIHAggCCQI4AgsCSQINAggCCAIIAggCCAIIAggCCAIIAggCCAIIAggCCAIIAggCCAITAgMCenNxAH4AAAAAAAJzcQB+AAT///////////////7////+/////3VxAH4ABwAAAAQ5RS7+eHh3TQIeAAJIAgICewAGMjAxNjEyAgQCBQIGAgcCCAIJAgoCCwJJAg0CCAIIAggCCAIIAggCCAIIAggCCAIIAggCCAIIAggCCAIIAhMCAwJ8c3EAfgAAAAAAAnNxAH4ABP///////////////v////7/////dXEAfgAHAAAABB0QqXR4eHdFAh4AAkgCAgJmAgQCBQIGAgcCCAIJAjgCCwJJAg0CCAIIAggCCAIIAggCCAIIAggCCAIIAggCCAIIAggCCAIIAhMCAwJ9c3EAfgAAAAAAAnNxAH4ABP///////////////v////7/////dXEAfgAHAAAABC/+xlx4eHdFAh4AAkgCAgJWAgQCBQIGAgcCCAIJAjgCCwJJAg0CCAIIAggCCAIIAggCCAIIAggCCAIIAggCCAIIAggCCAIIAhMCAwJ+c3EAfgAAAAAAAnNxAH4ABP///////////////v////7/////dXEAfgAHAAAABAvREnR4eHdFAh4AAkgCAgJWAgQCBQIGAgcCCAIJAkwCCwJJAg0CCAIIAggCCAIIAggCCAIIAggCCAIIAggCCAIIAggCCAIIAhMCAwJ/c3EAfgAAAAAAAnNxAH4ABP///////////////v////7/////dXEAfgAHAAAAAxJ7FXh4d0UCHgACSAICAnUCBAIFAgYCBwIIAgkCTAILAkkCDQIIAggCCAIIAggCCAIIAggCCAIIAggCCAIIAggCCAIIAggCEwIDAoBzcQB+AAAAAAACc3EAfgAE///////////////+/////v////91cQB+AAcAAAADEm9GeHh3RQIeAAJIAgICJQIEAgUCBgIHAggCCQIKAgsCSQINAggCCAIIAggCCAIIAggCCAIIAggCCAIIAggCCAIIAggCCAITAgMCgXNxAH4AAAAAAAJzcQB+AAT///////////////7////+/////3VxAH4ABwAAAAQE4d6ZeHh3TQIeAAJIAgICggAGMjAxNjA3AgQCBQIGAgcCCAIJAjgCCwJJAg0CCAIIAggCCAIIAggCCAIIAggCCAIIAggCCAIIAggCCAIIAhMCAwKDc3EAfgAAAAAAAnNxAH4ABP///////////////v////7/////dXEAfgAHAAAABC794JJ4eHdFAh4AAkgCAgIxAgQCBQIGAgcCCAIJAjgCCwJJAg0CCAIIAggCCAIIAggCCAIIAggCCAIIAggCCAIIAggCCAIIAhMCAwKEc3EAfgAAAAAAAnNxAH4ABP///////////////v////7/////dXEAfgAHAAAABDQ5VOh4eHdNAh4AAkgCAgKFAAYyMDE2MDkCBAIFAgYCBwIIAgkCCgILAkkCDQIIAggCCAIIAggCCAIIAggCCAIIAggCCAIIAggCCAIIAggCEwIDAoZzcQB+AAAAAAACc3EAfgAE///////////////+/////v////91cQB+AAcAAAADMvcReHh3RQIeAAJIAgICMQIEAgUCBgIHAggCCQJMAgsCSQINAggCCAIIAggCCAIIAggCCAIIAggCCAIIAggCCAIIAggCCAITAgMCh3NxAH4AAAAAAAJzcQB+AAT///////////////7////+/////3VxAH4ABwAAAAMSnq94eHdFAh4AAkgCAgKCAgQCBQIGAgcCCAIJAkwCCwJJAg0CCAIIAggCCAIIAggCCAIIAggCCAIIAggCCAIIAggCCAIIAhMCAwKIc3EAfgAAAAAAAnNxAH4ABP///////////////v////7/////dXEAfgAHAAAAAxJrWHh4d0UCHgACSAICAi8CBAIFAgYCBwIIAgkCCgILAkkCDQIIAggCCAIIAggCCAIIAggCCAIIAggCCAIIAggCCAIIAggCEwIDAolzcQB+AAAAAAACc3EAfgAE///////////////+/////gAAAAF1cQB+AAcAAAAEAloS0nh4d0UCHgACSAICAjUCBAIFAgYCBwIIAgkCCgILAkkCDQIIAggCCAIIAggCCAIIAggCCAIIAggCCAIIAggCCAIIAggCEwIDAopzcQB+AAAAAAACc3EAfgAE///////////////+/////v////91cQB+AAcAAAAEFDr3g3h4d0UCHgACSAICAjMCBAIFAgYCBwIIAgkCCgILAkkCDQIIAggCCAIIAggCCAIIAggCCAIIAggCCAIIAggCCAIIAggCEwIDAotzcQB+AAAAAAACc3EAfgAE///////////////+/////v////91cQB+AAcAAAAECivT53h4d0UCHgACSAICAnsCBAIFAgYCBwIIAgkCTAILAkkCDQIIAggCCAIIAggCCAIIAggCCAIIAggCCAIIAggCCAIIAggCEwIDAoxzcQB+AAAAAAACc3EAfgAE///////////////+/////v////91cQB+AAcAAAADEn8GeHh3RQIeAAJIAgICeAIEAgUCBgIHAggCCQI4AgsCSQINAggCCAIIAggCCAIIAggCCAIIAggCCAIIAggCCAIIAggCCAITAgMCjXNxAH4AAAAAAAJzcQB+AAT///////////////7////+/////3VxAH4ABwAAAAQrEAtReHh3RQIeAAJIAgICJwIEAgUCBgIHAggCCQJMAgsCSQINAggCCAIIAggCCAIIAggCCAIIAggCCAIIAggCCAIIAggCCAITAgMCjnNxAH4AAAAAAAJzcQB+AAT///////////////7////+/////3VxAH4ABwAAAAMSlsB4eHdFAh4AAkgCAgIfAgQCBQIGAgcCCAIJAjgCCwJJAg0CCAIIAggCCAIIAggCCAIIAggCCAIIAggCCAIIAggCCAIIAhMCAwKPc3EAfgAAAAAAAnNxAH4ABP///////////////v////7/////dXEAfgAHAAAABC6RhSt4eHdFAh4AAkgCAgJ1AgQCBQIGAgcCCAIJAgoCCwJJAg0CCAIIAggCCAIIAggCCAIIAggCCAIIAggCCAIIAggCCAIIAhMCAwKQc3EAfgAAAAAAAnNxAH4ABP///////////////v////7/////dXEAfgAHAAAAA56yqnh4d0UCHgACSAICAngCBAIFAgYCBwIIAgkCTAILAkkCDQIIAggCCAIIAggCCAIIAggCCAIIAggCCAIIAggCCAIIAggCEwIDApFzcQB+AAAAAAACc3EAfgAE///////////////+/////v////91cQB+AAcAAAADEmdreHh3RQIeAAJIAgICHwIEAgUCBgIHAggCCQJMAgsCSQINAggCCAIIAggCCAIIAggCCAIIAggCCAIIAggCCAIIAggCCAITAgMCknNxAH4AAAAAAAJzcQB+AAT///////////////7////+/////3VxAH4ABwAAAAMSmrd4eHdFAh4AAkgCAgIxAgQCBQIGAgcCCAIJAgoCCwJJAg0CCAIIAggCCAIIAggCCAIIAggCCAIIAggCCAIIAggCCAIIAhMCAwKTc3EAfgAAAAAAAnNxAH4ABP///////////////v////4AAAABdXEAfgAHAAAAA/+JXnh4d0UCHgACSAICAiMCBAIFAgYCBwIIAgkCCgILAkkCDQIIAggCCAIIAggCCAIIAggCCAIIAggCCAIIAggCCAIIAggCEwIDApRzcQB+AAAAAAACc3EAfgAE///////////////+/////v////91cQB+AAcAAAAEEKaLJHh4d0UCHgACSAICAk8CBAIFAgYCBwIIAgkCCgILAkkCDQIIAggCCAIIAggCCAIIAggCCAIIAggCCAIIAggCCAIIAggCEwIDApVzcQB+AAAAAAACc3EAfgAE///////////////+/////v////91cQB+AAcAAAAEATJrz3h4d0UCHgACSAICAksCBAIFAgYCBwIIAgkCCgILAkkCDQIIAggCCAIIAggCCAIIAggCCAIIAggCCAIIAggCCAIIAggCEwIDApZzcQB+AAAAAAACc3EAfgAE///////////////+/////v////91cQB+AAcAAAAEBFuSEHh4d0UCHgACSAICAhsCBAIFAgYCBwIIAgkCCgILAkkCDQIIAggCCAIIAggCCAIIAggCCAIIAggCCAIIAggCCAIIAggCEwIDApdzcQB+AAAAAAACc3EAfgAE///////////////+/////v////91cQB+AAcAAAAECL1IIXh4d0UCHgACSAICAgMCBAIFAgYCBwIIAgkCTAILAkkCDQIIAggCCAIIAggCCAIIAggCCAIIAggCCAIIAggCCAIIAggCEwIDAphzcQB+AAAAAAACc3EAfgAE///////////////+/////v////91cQB+AAcAAAADEpLKeHh3RQIeAAJIAgICggIEAgUCBgIHAggCCQIKAgsCSQINAggCCAIIAggCCAIIAggCCAIIAggCCAIIAggCCAIIAggCCAITAgMCmXNxAH4AAAAAAAJzcQB+AAT///////////////7////+/////3VxAH4ABwAAAAQBBpRgeHh3RQIeAAJIAgICewIEAgUCBgIHAggCCQI4AgsCSQINAggCCAIIAggCCAIIAggCCAIIAggCCAIIAggCCAIIAggCCAITAgMCmnNxAH4AAAAAAAJzcQB+AAT///////////////7////+/////3VxAH4ABwAAAAQVrLWfeHh3igIeAAJIAgICIQIEAgUCBgIHAggCCQJMAgsCSQINAggCCAIIAggCCAIIAggCCAIIAggCCAIIAggCCAIIAggCCAITAgMCUAIeAAJIAgIChQIEAgUCBgIHAggCCQI4AgsCSQINAggCCAIIAggCCAIIAggCCAIIAggCCAIIAggCCAIIAggCCAITAgMCm3NxAH4AAAAAAAJzcQB+AAT///////////////7////+/////3VxAH4ABwAAAAQzvJaSeHh3RQIeAAJIAgIChQIEAgUCBgIHAggCCQJMAgsCSQINAggCCAIIAggCCAIIAggCCAIIAggCCAIIAggCCAIIAggCCAITAgMCnHNxAH4AAAAAAAJzcQB+AAT///////////////7////+/////3VxAH4ABwAAAAMSczV4eHdFAh4AAkgCAgJfAgQCBQIGAgcCCAIJAkwCCwJJAg0CCAIIAggCCAIIAggCCAIIAggCCAIIAggCCAIIAggCCAIIAhMCAwKdc3EAfgAAAAAAAnNxAH4ABP///////////////v////7/////dXEAfgAHAAAAAxJ3JXh4d0UCHgACSAICAl8CBAIFAgYCBwIIAgkCOAILAkkCDQIIAggCCAIIAggCCAIIAggCCAIIAggCCAIIAggCCAIIAggCEwIDAp5zcQB+AAAAAAACc3EAfgAE///////////////+/////v////91cQB+AAcAAAAENJhHI3h4d0UCHgACSAICAiMCBAIFAgYCBwIIAgkCOAILAkkCDQIIAggCCAIIAggCCAIIAggCCAIIAggCCAIIAggCCAIIAggCEwIDAp9zcQB+AAAAAAACc3EAfgAE///////////////+/////v////91cQB+AAcAAAAEKSCPhXh4d0UCHgACSAICAiECBAIFAgYCBwIIAgkCOAILAkkCDQIIAggCCAIIAggCCAIIAggCCAIIAggCCAIIAggCCAIIAggCEwIDAqBzcQB+AAAAAAACc3EAfgAE///////////////+/////v////91cQB+AAcAAAAEHCN8kHh4d0UCHgACSAICAgMCBAIFAgYCBwIIAgkCOAILAkkCDQIIAggCCAIIAggCCAIIAggCCAIIAggCCAIIAggCCAIIAggCEwIDAqFzcQB+AAAAAAACc3EAfgAE///////////////+/////v////91cQB+AAcAAAAEKiZPC3h4d0UCHgACSAICAmkCBAIFAgYCBwIIAgkCCgILAkkCDQIIAggCCAIIAggCCAIIAggCCAIIAggCCAIIAggCCAIIAggCEwIDAqJzcQB+AAAAAAACc3EAfgAE///////////////+/////v////91cQB+AAcAAAAEAc1Kd3h4d4oCHgACSAICAiMCBAIFAgYCBwIIAgkCTAILAkkCDQIIAggCCAIIAggCCAIIAggCCAIIAggCCAIIAggCCAIIAggCEwIDAlACHgACSAICAicCBAIFAgYCBwIIAgkCCgILAkkCDQIIAggCCAIIAggCCAIIAggCCAIIAggCCAIIAggCCAIIAggCEwIDAqNzcQB+AAAAAAACc3EAfgAE///////////////+/////v////91cQB+AAcAAAAEAW1K0nh4d0UCHgACSAICAlMCBAIFAgYCBwIIAgkCOAILAkkCDQIIAggCCAIIAggCCAIIAggCCAIIAggCCAIIAggCCAIIAggCEwIDAqRzcQB+AAAAAAACc3EAfgAE///////////////+/////v////91cQB+AAcAAAAEI8Z4/Xh4d0UCHgACSAICAlMCBAIFAgYCBwIIAgkCTAILAkkCDQIIAggCCAIIAggCCAIIAggCCAIIAggCCAIIAggCCAIIAggCEwIDAqVzcQB+AAAAAAACc3EAfgAE///////////////+/////v////91cQB+AAcAAAADEl+UeHh6AAAEAAIeAAKmAAkyMTkwNjgyNTYCAgInAgQCBQIGAgcCCAIJAgoCCwJJAg0CCAIIAggCCAIIAggCCAIIAggCCAIIAggCCAIIAggCCAIIAgUCAwKjAh4AAqYCAgIdAgQCBQIGAgcCCAIJAgoCCwJJAg0CCAIIAggCCAIIAggCCAIIAggCCAIIAggCCAIIAggCCAIIAgUCAwJRAh4AAqYCAgIvAgQCBQIGAgcCCAIJAgoCCwJJAg0CCAIIAggCCAIIAggCCAIIAggCCAIIAggCCAIIAggCCAIIAgUCAwKJAh4AAqYCAgI1AgQCBQIGAgcCCAIJAgoCCwJJAg0CCAIIAggCCAIIAggCCAIIAggCCAIIAggCCAIIAggCCAIIAgUCAwKKAh4AAqYCAgIzAgQCBQIGAgcCCAIJAgoCCwJJAg0CCAIIAggCCAIIAggCCAIIAggCCAIIAggCCAIIAggCCAIIAgUCAwKLAh4AAqYCAgItAgQCBQIGAgcCCAIJAgoCCwJJAg0CCAIIAggCCAIIAggCCAIIAggCCAIIAggCCAIIAggCCAIIAgUCAwJwAh4AAqYCAgIfAgQCBQIGAgcCCAIJAgoCCwJJAg0CCAIIAggCCAIIAggCCAIIAggCCAIIAggCCAIIAggCCAIIAgUCAwJvAh4AAqYCAgIbAgQCBQIGAgcCCAIJAgoCCwJJAg0CCAIIAggCCAIIAggCCAIIAggCCAIIAggCCAIIAggCCAIIAgUCAwKXAh4AAqYCAgIDAgQCBQIGAgcCCAIJAgoCCwJJAg0CCAIIAggCCAIIAggCCAIIAggCCAIIAggCCAIIAggCCAIIAgUCAwJbAh4AAqYCAgIjAgQCBQIGAgcCCAIJAgoCCwJJAg0CCAIIAggCCAIIAggCCAIIAggCCAIIAggCCAIIAggCCAIIAgUCAwKUAh4AAqYCAgIpAgQCBQIGAgcCCAIJAgoCCwJJAg0CCAIIAggCCAIIAggCCAIIAggCCAIIAggCCAIIAggCCAIIAgUCAwJ0Ah4AAqYCAgIlAgQCBQIGAgcCCAIJAgoCCwJJAg0CCAIIAggCCAIIAggCCAIIAggCCAIIAggCCAIIAggCCAIIAgUCAwKBAh4AAqYCAgIxAgQCBQIGAgcCCAIJAgoCCwJJAg0CCAIIAggCCAIIAggCCAIIAggCCAIIAggCCAIIAggCCAIIAgUCAwKTAh4AAqYCAgIrAgQCBQIGAgcCCAIJAgoCCwJJAg0CCAIIAggCCAIIAggCCAIIAggCCAIIAggCCAIIAggCCAIIAgUCAwJcAh4AAqYCAgIhAgQCBQIGAgcCCAIJAgoCCwJJAg0CCAIIAggCCAIIAggCCAIIAgh3dgIIAggCCAIIAggCCAIIAggCBQIDAmUCHgACpwAJNDk0MDE2MTA0AgICqAAGMjAxMzEyAgQCBQIGAgcCCAIJAqkABjE5MTAyNQILAgwCDQIIAggCCAIIAggCCAIIAggCCAIIAggCCAIIAggCCAIIAggCIgIDAqpzcQB+AAAAAAACc3EAfgAE///////////////+/////v////91cQB+AAcAAAADFOXkeHh6AAAEAAIeAAKrAAk0MzA5ODQzMTICAgIvAgQCBQIGAgcCCAIJAkwCCwJJAg0CCAIIAggCCAIIAggCCAIIAggCCAIIAggCCAIIAggCCAIIAhkCAwJ3Ah4AAqsCAgJ1AgQCBQIGAgcCCAIJAkwCCwJJAg0CCAIIAggCCAIIAggCCAIIAggCCAIIAggCCAIIAggCCAIIAhkCAwKAAh4AAqsCAgKFAgQCBQIGAgcCCAIJAjgCCwJJAg0CCAIIAggCCAIIAggCCAIIAggCCAIIAggCCAIIAggCCAIIAhkCAwKbAh4AAqsCAgIzAgQCBQIGAgcCCAIJAjgCCwJJAg0CCAIIAggCCAIIAggCCAIIAggCCAIIAggCCAIIAggCCAIIAhkCAwJoAh4AAqsCAgI1AgQCBQIGAgcCCAIJAjgCCwJJAg0CCAIIAggCCAIIAggCCAIIAggCCAIIAggCCAIIAggCCAIIAhkCAwJuAh4AAqsCAgJLAgQCBQIGAgcCCAIJAgoCCwJJAg0CCAIIAggCCAIIAggCCAIIAggCCAIIAggCCAIIAggCCAIIAhkCAwKWAh4AAqsCAgIvAgQCBQIGAgcCCAIJAjgCCwJJAg0CCAIIAggCCAIIAggCCAIIAggCCAIIAggCCAIIAggCCAIIAhkCAwJ6Ah4AAqsCAgIbAgQCBQIGAgcCCAIJAgoCCwJJAg0CCAIIAggCCAIIAggCCAIIAggCCAIIAggCCAIIAggCCAIIAhkCAwKXAh4AAqsCAgKFAgQCBQIGAgcCCAIJAkwCCwJJAg0CCAIIAggCCAIIAggCCAIIAggCCAIIAggCCAIIAggCCAIIAhkCAwKcAh4AAqsCAgIrAgQCBQIGAgcCCAIJAgoCCwJJAg0CCAIIAggCCAIIAggCCAIIAggCCAIIAggCCAIIAggCCAIIAhkCAwJcAh4AAqsCAgJZAgQCBQIGAgcCCAIJAgoCCwJJAg0CCAIIAggCCAIIAggCCAIIAggCCAIIAggCCAIIAggCCAIIAhkCAwJhAh4AAqsCAgIpAgQCBQIGAgcCCAIJAjgCCwJJAg0CCAIIAggCCAIIAggCCAIIAggCCAIIAggCCAIIAggCCAIIAhkCAwJeAh4AAqsCAgIhAgQCBQIGAgcCCAIJAgoCCwJJAg0CCAIIAggCCAIIAggCCAIIAggCCAIIAggCCAIIAggCCAIIAhkCAwJlAh4AAqsCAgIjAgQCBQIGAgcCCAIJAgoCCwJJAg0CCAIIAggCCAIIAggCCAIIAggCCAIIAggCCAIIAggCCAIIAhkCAwKUAh4AAqsCAgIfAgQCBQIGAgcCCAIJAkwCCwJJAg0CCAIIAggCCAIIAggCCAIIAgh6AAAEAAIIAggCCAIIAggCCAIIAggCGQIDApICHgACqwICAngCBAIFAgYCBwIIAgkCTAILAkkCDQIIAggCCAIIAggCCAIIAggCCAIIAggCCAIIAggCCAIIAggCGQIDApECHgACqwICAngCBAIFAgYCBwIIAgkCOAILAkkCDQIIAggCCAIIAggCCAIIAggCCAIIAggCCAIIAggCCAIIAggCGQIDAo0CHgACqwICAlMCBAIFAgYCBwIIAgkCCgILAkkCDQIIAggCCAIIAggCCAIIAggCCAIIAggCCAIIAggCCAIIAggCGQIDAlQCHgACqwICAi0CBAIFAgYCBwIIAgkCOAILAkkCDQIIAggCCAIIAggCCAIIAggCCAIIAggCCAIIAggCCAIIAggCGQIDAkoCHgACqwICAh8CBAIFAgYCBwIIAgkCOAILAkkCDQIIAggCCAIIAggCCAIIAggCCAIIAggCCAIIAggCCAIIAggCGQIDAo8CHgACqwICAi0CBAIFAgYCBwIIAgkCCgILAkkCDQIIAggCCAIIAggCCAIIAggCCAIIAggCCAIIAggCCAIIAggCGQIDAnACHgACqwICAgMCBAIFAgYCBwIIAgkCCgILAkkCDQIIAggCCAIIAggCCAIIAggCCAIIAggCCAIIAggCCAIIAggCGQIDAlsCHgACqwICAjMCBAIFAgYCBwIIAgkCTAILAkkCDQIIAggCCAIIAggCCAIIAggCCAIIAggCCAIIAggCCAIIAggCGQIDAlACHgACqwICAjUCBAIFAgYCBwIIAgkCTAILAkkCDQIIAggCCAIIAggCCAIIAggCCAIIAggCCAIIAggCCAIIAggCGQIDAmwCHgACqwICAh0CBAIFAgYCBwIIAgkCTAILAkkCDQIIAggCCAIIAggCCAIIAggCCAIIAggCCAIIAggCCAIIAggCGQIDAlACHgACqwICAlYCBAIFAgYCBwIIAgkCTAILAkkCDQIIAggCCAIIAggCCAIIAggCCAIIAggCCAIIAggCCAIIAggCGQIDAn8CHgACqwICAisCBAIFAgYCBwIIAgkCOAILAkkCDQIIAggCCAIIAggCCAIIAggCCAIIAggCCAIIAggCCAIIAggCGQIDAlUCHgACqwICAlkCBAIFAgYCBwIIAgkCOAILAkkCDQIIAggCCAIIAggCCAIIAggCCAIIAggCCAIIAggCCAIIAggCGQIDAloCHgACqwICAnUCBAIFAgYCBwIIAgkCOAILAkkCDQIIAggCCAIIAggCCAIIAggCCAIIAggCCAIIAggCCAIIAggCGQIDAnYCHgACqwICAisCBAIFAgYCBwIIAgkCTAILAkkCDQIIAggCCAJ6AAAEAAgCCAIIAggCCAIIAggCCAIIAggCCAIIAggCCAIZAgMCcwIeAAKrAgICewIEAgUCBgIHAggCCQIKAgsCSQINAggCCAIIAggCCAIIAggCCAIIAggCCAIIAggCCAIIAggCCAIZAgMCfAIeAAKrAgICKQIEAgUCBgIHAggCCQIKAgsCSQINAggCCAIIAggCCAIIAggCCAIIAggCCAIIAggCCAIIAggCCAIZAgMCdAIeAAKrAgIChQIEAgUCBgIHAggCCQIKAgsCSQINAggCCAIIAggCCAIIAggCCAIIAggCCAIIAggCCAIIAggCCAIZAgMChgIeAAKrAgICAwIEAgUCBgIHAggCCQI4AgsCSQINAggCCAIIAggCCAIIAggCCAIIAggCCAIIAggCCAIIAggCCAIZAgMCoQIeAAKrAgICXwIEAgUCBgIHAggCCQJMAgsCSQINAggCCAIIAggCCAIIAggCCAIIAggCCAIIAggCCAIIAggCCAIZAgMCnQIeAAKrAgICIQIEAgUCBgIHAggCCQJMAgsCSQINAggCCAIIAggCCAIIAggCCAIIAggCCAIIAggCCAIIAggCCAIZAgMCUAIeAAKrAgICeAIEAgUCBgIHAggCCQIKAgsCSQINAggCCAIIAggCCAIIAggCCAIIAggCCAIIAggCCAIIAggCCAIZAgMCeQIeAAKrAgICWQIEAgUCBgIHAggCCQJMAgsCSQINAggCCAIIAggCCAIIAggCCAIIAggCCAIIAggCCAIIAggCCAIZAgMCcgIeAAKrAgICVgIEAgUCBgIHAggCCQI4AgsCSQINAggCCAIIAggCCAIIAggCCAIIAggCCAIIAggCCAIIAggCCAIZAgMCfgIeAAKrAgICXwIEAgUCBgIHAggCCQI4AgsCSQINAggCCAIIAggCCAIIAggCCAIIAggCCAIIAggCCAIIAggCCAIZAgMCngIeAAKrAgICUwIEAgUCBgIHAggCCQI4AgsCSQINAggCCAIIAggCCAIIAggCCAIIAggCCAIIAggCCAIIAggCCAIZAgMCpAIeAAKrAgICAwIEAgUCBgIHAggCCQJMAgsCSQINAggCCAIIAggCCAIIAggCCAIIAggCCAIIAggCCAIIAggCCAIZAgMCmAIeAAKrAgICHQIEAgUCBgIHAggCCQI4AgsCSQINAggCCAIIAggCCAIIAggCCAIIAggCCAIIAggCCAIIAggCCAIZAgMCawIeAAKrAgICHwIEAgUCBgIHAggCCQIKAgsCSQINAggCCAIIAggCCAIIAggCCAIIAggCCAIIAggCCAIIAggCCAIZAgMCbwIeAAKrAgICMQIEAgUCBgIHAggCCQIKAgt6AAAEAAJJAg0CCAIIAggCCAIIAggCCAIIAggCCAIIAggCCAIIAggCCAIIAhkCAwKTAh4AAqsCAgKCAgQCBQIGAgcCCAIJAgoCCwJJAg0CCAIIAggCCAIIAggCCAIIAggCCAIIAggCCAIIAggCCAIIAhkCAwKZAh4AAqsCAgInAgQCBQIGAgcCCAIJAjgCCwJJAg0CCAIIAggCCAIIAggCCAIIAggCCAIIAggCCAIIAggCCAIIAhkCAwJtAh4AAqsCAgJWAgQCBQIGAgcCCAIJAgoCCwJJAg0CCAIIAggCCAIIAggCCAIIAggCCAIIAggCCAIIAggCCAIIAhkCAwJXAh4AAqsCAgJLAgQCBQIGAgcCCAIJAkwCCwJJAg0CCAIIAggCCAIIAggCCAIIAggCCAIIAggCCAIIAggCCAIIAhkCAwJNAh4AAqsCAgJ7AgQCBQIGAgcCCAIJAjgCCwJJAg0CCAIIAggCCAIIAggCCAIIAggCCAIIAggCCAIIAggCCAIIAhkCAwKaAh4AAqsCAgIbAgQCBQIGAgcCCAIJAkwCCwJJAg0CCAIIAggCCAIIAggCCAIIAggCCAIIAggCCAIIAggCCAIIAhkCAwJOAh4AAqsCAgItAgQCBQIGAgcCCAIJAkwCCwJJAg0CCAIIAggCCAIIAggCCAIIAggCCAIIAggCCAIIAggCCAIIAhkCAwJiAh4AAqsCAgJpAgQCBQIGAgcCCAIJAkwCCwJJAg0CCAIIAggCCAIIAggCCAIIAggCCAIIAggCCAIIAggCCAIIAhkCAwJxAh4AAqsCAgJpAgQCBQIGAgcCCAIJAjgCCwJJAg0CCAIIAggCCAIIAggCCAIIAggCCAIIAggCCAIIAggCCAIIAhkCAwJqAh4AAqsCAgInAgQCBQIGAgcCCAIJAkwCCwJJAg0CCAIIAggCCAIIAggCCAIIAggCCAIIAggCCAIIAggCCAIIAhkCAwKOAh4AAqsCAgIpAgQCBQIGAgcCCAIJAkwCCwJJAg0CCAIIAggCCAIIAggCCAIIAggCCAIIAggCCAIIAggCCAIIAhkCAwJdAh4AAqsCAgJ1AgQCBQIGAgcCCAIJAgoCCwJJAg0CCAIIAggCCAIIAggCCAIIAggCCAIIAggCCAIIAggCCAIIAhkCAwKQAh4AAqsCAgJfAgQCBQIGAgcCCAIJAgoCCwJJAg0CCAIIAggCCAIIAggCCAIIAggCCAIIAggCCAIIAggCCAIIAhkCAwJgAh4AAqsCAgJ7AgQCBQIGAgcCCAIJAkwCCwJJAg0CCAIIAggCCAIIAggCCAIIAggCCAIIAggCCAIIAggCCAIIAhkCAwKMAh4AAqsCAgJLAgQCBQJ6AAAEAAYCBwIIAgkCOAILAkkCDQIIAggCCAIIAggCCAIIAggCCAIIAggCCAIIAggCCAIIAggCGQIDAmQCHgACqwICAhsCBAIFAgYCBwIIAgkCOAILAkkCDQIIAggCCAIIAggCCAIIAggCCAIIAggCCAIIAggCCAIIAggCGQIDAlICHgACqwICAi8CBAIFAgYCBwIIAgkCCgILAkkCDQIIAggCCAIIAggCCAIIAggCCAIIAggCCAIIAggCCAIIAggCGQIDAokCHgACqwICAjUCBAIFAgYCBwIIAgkCCgILAkkCDQIIAggCCAIIAggCCAIIAggCCAIIAggCCAIIAggCCAIIAggCGQIDAooCHgACqwICAh0CBAIFAgYCBwIIAgkCCgILAkkCDQIIAggCCAIIAggCCAIIAggCCAIIAggCCAIIAggCCAIIAggCGQIDAlECHgACqwICAoICBAIFAgYCBwIIAgkCTAILAkkCDQIIAggCCAIIAggCCAIIAggCCAIIAggCCAIIAggCCAIIAggCGQIDAogCHgACqwICAjMCBAIFAgYCBwIIAgkCCgILAkkCDQIIAggCCAIIAggCCAIIAggCCAIIAggCCAIIAggCCAIIAggCGQIDAosCHgACqwICAjECBAIFAgYCBwIIAgkCTAILAkkCDQIIAggCCAIIAggCCAIIAggCCAIIAggCCAIIAggCCAIIAggCGQIDAocCHgACqwICAoICBAIFAgYCBwIIAgkCOAILAkkCDQIIAggCCAIIAggCCAIIAggCCAIIAggCCAIIAggCCAIIAggCGQIDAoMCHgACqwICAlMCBAIFAgYCBwIIAgkCTAILAkkCDQIIAggCCAIIAggCCAIIAggCCAIIAggCCAIIAggCCAIIAggCGQIDAqUCHgACqwICAjECBAIFAgYCBwIIAgkCOAILAkkCDQIIAggCCAIIAggCCAIIAggCCAIIAggCCAIIAggCCAIIAggCGQIDAoQCHgACqwICAiECBAIFAgYCBwIIAgkCOAILAkkCDQIIAggCCAIIAggCCAIIAggCCAIIAggCCAIIAggCCAIIAggCGQIDAqACHgACqwICAicCBAIFAgYCBwIIAgkCCgILAkkCDQIIAggCCAIIAggCCAIIAggCCAIIAggCCAIIAggCCAIIAggCGQIDAqMCHgACqwICAmkCBAIFAgYCBwIIAgkCCgILAkkCDQIIAggCCAIIAggCCAIIAggCCAIIAggCCAIIAggCCAIIAggCGQIDAqICHgACqwICAiMCBAIFAgYCBwIIAgkCOAILAkkCDQIIAggCCAIIAggCCAIIAggCCAIIAggCCAIIAggCCAIIAggCGQIDAp8CHgB6AAAEAAKrAgICIwIEAgUCBgIHAggCCQJMAgsCSQINAggCCAIIAggCCAIIAggCCAIIAggCCAIIAggCCAIIAggCCAIZAgMCUAIeAAKsAAk0MzA5ODY2MzICAgKCAgQCBQIGAgcCCAIJAkwCCwJJAg0CCAIIAggCCAIIAggCCAIIAggCCAIIAggCCAIIAggCCAIIAhsCAwKIAh4AAqwCAgKFAgQCBQIGAgcCCAIJAgoCCwJJAg0CCAIIAggCCAIIAggCCAIIAggCCAIIAggCCAIIAggCCAIIAhsCAwKGAh4AAqwCAgIxAgQCBQIGAgcCCAIJAkwCCwJJAg0CCAIIAggCCAIIAggCCAIIAggCCAIIAggCCAIIAggCCAIIAhsCAwKHAh4AAqwCAgIjAgQCBQIGAgcCCAIJAjgCCwJJAg0CCAIIAggCCAIIAggCCAIIAggCCAIIAggCCAIIAggCCAIIAhsCAwKfAh4AAqwCAgIxAgQCBQIGAgcCCAIJAjgCCwJJAg0CCAIIAggCCAIIAggCCAIIAggCCAIIAggCCAIIAggCCAIIAhsCAwKEAh4AAqwCAgJ1AgQCBQIGAgcCCAIJAjgCCwJJAg0CCAIIAggCCAIIAggCCAIIAggCCAIIAggCCAIIAggCCAIIAhsCAwJ2Ah4AAqwCAgIpAgQCBQIGAgcCCAIJAgoCCwJJAg0CCAIIAggCCAIIAggCCAIIAggCCAIIAggCCAIIAggCCAIIAhsCAwJ0Ah4AAqwCAgJ1AgQCBQIGAgcCCAIJAkwCCwJJAg0CCAIIAggCCAIIAggCCAIIAggCCAIIAggCCAIIAggCCAIIAhsCAwKAAh4AAqwCAgKFAgQCBQIGAgcCCAIJAjgCCwJJAg0CCAIIAggCCAIIAggCCAIIAggCCAIIAggCCAIIAggCCAIIAhsCAwKbAh4AAqwCAgIvAgQCBQIGAgcCCAIJAkwCCwJJAg0CCAIIAggCCAIIAggCCAIIAggCCAIIAggCCAIIAggCCAIIAhsCAwJ3Ah4AAqwCAgJLAgQCBQIGAgcCCAIJAgoCCwJJAg0CCAIIAggCCAIIAggCCAIIAggCCAIIAggCCAIIAggCCAIIAhsCAwKWAh4AAqwCAgIvAgQCBQIGAgcCCAIJAjgCCwJJAg0CCAIIAggCCAIIAggCCAIIAggCCAIIAggCCAIIAggCCAIIAhsCAwJ6Ah4AAqwCAgI1AgQCBQIGAgcCCAIJAjgCCwJJAg0CCAIIAggCCAIIAggCCAIIAggCCAIIAggCCAIIAggCCAIIAhsCAwJuAh4AAqwCAgJpAgQCBQIGAgcCCAIJAkwCCwJJAg0CCAIIAggCCAIIAggCCAIIAggCCAJ6AAAEAAgCCAIIAggCCAIIAggCGwIDAnECHgACrAICAnsCBAIFAgYCBwIIAgkCTAILAkkCDQIIAggCCAIIAggCCAIIAggCCAIIAggCCAIIAggCCAIIAggCGwIDAowCHgACrAICAhsCBAIFAgYCBwIIAgkCCgILAkkCDQIIAggCCAIIAggCCAIIAggCCAIIAggCCAIIAggCCAIIAggCGwIDApcCHgACrAICAicCBAIFAgYCBwIIAgkCOAILAkkCDQIIAggCCAIIAggCCAIIAggCCAIIAggCCAIIAggCCAIIAggCGwIDAm0CHgACrAICAmkCBAIFAgYCBwIIAgkCOAILAkkCDQIIAggCCAIIAggCCAIIAggCCAIIAggCCAIIAggCCAIIAggCGwIDAmoCHgACrAICAicCBAIFAgYCBwIIAgkCTAILAkkCDQIIAggCCAIIAggCCAIIAggCCAIIAggCCAIIAggCCAIIAggCGwIDAo4CHgACrAICAisCBAIFAgYCBwIIAgkCCgILAkkCDQIIAggCCAIIAggCCAIIAggCCAIIAggCCAIIAggCCAIIAggCGwIDAlwCHgACrAICAlkCBAIFAgYCBwIIAgkCCgILAkkCDQIIAggCCAIIAggCCAIIAggCCAIIAggCCAIIAggCCAIIAggCGwIDAmECHgACrAICAlMCBAIFAgYCBwIIAgkCTAILAkkCDQIIAggCCAIIAggCCAIIAggCCAIIAggCCAIIAggCCAIIAggCGwIDAqUCHgACrAICAl8CBAIFAgYCBwIIAgkCTAILAkkCDQIIAggCCAIIAggCCAIIAggCCAIIAggCCAIIAggCCAIIAggCGwIDAp0CHgACrAICAiECBAIFAgYCBwIIAgkCTAILAkkCDQIIAggCCAIIAggCCAIIAggCCAIIAggCCAIIAggCCAIIAggCGwIDAlACHgACrAICAiMCBAIFAgYCBwIIAgkCTAILAkkCDQIIAggCCAIIAggCCAIIAggCCAIIAggCCAIIAggCCAIIAggCGwIDAlACHgACrAICAhsCBAIFAgYCBwIIAgkCOAILAkkCDQIIAggCCAIIAggCCAIIAggCCAIIAggCCAIIAggCCAIIAggCGwIDAlICHgACrAICAksCBAIFAgYCBwIIAgkCOAILAkkCDQIIAggCCAIIAggCCAIIAggCCAIIAggCCAIIAggCCAIIAggCGwIDAmQCHgACrAICAnUCBAIFAgYCBwIIAgkCCgILAkkCDQIIAggCCAIIAggCCAIIAggCCAIIAggCCAIIAggCCAIIAggCGwIDApACHgACrAICAoICBAIFAgYCBwIIAgkCOAILAkkCDQIIAggCCAIIAgh6AAAEAAIIAggCCAIIAggCCAIIAggCCAIIAggCCAIbAgMCgwIeAAKsAgICXwIEAgUCBgIHAggCCQI4AgsCSQINAggCCAIIAggCCAIIAggCCAIIAggCCAIIAggCCAIIAggCCAIbAgMCngIeAAKsAgICLwIEAgUCBgIHAggCCQIKAgsCSQINAggCCAIIAggCCAIIAggCCAIIAggCCAIIAggCCAIIAggCCAIbAgMCiQIeAAKsAgICHQIEAgUCBgIHAggCCQIKAgsCSQINAggCCAIIAggCCAIIAggCCAIIAggCCAIIAggCCAIIAggCCAIbAgMCUQIeAAKsAgICNQIEAgUCBgIHAggCCQIKAgsCSQINAggCCAIIAggCCAIIAggCCAIIAggCCAIIAggCCAIIAggCCAIbAgMCigIeAAKsAgICWQIEAgUCBgIHAggCCQI4AgsCSQINAggCCAIIAggCCAIIAggCCAIIAggCCAIIAggCCAIIAggCCAIbAgMCWgIeAAKsAgICKwIEAgUCBgIHAggCCQI4AgsCSQINAggCCAIIAggCCAIIAggCCAIIAggCCAIIAggCCAIIAggCCAIbAgMCVQIeAAKsAgICVgIEAgUCBgIHAggCCQIKAgsCSQINAggCCAIIAggCCAIIAggCCAIIAggCCAIIAggCCAIIAggCCAIbAgMCVwIeAAKsAgICaQIEAgUCBgIHAggCCQIKAgsCSQINAggCCAIIAggCCAIIAggCCAIIAggCCAIIAggCCAIIAggCCAIbAgMCogIeAAKsAgICLQIEAgUCBgIHAggCCQI4AgsCSQINAggCCAIIAggCCAIIAggCCAIIAggCCAIIAggCCAIIAggCCAIbAgMCSgIeAAKsAgICLQIEAgUCBgIHAggCCQJMAgsCSQINAggCCAIIAggCCAIIAggCCAIIAggCCAIIAggCCAIIAggCCAIbAgMCYgIeAAKsAgICGwIEAgUCBgIHAggCCQJMAgsCSQINAggCCAIIAggCCAIIAggCCAIIAggCCAIIAggCCAIIAggCCAIbAgMCTgIeAAKsAgICIQIEAgUCBgIHAggCCQI4AgsCSQINAggCCAIIAggCCAIIAggCCAIIAggCCAIIAggCCAIIAggCCAIbAgMCoAIeAAKsAgICSwIEAgUCBgIHAggCCQJMAgsCSQINAggCCAIIAggCCAIIAggCCAIIAggCCAIIAggCCAIIAggCCAIbAgMCTQIeAAKsAgICJwIEAgUCBgIHAggCCQIKAgsCSQINAggCCAIIAggCCAIIAggCCAIIAggCCAIIAggCCAIIAggCCAIbAgMCowIeAAKsAgICeAIEAgUCBgIHAggCCQIKAgsCSQJ6AAAEAA0CCAIIAggCCAIIAggCCAIIAggCCAIIAggCCAIIAggCCAIIAhsCAwJ5Ah4AAqwCAgIDAgQCBQIGAgcCCAIJAjgCCwJJAg0CCAIIAggCCAIIAggCCAIIAggCCAIIAggCCAIIAggCCAIIAhsCAwKhAh4AAqwCAgJTAgQCBQIGAgcCCAIJAjgCCwJJAg0CCAIIAggCCAIIAggCCAIIAggCCAIIAggCCAIIAggCCAIIAhsCAwKkAh4AAqwCAgIhAgQCBQIGAgcCCAIJAgoCCwJJAg0CCAIIAggCCAIIAggCCAIIAggCCAIIAggCCAIIAggCCAIIAhsCAwJlAh4AAqwCAgJfAgQCBQIGAgcCCAIJAgoCCwJJAg0CCAIIAggCCAIIAggCCAIIAggCCAIIAggCCAIIAggCCAIIAhsCAwJgAh4AAqwCAgIdAgQCBQIGAgcCCAIJAjgCCwJJAg0CCAIIAggCCAIIAggCCAIIAggCCAIIAggCCAIIAggCCAIIAhsCAwJrAh4AAqwCAgIpAgQCBQIGAgcCCAIJAkwCCwJJAg0CCAIIAggCCAIIAggCCAIIAggCCAIIAggCCAIIAggCCAIIAhsCAwJdAh4AAqwCAgIDAgQCBQIGAgcCCAIJAkwCCwJJAg0CCAIIAggCCAIIAggCCAIIAggCCAIIAggCCAIIAggCCAIIAhsCAwKYAh4AAqwCAgIfAgQCBQIGAgcCCAIJAgoCCwJJAg0CCAIIAggCCAIIAggCCAIIAggCCAIIAggCCAIIAggCCAIIAhsCAwJvAh4AAqwCAgItAgQCBQIGAgcCCAIJAgoCCwJJAg0CCAIIAggCCAIIAggCCAIIAggCCAIIAggCCAIIAggCCAIIAhsCAwJwAh4AAqwCAgIxAgQCBQIGAgcCCAIJAgoCCwJJAg0CCAIIAggCCAIIAggCCAIIAggCCAIIAggCCAIIAggCCAIIAhsCAwKTAh4AAqwCAgKCAgQCBQIGAgcCCAIJAgoCCwJJAg0CCAIIAggCCAIIAggCCAIIAggCCAIIAggCCAIIAggCCAIIAhsCAwKZAh4AAqwCAgJWAgQCBQIGAgcCCAIJAkwCCwJJAg0CCAIIAggCCAIIAggCCAIIAggCCAIIAggCCAIIAggCCAIIAhsCAwJ/Ah4AAqwCAgKFAgQCBQIGAgcCCAIJAkwCCwJJAg0CCAIIAggCCAIIAggCCAIIAggCCAIIAggCCAIIAggCCAIIAhsCAwKcAh4AAqwCAgJ7AgQCBQIGAgcCCAIJAjgCCwJJAg0CCAIIAggCCAIIAggCCAIIAggCCAIIAggCCAIIAggCCAIIAhsCAwKaAh4AAqwCAgIpAgQCBQIGAgd6AAAEAAIIAgkCOAILAkkCDQIIAggCCAIIAggCCAIIAggCCAIIAggCCAIIAggCCAIIAggCGwIDAl4CHgACrAICAh0CBAIFAgYCBwIIAgkCTAILAkkCDQIIAggCCAIIAggCCAIIAggCCAIIAggCCAIIAggCCAIIAggCGwIDAlACHgACrAICAjUCBAIFAgYCBwIIAgkCTAILAkkCDQIIAggCCAIIAggCCAIIAggCCAIIAggCCAIIAggCCAIIAggCGwIDAmwCHgACrAICAlYCBAIFAgYCBwIIAgkCOAILAkkCDQIIAggCCAIIAggCCAIIAggCCAIIAggCCAIIAggCCAIIAggCGwIDAn4CHgACrAICAngCBAIFAgYCBwIIAgkCOAILAkkCDQIIAggCCAIIAggCCAIIAggCCAIIAggCCAIIAggCCAIIAggCGwIDAo0CHgACrAICAiMCBAIFAgYCBwIIAgkCCgILAkkCDQIIAggCCAIIAggCCAIIAggCCAIIAggCCAIIAggCCAIIAggCGwIDApQCHgACrAICAngCBAIFAgYCBwIIAgkCTAILAkkCDQIIAggCCAIIAggCCAIIAggCCAIIAggCCAIIAggCCAIIAggCGwIDApECHgACrAICAh8CBAIFAgYCBwIIAgkCOAILAkkCDQIIAggCCAIIAggCCAIIAggCCAIIAggCCAIIAggCCAIIAggCGwIDAo8CHgACrAICAlMCBAIFAgYCBwIIAgkCCgILAkkCDQIIAggCCAIIAggCCAIIAggCCAIIAggCCAIIAggCCAIIAggCGwIDAlQCHgACrAICAnsCBAIFAgYCBwIIAgkCCgILAkkCDQIIAggCCAIIAggCCAIIAggCCAIIAggCCAIIAggCCAIIAggCGwIDAnwCHgACrAICAh8CBAIFAgYCBwIIAgkCTAILAkkCDQIIAggCCAIIAggCCAIIAggCCAIIAggCCAIIAggCCAIIAggCGwIDApICHgACrAICAisCBAIFAgYCBwIIAgkCTAILAkkCDQIIAggCCAIIAggCCAIIAggCCAIIAggCCAIIAggCCAIIAggCGwIDAnMCHgACrAICAlkCBAIFAgYCBwIIAgkCTAILAkkCDQIIAggCCAIIAggCCAIIAggCCAIIAggCCAIIAggCCAIIAggCGwIDAnICHgACrAICAgMCBAIFAgYCBwIIAgkCCgILAkkCDQIIAggCCAIIAggCCAIIAggCCAIIAggCCAIIAggCCAIIAggCGwIDAlsCHgACrQAJNDE3MDIxNzA0AgICLwIEAgUCBgIHAggCCQKpAgsCDAINAggCCAIIAggCCAIIAggCCAIIAggCCAIIAggCCAIIAggCCAJ3BRgCAwKuc3EAfgAAAAAAAnNxAH4ABP///////////////v////7/////dXEAfgAHAAAAAwQOrnh4d0UCHgACrQICAlkCBAIFAgYCBwIIAgkCCgILAgwCDQIIAggCCAIIAggCCAIIAggCCAIIAggCCAIIAggCCAIIAggCGAIDAq9zcQB+AAAAAAACc3EAfgAE///////////////+/////v////91cQB+AAcAAAAEBeiObnh4d4oCHgACrQICAisCBAIFAgYCBwIIAgkCCgILAgwCDQIIAggCCAIIAggCCAIIAggCCAIIAggCCAIIAggCCAIIAggCGAIDAiwCHgACrQICAnUCBAIFAgYCBwIIAgkCqQILAgwCDQIIAggCCAIIAggCCAIIAggCCAIIAggCCAIIAggCCAIIAggCGAIDArBzcQB+AAAAAAACc3EAfgAE///////////////+/////v////91cQB+AAcAAAADCLaceHh3zwIeAAKtAgICIQIEAgUCBgIHAggCCQIKAgsCDAINAggCCAIIAggCCAIIAggCCAIIAggCCAIIAggCCAIIAggCCAIYAgMCIgIeAAKtAgICKQIEAgUCBgIHAggCCQI4AgsCDAINAggCCAIIAggCCAIIAggCCAIIAggCCAIIAggCCAIIAggCCAIYAgMCPQIeAAKtAgICXwIEAgUCBgIHAggCCQIKAgsCDAINAggCCAIIAggCCAIIAggCCAIIAggCCAIIAggCCAIIAggCCAIYAgMCsXNxAH4AAAAAAAJzcQB+AAT///////////////7////+/////3VxAH4ABwAAAAO8XLJ4eHfPAh4AAq0CAgIjAgQCBQIGAgcCCAIJAqkCCwIMAg0CCAIIAggCCAIIAggCCAIIAggCCAIIAggCCAIIAggCCAIIAhgCAwJQAh4AAq0CAgIzAgQCBQIGAgcCCAIJAqkCCwIMAg0CCAIIAggCCAIIAggCCAIIAggCCAIIAggCCAIIAggCCAIIAhgCAwJQAh4AAq0CAgI1AgQCBQIGAgcCCAIJAqkCCwIMAg0CCAIIAggCCAIIAggCCAIIAggCCAIIAggCCAIIAggCCAIIAhgCAwKyc3EAfgAAAAAAAnNxAH4ABP///////////////v////7/////dXEAfgAHAAAAAwVk/3h4d88CHgACrQICAh0CBAIFAgYCBwIIAgkCCgILAgwCDQIIAggCCAIIAggCCAIIAggCCAIIAggCCAIIAggCCAIIAggCGAIDAh4CHgACrQICAgMCBAIFAgYCBwIIAgkCCgILAgwCDQIIAggCCAIIAggCCAIIAggCCAIIAggCCAIIAggCCAIIAggCGAIDAg4CHgACrQICAoUCBAIFAgYCBwIIAgkCqQILAgwCDQIIAggCCAIIAggCCAIIAggCCAIIAggCCAIIAggCCAIIAggCGAIDArNzcQB+AAAAAAACc3EAfgAE///////////////+/////v////91cQB+AAcAAAADB43UeHh3RQIeAAKtAgICSwIEAgUCBgIHAggCCQI4AgsCDAINAggCCAIIAggCCAIIAggCCAIIAggCCAIIAggCCAIIAggCCAIYAgMCtHNxAH4AAAAAAAJzcQB+AAT///////////////7////+/////3VxAH4ABwAAAAQ3OPVPeHh3RQIeAAKtAgICVgIEAgUCBgIHAggCCQIKAgsCDAINAggCCAIIAggCCAIIAggCCAIIAggCCAIIAggCCAIIAggCCAIYAgMCtXNxAH4AAAAAAAJzcQB+AAT///////////////7////+/////3VxAH4ABwAAAARMQw4VeHh3RQIeAAKtAgICUwIEAgUCBgIHAggCCQIKAgsCDAINAggCCAIIAggCCAIIAggCCAIIAggCCAIIAggCCAIIAggCCAIYAgMCtnNxAH4AAAAAAAJzcQB+AAT///////////////7////+/////3VxAH4ABwAAAAQE5DAPeHh3zwIeAAKtAgICGwIEAgUCBgIHAggCCQI4AgsCDAINAggCCAIIAggCCAIIAggCCAIIAggCCAIIAggCCAIIAggCCAIYAgMCRgIeAAKtAgICLQIEAgUCBgIHAggCCQI4AgsCDAINAggCCAIIAggCCAIIAggCCAIIAggCCAIIAggCCAIIAggCCAIYAgMCQAIeAAKtAgICdQIEAgUCBgIHAggCCQI4AgsCDAINAggCCAIIAggCCAIIAggCCAIIAggCCAIIAggCCAIIAggCCAIYAgMCt3NxAH4AAAAAAAJzcQB+AAT///////////////7////+/////3VxAH4ABwAAAARdV1DJeHh3igIeAAKtAgICKQIEAgUCBgIHAggCCQIKAgsCDAINAggCCAIIAggCCAIIAggCCAIIAggCCAIIAggCCAIIAggCCAIYAgMCKgIeAAKtAgICWQIEAgUCBgIHAggCCQI4AgsCDAINAggCCAIIAggCCAIIAggCCAIIAggCCAIIAggCCAIIAggCCAIYAgMCuHNxAH4AAAAAAAJzcQB+AAT///////////////7////+/////3VxAH4ABwAAAAQ9+1bieHh3igIeAAKtAgICKwIEAgUCBgIHAggCCQI4AgsCDAINAggCCAIIAggCCAIIAggCCAIIAggCCAIIAggCCAIIAggCCAIYAgMCPwIeAAKtAgICJwIEAgUCBgIHAggCCQKpAgsCDAINAggCCAIIAggCCAIIAggCCAIIAggCCAIIAggCCAIIAggCCAIYAgMCuXNxAH4AAAAAAAJzcQB+AAT///////////////7////+/////3VxAH4ABwAAAAMEQ3p4eHdFAh4AAq0CAgJ7AgQCBQIGAgcCCAIJAgoCCwIMAg0CCAIIAggCCAIIAggCCAIIAggCCAIIAggCCAIIAggCCAIIAhgCAwK6c3EAfgAAAAAAAnNxAH4ABP///////////////v////7/////dXEAfgAHAAAABDuLiL14eHdFAh4AAq0CAgKFAgQCBQIGAgcCCAIJAgoCCwIMAg0CCAIIAggCCAIIAggCCAIIAggCCAIIAggCCAIIAggCCAIIAhgCAwK7c3EAfgAAAAAAAnNxAH4ABP///////////////v////7/////dXEAfgAHAAAABAIbp254eHdFAh4AAq0CAgKCAgQCBQIGAgcCCAIJAqkCCwIMAg0CCAIIAggCCAIIAggCCAIIAggCCAIIAggCCAIIAggCCAIIAhgCAwK8c3EAfgAAAAAAAnNxAH4ABP///////////////v////7/////dXEAfgAHAAAAAwmef3h4d4oCHgACrQICAjMCBAIFAgYCBwIIAgkCOAILAgwCDQIIAggCCAIIAggCCAIIAggCCAIIAggCCAIIAggCCAIIAggCGAIDAkECHgACrQICAjECBAIFAgYCBwIIAgkCqQILAgwCDQIIAggCCAIIAggCCAIIAggCCAIIAggCCAIIAggCCAIIAggCGAIDAr1zcQB+AAAAAAACc3EAfgAE///////////////+/////v////91cQB+AAcAAAADBCUJeHh3RQIeAAKtAgICVgIEAgUCBgIHAggCCQI4AgsCDAINAggCCAIIAggCCAIIAggCCAIIAggCCAIIAggCCAIIAggCCAIYAgMCvnNxAH4AAAAAAAJzcQB+AAT///////////////7////+/////3VxAH4ABwAAAAQSVBWqeHh3RQIeAAKtAgICGwIEAgUCBgIHAggCCQKpAgsCDAINAggCCAIIAggCCAIIAggCCAIIAggCCAIIAggCCAIIAggCCAIYAgMCv3NxAH4AAAAAAAJzcQB+AAT///////////////7////+/////3VxAH4ABwAAAAMEq5d4eHdFAh4AAq0CAgJLAgQCBQIGAgcCCAIJAqkCCwIMAg0CCAIIAggCCAIIAggCCAIIAggCCAIIAggCCAIIAggCCAIIAhgCAwLAc3EAfgAAAAAAAnNxAH4ABP///////////////v////7/////dXEAfgAHAAAAAxIVy3h4d4oCHgACrQICAi0CBAIFAgYCBwIIAgkCCgILAgwCDQIIAggCCAIIAggCCAIIAggCCAIIAggCCAIIAggCCAIIAggCGAIDAi4CHgACrQICAngCBAIFAgYCBwIIAgkCCgILAgwCDQIIAggCCAIIAggCCAIIAggCCAIIAggCCAIIAggCCAIIAggCGAIDAsFzcQB+AAAAAAACc3EAfgAE///////////////+/////v////91cQB+AAcAAAAEA6uLrXh4egAAAZ4CHgACrQICAh8CBAIFAgYCBwIIAgkCCgILAgwCDQIIAggCCAIIAggCCAIIAggCCAIIAggCCAIIAggCCAIIAggCGAIDAiACHgACrQICAi8CBAIFAgYCBwIIAgkCOAILAgwCDQIIAggCCAIIAggCCAIIAggCCAIIAggCCAIIAggCCAIIAggCGAIDAkMCHgACrQICAjUCBAIFAgYCBwIIAgkCOAILAgwCDQIIAggCCAIIAggCCAIIAggCCAIIAggCCAIIAggCCAIIAggCGAIDAkUCHgACrQICAh0CBAIFAgYCBwIIAgkCOAILAgwCDQIIAggCCAIIAggCCAIIAggCCAIIAggCCAIIAggCCAIIAggCGAIDAkICHgACrQICAiECBAIFAgYCBwIIAgkCqQILAgwCDQIIAggCCAIIAggCCAIIAggCCAIIAggCCAIIAggCCAIIAggCGAIDAlACHgACrQICAl8CBAIFAgYCBwIIAgkCqQILAgwCDQIIAggCCAIIAggCCAIIAggCCAIIAggCCAIIAggCCAIIAggCGAIDAsJzcQB+AAAAAAACc3EAfgAE///////////////+/////v////91cQB+AAcAAAADBT+veHh3RQIeAAKtAgICeAIEAgUCBgIHAggCCQI4AgsCDAINAggCCAIIAggCCAIIAggCCAIIAggCCAIIAggCCAIIAggCCAIYAgMCw3NxAH4AAAAAAAJzcQB+AAT///////////////7////+/////3VxAH4ABwAAAARUiEubeHh3igIeAAKtAgICLwIEAgUCBgIHAggCCQIKAgsCDAINAggCCAIIAggCCAIIAggCCAIIAggCCAIIAggCCAIIAggCCAIYAgMCMAIeAAKtAgICUwIEAgUCBgIHAggCCQKpAgsCDAINAggCCAIIAggCCAIIAggCCAIIAggCCAIIAggCCAIIAggCCAIYAgMCxHNxAH4AAAAAAAJzcQB+AAT///////////////7////+/////3VxAH4ABwAAAAMMxv54eHeKAh4AAq0CAgIxAgQCBQIGAgcCCAIJAgoCCwIMAg0CCAIIAggCCAIIAggCCAIIAggCCAIIAggCCAIIAggCCAIIAhgCAwIyAh4AAq0CAgIrAgQCBQIGAgcCCAIJAqkCCwIMAg0CCAIIAggCCAIIAggCCAIIAggCCAIIAggCCAIIAggCCAIIAhgCAwLFc3EAfgAAAAAAAnNxAH4ABP///////////////v////7/////dXEAfgAHAAAAAwR0jXh4d0UCHgACrQICAnsCBAIFAgYCBwIIAgkCOAILAgwCDQIIAggCCAIIAggCCAIIAggCCAIIAggCCAIIAggCCAIIAggCGAIDAsZzcQB+AAAAAAACc3EAfgAE///////////////+/////v////91cQB+AAcAAAAEKKPaWXh4d0UCHgACrQICAmkCBAIFAgYCBwIIAgkCOAILAgwCDQIIAggCCAIIAggCCAIIAggCCAIIAggCCAIIAggCCAIIAggCGAIDAsdzcQB+AAAAAAACc3EAfgAE///////////////+/////v////91cQB+AAcAAAAETCsLgHh4d4oCHgACrQICAicCBAIFAgYCBwIIAgkCOAILAgwCDQIIAggCCAIIAggCCAIIAggCCAIIAggCCAIIAggCCAIIAggCGAIDAj4CHgACrQICAoICBAIFAgYCBwIIAgkCCgILAgwCDQIIAggCCAIIAggCCAIIAggCCAIIAggCCAIIAggCCAIIAggCGAIDAshzcQB+AAAAAAACc3EAfgAE///////////////+/////v////91cQB+AAcAAAAEAzaSmXh4d0UCHgACrQICAoICBAIFAgYCBwIIAgkCOAILAgwCDQIIAggCCAIIAggCCAIIAggCCAIIAggCCAIIAggCCAIIAggCGAIDAslzcQB+AAAAAAACc3EAfgAE///////////////+/////v////91cQB+AAcAAAAEWi+1rXh4d0UCHgACrQICAlYCBAIFAgYCBwIIAgkCqQILAgwCDQIIAggCCAIIAggCCAIIAggCCAIIAggCCAIIAggCCAIIAggCGAIDAspzcQB+AAAAAAACc3EAfgAE///////////////+/////v////91cQB+AAcAAAADBmgreHh6AAABFAIeAAKtAgICHQIEAgUCBgIHAggCCQKpAgsCDAINAggCCAIIAggCCAIIAggCCAIIAggCCAIIAggCCAIIAggCCAIYAgMCUAIeAAKtAgICMwIEAgUCBgIHAggCCQIKAgsCDAINAggCCAIIAggCCAIIAggCCAIIAggCCAIIAggCCAIIAggCCAIYAgMCNAIeAAKtAgICNQIEAgUCBgIHAggCCQIKAgsCDAINAggCCAIIAggCCAIIAggCCAIIAggCCAIIAggCCAIIAggCCAIYAgMCNgIeAAKtAgICaQIEAgUCBgIHAggCCQKpAgsCDAINAggCCAIIAggCCAIIAggCCAIIAggCCAIIAggCCAIIAggCCAIYAgMCy3NxAH4AAAAAAAJzcQB+AAT///////////////7////+/////3VxAH4ABwAAAAMLgq14eHdFAh4AAq0CAgIDAgQCBQIGAgcCCAIJAqkCCwIMAg0CCAIIAggCCAIIAggCCAIIAggCCAIIAggCCAIIAggCCAIIAhgCAwLMc3EAfgAAAAAAAnNxAH4ABP///////////////v////7/////dXEAfgAHAAAAAwRWK3h4d4oCHgACrQICAiMCBAIFAgYCBwIIAgkCCgILAgwCDQIIAggCCAIIAggCCAIIAggCCAIIAggCCAIIAggCCAIIAggCGAIDAiQCHgACrQICAnUCBAIFAgYCBwIIAgkCCgILAgwCDQIIAggCCAIIAggCCAIIAggCCAIIAggCCAIIAggCCAIIAggCGAIDAs1zcQB+AAAAAAACc3EAfgAE///////////////+/////v////91cQB+AAcAAAAEAr0/pHh4d88CHgACrQICAh8CBAIFAgYCBwIIAgkCOAILAgwCDQIIAggCCAIIAggCCAIIAggCCAIIAggCCAIIAggCCAIIAggCGAIDAkcCHgACrQICAiMCBAIFAgYCBwIIAgkCOAILAgwCDQIIAggCCAIIAggCCAIIAggCCAIIAggCCAIIAggCCAIIAggCGAIDAjsCHgACrQICAikCBAIFAgYCBwIIAgkCqQILAgwCDQIIAggCCAIIAggCCAIIAggCCAIIAggCCAIIAggCCAIIAggCGAIDAs5zcQB+AAAAAAACc3EAfgAE///////////////+/////v////91cQB+AAcAAAADBPtoeHh3RQIeAAKtAgICXwIEAgUCBgIHAggCCQI4AgsCDAINAggCCAIIAggCCAIIAggCCAIIAggCCAIIAggCCAIIAggCCAIYAgMCz3NxAH4AAAAAAAJzcQB+AAT///////////////7////+/////3VxAH4ABwAAAARijcsWeHh3RQIeAAKtAgICHwIEAgUCBgIHAggCCQKpAgsCDAINAggCCAIIAggCCAIIAggCCAIIAggCCAIIAggCCAIIAggCCAIYAgMC0HNxAH4AAAAAAAJzcQB+AAT///////////////7////+/////3VxAH4ABwAAAAMENDh4eHdFAh4AAq0CAgJ7AgQCBQIGAgcCCAIJAqkCCwIMAg0CCAIIAggCCAIIAggCCAIIAggCCAIIAggCCAIIAggCCAIIAhgCAwLRc3EAfgAAAAAAAnNxAH4ABP///////////////v////7/////dXEAfgAHAAAAAwbck3h4d4oCHgACrQICAicCBAIFAgYCBwIIAgkCCgILAgwCDQIIAggCCAIIAggCCAIIAggCCAIIAggCCAIIAggCCAIIAggCGAIDAigCHgACrQICAngCBAIFAgYCBwIIAgkCqQILAgwCDQIIAggCCAIIAggCCAIIAggCCAIIAggCCAIIAggCCAIIAggCGAIDAtJzcQB+AAAAAAACc3EAfgAE///////////////+/////v////91cQB+AAcAAAADCoBUeHh3RQIeAAKtAgIChQIEAgUCBgIHAggCCQI4AgsCDAINAggCCAIIAggCCAIIAggCCAIIAggCCAIIAggCCAIIAggCCAIYAgMC03NxAH4AAAAAAAJzcQB+AAT///////////////7////+/////3VxAH4ABwAAAARhMQgUeHh3RQIeAAKtAgICaQIEAgUCBgIHAggCCQIKAgsCDAINAggCCAIIAggCCAIIAggCCAIIAggCCAIIAggCCAIIAggCCAIYAgMC1HNxAH4AAAAAAAJzcQB+AAT///////////////7////+/////3VxAH4ABwAAAAQENonjeHh3zwIeAAKtAgICIQIEAgUCBgIHAggCCQI4AgsCDAINAggCCAIIAggCCAIIAggCCAIIAggCCAIIAggCCAIIAggCCAIYAgMCOgIeAAKtAgICMQIEAgUCBgIHAggCCQI4AgsCDAINAggCCAIIAggCCAIIAggCCAIIAggCCAIIAggCCAIIAggCCAIYAgMCOQIeAAKtAgICSwIEAgUCBgIHAggCCQIKAgsCDAINAggCCAIIAggCCAIIAggCCAIIAggCCAIIAggCCAIIAggCCAIYAgMC1XNxAH4AAAAAAAJzcQB+AAT///////////////7////+/////3VxAH4ABwAAAAQIJf+xeHh3igIeAAKtAgICGwIEAgUCBgIHAggCCQIKAgsCDAINAggCCAIIAggCCAIIAggCCAIIAggCCAIIAggCCAIIAggCCAIYAgMCHAIeAAKtAgICLQIEAgUCBgIHAggCCQKpAgsCDAINAggCCAIIAggCCAIIAggCCAIIAggCCAIIAggCCAIIAggCCAIYAgMC1nNxAH4AAAAAAAJzcQB+AAT///////////////7////+/////3VxAH4ABwAAAAMD3Kt4eHdFAh4AAq0CAgJZAgQCBQIGAgcCCAIJAqkCCwIMAg0CCAIIAggCCAIIAggCCAIIAggCCAIIAggCCAIIAggCCAIIAhgCAwLXc3EAfgAAAAAAAnNxAH4ABP///////////////v////7/////dXEAfgAHAAAAAw6D3Xh4d0UCHgACrQICAlMCBAIFAgYCBwIIAgkCOAILAgwCDQIIAggCCAIIAggCCAIIAggCCAIIAggCCAIIAggCCAIIAggCGAIDAthzcQB+AAAAAAACc3EAfgAE///////////////+/////v////91cQB+AAcAAAAESHB4r3h4egAABAACHgACrQICAgMCBAIFAgYCBwIIAgkCOAILAgwCDQIIAggCCAIIAggCCAIIAggCCAIIAggCCAIIAggCCAIIAggCGAIDAkQCHgAC2QAJNDE3MDE0NzQ0AgICewIEAgUCBgIHAggCCQIKAgsCDAINAggCCAIIAggCCAIIAggCCAIIAggCCAIIAggCCAIIAggCCAISAgMCugIeAALZAgICXwIEAgUCBgIHAggCCQI4AgsCDAINAggCCAIIAggCCAIIAggCCAIIAggCCAIIAggCCAIIAggCCAISAgMCzwIeAALZAgICUwIEAgUCBgIHAggCCQI4AgsCDAINAggCCAIIAggCCAIIAggCCAIIAggCCAIIAggCCAIIAggCCAISAgMC2AIeAALZAgICKQIEAgUCBgIHAggCCQKpAgsCDAINAggCCAIIAggCCAIIAggCCAIIAggCCAIIAggCCAIIAggCCAISAgMCzgIeAALZAgICHwIEAgUCBgIHAggCCQIKAgsCDAINAggCCAIIAggCCAIIAggCCAIIAggCCAIIAggCCAIIAggCCAISAgMCIAIeAALZAgICTwIEAgUCBgIHAggCCQKpAgsCDAINAggCCAIIAggCCAIIAggCCAIIAggCCAIIAggCCAIIAggCCAISAgMCUAIeAALZAgICAwIEAgUCBgIHAggCCQI4AgsCDAINAggCCAIIAggCCAIIAggCCAIIAggCCAIIAggCCAIIAggCCAISAgMCRAIeAALZAgICHQIEAgUCBgIHAggCCQI4AgsCDAINAggCCAIIAggCCAIIAggCCAIIAggCCAIIAggCCAIIAggCCAISAgMCQgIeAALZAgICeAIEAgUCBgIHAggCCQIKAgsCDAINAggCCAIIAggCCAIIAggCCAIIAggCCAIIAggCCAIIAggCCAISAgMCwQIeAALZAgICVgIEAgUCBgIHAggCCQIKAgsCDAINAggCCAIIAggCCAIIAggCCAIIAggCCAIIAggCCAIIAggCCAISAgMCtQIeAALZAgICaQIEAgUCBgIHAggCCQI4AgsCDAINAggCCAIIAggCCAIIAggCCAIIAggCCAIIAggCCAIIAggCCAISAgMCxwIeAALZAgICLQIEAgUCBgIHAggCCQI4AgsCDAINAggCCAIIAggCCAIIAggCCAIIAggCCAIIAggCCAIIAggCCAISAgMCQAIeAALZAgICMwIEAgUCBgIHAggCCQKpAgsCDAINAggCCAIIAggCCAIIAggCCAIIAggCCAIIAggCCAIIAggCCAISAgMCUAIeAALZAgICNQIEAgUCBgIHAggCCQKpAgsCDAINAggCCAIIAggCCAIIAggCCAIIegAABAACCAIIAggCCAIIAggCCAIIAhICAwKyAh4AAtkCAgIrAgQCBQIGAgcCCAIJAqkCCwIMAg0CCAIIAggCCAIIAggCCAIIAggCCAIIAggCCAIIAggCCAIIAhICAwLFAh4AAtkCAgJ7AgQCBQIGAgcCCAIJAjgCCwIMAg0CCAIIAggCCAIIAggCCAIIAggCCAIIAggCCAIIAggCCAIIAhICAwLGAh4AAtkCAgJmAgQCBQIGAgcCCAIJAqkCCwIMAg0CCAIIAggCCAIIAggCCAIIAggCCAIIAggCCAIIAggCCAIIAhICAwJQAh4AAtkCAgIxAgQCBQIGAgcCCAIJAgoCCwIMAg0CCAIIAggCCAIIAggCCAIIAggCCAIIAggCCAIIAggCCAIIAhICAwIyAh4AAtkCAgKCAgQCBQIGAgcCCAIJAgoCCwIMAg0CCAIIAggCCAIIAggCCAIIAggCCAIIAggCCAIIAggCCAIIAhICAwLIAh4AAtkCAgIhAgQCBQIGAgcCCAIJAgoCCwIMAg0CCAIIAggCCAIIAggCCAIIAggCCAIIAggCCAIIAggCCAIIAhICAwIiAh4AAtkCAgJfAgQCBQIGAgcCCAIJAgoCCwIMAg0CCAIIAggCCAIIAggCCAIIAggCCAIIAggCCAIIAggCCAIIAhICAwKxAh4AAtkCAgInAgQCBQIGAgcCCAIJAjgCCwIMAg0CCAIIAggCCAIIAggCCAIIAggCCAIIAggCCAIIAggCCAIIAhICAwI+Ah4AAtkCAgIfAgQCBQIGAgcCCAIJAjgCCwIMAg0CCAIIAggCCAIIAggCCAIIAggCCAIIAggCCAIIAggCCAIIAhICAwJHAh4AAtkCAgJ4AgQCBQIGAgcCCAIJAjgCCwIMAg0CCAIIAggCCAIIAggCCAIIAggCCAIIAggCCAIIAggCCAIIAhICAwLDAh4AAtkCAgJfAgQCBQIGAgcCCAIJAqkCCwIMAg0CCAIIAggCCAIIAggCCAIIAggCCAIIAggCCAIIAggCCAIIAhICAwLCAh4AAtkCAgIjAgQCBQIGAgcCCAIJAqkCCwIMAg0CCAIIAggCCAIIAggCCAIIAggCCAIIAggCCAIIAggCCAIIAhICAwJQAh4AAtkCAgJ1AgQCBQIGAgcCCAIJAqkCCwIMAg0CCAIIAggCCAIIAggCCAIIAggCCAIIAggCCAIIAggCCAIIAhICAwKwAh4AAtkCAgIhAgQCBQIGAgcCCAIJAqkCCwIMAg0CCAIIAggCCAIIAggCCAIIAggCCAIIAggCCAIIAggCCAIIAhICAwJQAh4AAtkCAgIjAgQCBQIGAgcCCAIJAgoCCwIMAg0CCAIIAggCegAAAxgIAggCCAIIAggCCAIIAggCCAIIAggCCAIIAggCEgIDAiQCHgAC2QICAi8CBAIFAgYCBwIIAgkCqQILAgwCDQIIAggCCAIIAggCCAIIAggCCAIIAggCCAIIAggCCAIIAggCEgIDAq4CHgAC2QICAi0CBAIFAgYCBwIIAgkCCgILAgwCDQIIAggCCAIIAggCCAIIAggCCAIIAggCCAIIAggCCAIIAggCEgIDAi4CHgAC2QICAgMCBAIFAgYCBwIIAgkCCgILAgwCDQIIAggCCAIIAggCCAIIAggCCAIIAggCCAIIAggCCAIIAggCEgIDAg4CHgAC2QICAlMCBAIFAgYCBwIIAgkCCgILAgwCDQIIAggCCAIIAggCCAIIAggCCAIIAggCCAIIAggCCAIIAggCEgIDArYCHgAC2QICAoUCBAIFAgYCBwIIAgkCCgILAgwCDQIIAggCCAIIAggCCAIIAggCCAIIAggCCAIIAggCCAIIAggCEgIDArsCHgAC2QICAmkCBAIFAgYCBwIIAgkCqQILAgwCDQIIAggCCAIIAggCCAIIAggCCAIIAggCCAIIAggCCAIIAggCEgIDAssCHgAC2QICAlkCBAIFAgYCBwIIAgkCOAILAgwCDQIIAggCCAIIAggCCAIIAggCCAIIAggCCAIIAggCCAIIAggCEgIDArgCHgAC2QICAlYCBAIFAgYCBwIIAgkCOAILAgwCDQIIAggCCAIIAggCCAIIAggCCAIIAggCCAIIAggCCAIIAggCEgIDAr4CHgAC2QICAhsCBAIFAgYCBwIIAgkCqQILAgwCDQIIAggCCAIIAggCCAIIAggCCAIIAggCCAIIAggCCAIIAggCEgIDAr8CHgAC2QICAicCBAIFAgYCBwIIAgkCqQILAgwCDQIIAggCCAIIAggCCAIIAggCCAIIAggCCAIIAggCCAIIAggCEgIDArkCHgAC2QICAmYCBAIFAgYCBwIIAgkCOAILAgwCDQIIAggCCAIIAggCCAIIAggCCAIIAggCCAIIAggCCAIIAggCEgIDAtpzcQB+AAAAAAACc3EAfgAE///////////////+/////v////91cQB+AAcAAAAEXOXAsHh4egAABAACHgAC2QICAksCBAIFAgYCBwIIAgkCqQILAgwCDQIIAggCCAIIAggCCAIIAggCCAIIAggCCAIIAggCCAIIAggCEgIDAsACHgAC2QICAisCBAIFAgYCBwIIAgkCOAILAgwCDQIIAggCCAIIAggCCAIIAggCCAIIAggCCAIIAggCCAIIAggCEgIDAj8CHgAC2QICAikCBAIFAgYCBwIIAgkCCgILAgwCDQIIAggCCAIIAggCCAIIAggCCAIIAggCCAIIAggCCAIIAggCEgIDAioCHgAC2QICAiMCBAIFAgYCBwIIAgkCOAILAgwCDQIIAggCCAIIAggCCAIIAggCCAIIAggCCAIIAggCCAIIAggCEgIDAjsCHgAC2QICAngCBAIFAgYCBwIIAgkCqQILAgwCDQIIAggCCAIIAggCCAIIAggCCAIIAggCCAIIAggCCAIIAggCEgIDAtICHgAC2QICAnUCBAIFAgYCBwIIAgkCOAILAgwCDQIIAggCCAIIAggCCAIIAggCCAIIAggCCAIIAggCCAIIAggCEgIDArcCHgAC2QICAh8CBAIFAgYCBwIIAgkCqQILAgwCDQIIAggCCAIIAggCCAIIAggCCAIIAggCCAIIAggCCAIIAggCEgIDAtACHgAC2QICAiUCBAIFAgYCBwIIAgkCCgILAgwCDQIIAggCCAIIAggCCAIIAggCCAIIAggCCAIIAggCCAIIAggCEgIDAiYCHgAC2QICAnsCBAIFAgYCBwIIAgkCqQILAgwCDQIIAggCCAIIAggCCAIIAggCCAIIAggCCAIIAggCCAIIAggCEgIDAtECHgAC2QICAjUCBAIFAgYCBwIIAgkCOAILAgwCDQIIAggCCAIIAggCCAIIAggCCAIIAggCCAIIAggCCAIIAggCEgIDAkUCHgAC2QICAjMCBAIFAgYCBwIIAgkCOAILAgwCDQIIAggCCAIIAggCCAIIAggCCAIIAggCCAIIAggCCAIIAggCEgIDAkECHgAC2QICAi8CBAIFAgYCBwIIAgkCOAILAgwCDQIIAggCCAIIAggCCAIIAggCCAIIAggCCAIIAggCCAIIAggCEgIDAkMCHgAC2QICAksCBAIFAgYCBwIIAgkCCgILAgwCDQIIAggCCAIIAggCCAIIAggCCAIIAggCCAIIAggCCAIIAggCEgIDAtUCHgAC2QICAhsCBAIFAgYCBwIIAgkCCgILAgwCDQIIAggCCAIIAggCCAIIAggCCAIIAggCCAIIAggCCAIIAggCEgIDAhwCHgAC2QICAoICBAIFAgYCBwIIAgkCqQILAgwCDQIIAggCCAIIAggCCAIIAggCCAIIAggCCAIIAggCd5UIAggCCAISAgMCvAIeAALZAgICHQIEAgUCBgIHAggCCQKpAgsCDAINAggCCAIIAggCCAIIAggCCAIIAggCCAIIAggCCAIIAggCCAISAgMCUAIeAALZAgICTwIEAgUCBgIHAggCCQIKAgsCDAINAggCCAIIAggCCAIIAggCCAIIAggCCAIIAggCCAIIAggCCAISAgMC23NxAH4AAAAAAAJzcQB+AAT///////////////7////+/////3VxAH4ABwAAAAQHGT+ZeHh6AAACsgIeAALZAgICMQIEAgUCBgIHAggCCQKpAgsCDAINAggCCAIIAggCCAIIAggCCAIIAggCCAIIAggCCAIIAggCCAISAgMCvQIeAALZAgIChQIEAgUCBgIHAggCCQI4AgsCDAINAggCCAIIAggCCAIIAggCCAIIAggCCAIIAggCCAIIAggCCAISAgMC0wIeAALZAgICJQIEAgUCBgIHAggCCQI4AgsCDAINAggCCAIIAggCCAIIAggCCAIIAggCCAIIAggCCAIIAggCCAISAgMCPAIeAALZAgICUwIEAgUCBgIHAggCCQKpAgsCDAINAggCCAIIAggCCAIIAggCCAIIAggCCAIIAggCCAIIAggCCAISAgMCxAIeAALZAgICVgIEAgUCBgIHAggCCQKpAgsCDAINAggCCAIIAggCCAIIAggCCAIIAggCCAIIAggCCAIIAggCCAISAgMCygIeAALZAgICWQIEAgUCBgIHAggCCQIKAgsCDAINAggCCAIIAggCCAIIAggCCAIIAggCCAIIAggCCAIIAggCCAISAgMCrwIeAALZAgICKwIEAgUCBgIHAggCCQIKAgsCDAINAggCCAIIAggCCAIIAggCCAIIAggCCAIIAggCCAIIAggCCAISAgMCLAIeAALZAgICKQIEAgUCBgIHAggCCQI4AgsCDAINAggCCAIIAggCCAIIAggCCAIIAggCCAIIAggCCAIIAggCCAISAgMCPQIeAALZAgICLwIEAgUCBgIHAggCCQIKAgsCDAINAggCCAIIAggCCAIIAggCCAIIAggCCAIIAggCCAIIAggCCAISAgMCMAIeAALZAgICZgIEAgUCBgIHAggCCQIKAgsCDAINAggCCAIIAggCCAIIAggCCAIIAggCCAIIAggCCAIIAggCCAISAgMC3HNxAH4AAAAAAAJzcQB+AAT///////////////7////+/////3VxAH4ABwAAAAQESkGVeHh3igIeAALZAgICAwIEAgUCBgIHAggCCQKpAgsCDAINAggCCAIIAggCCAIIAggCCAIIAggCCAIIAggCCAIIAggCCAISAgMCzAIeAALZAgICTwIEAgUCBgIHAggCCQI4AgsCDAINAggCCAIIAggCCAIIAggCCAIIAggCCAIIAggCCAIIAggCCAISAgMC3XNxAH4AAAAAAAJzcQB+AAT///////////////7////+/////3VxAH4ABwAAAARaqchfeHh6AAAEAAIeAALZAgICGwIEAgUCBgIHAggCCQI4AgsCDAINAggCCAIIAggCCAIIAggCCAIIAggCCAIIAggCCAIIAggCCAISAgMCRgIeAALZAgICSwIEAgUCBgIHAggCCQI4AgsCDAINAggCCAIIAggCCAIIAggCCAIIAggCCAIIAggCCAIIAggCCAISAgMCtAIeAALZAgICWQIEAgUCBgIHAggCCQKpAgsCDAINAggCCAIIAggCCAIIAggCCAIIAggCCAIIAggCCAIIAggCCAISAgMC1wIeAALZAgIChQIEAgUCBgIHAggCCQKpAgsCDAINAggCCAIIAggCCAIIAggCCAIIAggCCAIIAggCCAIIAggCCAISAgMCswIeAALZAgICdQIEAgUCBgIHAggCCQIKAgsCDAINAggCCAIIAggCCAIIAggCCAIIAggCCAIIAggCCAIIAggCCAISAgMCzQIeAALZAgICLQIEAgUCBgIHAggCCQKpAgsCDAINAggCCAIIAggCCAIIAggCCAIIAggCCAIIAggCCAIIAggCCAISAgMC1gIeAALZAgICHQIEAgUCBgIHAggCCQIKAgsCDAINAggCCAIIAggCCAIIAggCCAIIAggCCAIIAggCCAIIAggCCAISAgMCHgIeAALZAgICNQIEAgUCBgIHAggCCQIKAgsCDAINAggCCAIIAggCCAIIAggCCAIIAggCCAIIAggCCAIIAggCCAISAgMCNgIeAALZAgICggIEAgUCBgIHAggCCQI4AgsCDAINAggCCAIIAggCCAIIAggCCAIIAggCCAIIAggCCAIIAggCCAISAgMCyQIeAALZAgICMwIEAgUCBgIHAggCCQIKAgsCDAINAggCCAIIAggCCAIIAggCCAIIAggCCAIIAggCCAIIAggCCAISAgMCNAIeAALZAgICJwIEAgUCBgIHAggCCQIKAgsCDAINAggCCAIIAggCCAIIAggCCAIIAggCCAIIAggCCAIIAggCCAISAgMCKAIeAALZAgICaQIEAgUCBgIHAggCCQIKAgsCDAINAggCCAIIAggCCAIIAggCCAIIAggCCAIIAggCCAIIAggCCAISAgMC1AIeAALZAgICJQIEAgUCBgIHAggCCQKpAgsCDAINAggCCAIIAggCCAIIAggCCAIIAggCCAIIAggCCAIIAggCCAISAgMCUAIeAALZAgICMQIEAgUCBgIHAggCCQI4AgsCDAINAggCCAIIAggCCAIIAggCCAIIAggCCAIIAggCCAIIAggCCAISAgMCOQIeAALZAgICIQIEAgUCBgIHAggCCQI4AgsCDAINAggCCAIIAggCCAIIAggCCAIIAggCCAIIAggCCAJ6AAAEAAgCCAIIAhICAwI6Ah4AAt4ACTQyNTQzMzIxNgICAl8CBAIFAgYCBwIIAgkCOAILAgwCDQIIAggCCAIIAggCCAIIAggCCAIIAggCCAIIAggCCAIIAggAAgMCzwIeAALeAgICAwIEAgUCBgIHAggCCQI4AgsCDAINAggCCAIIAggCCAIIAggCCAIIAggCCAIIAggCCAIIAggCCAACAwJEAh4AAt4CAgJpAgQCBQIGAgcCCAIJAgoCCwIMAg0CCAIIAggCCAIIAggCCAIIAggCCAIIAggCCAIIAggCCAIIAAIDAtQCHgAC3gICAiUCBAIFAgYCBwIIAgkCqQILAgwCDQIIAggCCAIIAggCCAIIAggCCAIIAggCCAIIAggCCAIIAggAAgMCUAIeAALeAgICIQIEAgUCBgIHAggCCQI4AgsCDAINAggCCAIIAggCCAIIAggCCAIIAggCCAIIAggCCAIIAggCCAACAwI6Ah4AAt4CAgJ7AgQCBQIGAgcCCAIJAgoCCwIMAg0CCAIIAggCCAIIAggCCAIIAggCCAIIAggCCAIIAggCCAIIAAIDAroCHgAC3gICAh8CBAIFAgYCBwIIAgkCCgILAgwCDQIIAggCCAIIAggCCAIIAggCCAIIAggCCAIIAggCCAIIAggAAgMCIAIeAALeAgICeAIEAgUCBgIHAggCCQIKAgsCDAINAggCCAIIAggCCAIIAggCCAIIAggCCAIIAggCCAIIAggCCAACAwLBAh4AAt4CAgJZAgQCBQIGAgcCCAIJAjgCCwIMAg0CCAIIAggCCAIIAggCCAIIAggCCAIIAggCCAIIAggCCAIIAAIDArgCHgAC3gICAh0CBAIFAgYCBwIIAgkCCgILAgwCDQIIAggCCAIIAggCCAIIAggCCAIIAggCCAIIAggCCAIIAggAAgMCHgIeAALeAgICKQIEAgUCBgIHAggCCQKpAgsCDAINAggCCAIIAggCCAIIAggCCAIIAggCCAIIAggCCAIIAggCCAACAwLOAh4AAt4CAgIzAgQCBQIGAgcCCAIJAqkCCwIMAg0CCAIIAggCCAIIAggCCAIIAggCCAIIAggCCAIIAggCCAIIAAIDAlACHgAC3gICAjUCBAIFAgYCBwIIAgkCqQILAgwCDQIIAggCCAIIAggCCAIIAggCCAIIAggCCAIIAggCCAIIAggAAgMCsgIeAALeAgICaQIEAgUCBgIHAggCCQI4AgsCDAINAggCCAIIAggCCAIIAggCCAIIAggCCAIIAggCCAIIAggCCAACAwLHAh4AAt4CAgInAgQCBQIGAgcCCAIJAjgCCwIMAg0CCAIIAggCCAIIAggCCAIIAggCCAJ6AAAEAAgCCAIIAggCCAIIAggAAgMCPgIeAALeAgICUwIEAgUCBgIHAggCCQIKAgsCDAINAggCCAIIAggCCAIIAggCCAIIAggCCAIIAggCCAIIAggCCAACAwK2Ah4AAt4CAgIbAgQCBQIGAgcCCAIJAjgCCwIMAg0CCAIIAggCCAIIAggCCAIIAggCCAIIAggCCAIIAggCCAIIAAIDAkYCHgAC3gICAoICBAIFAgYCBwIIAgkCCgILAgwCDQIIAggCCAIIAggCCAIIAggCCAIIAggCCAIIAggCCAIIAggAAgMCyAIeAALeAgICVgIEAgUCBgIHAggCCQIKAgsCDAINAggCCAIIAggCCAIIAggCCAIIAggCCAIIAggCCAIIAggCCAACAwK1Ah4AAt4CAgItAgQCBQIGAgcCCAIJAjgCCwIMAg0CCAIIAggCCAIIAggCCAIIAggCCAIIAggCCAIIAggCCAIIAAIDAkACHgAC3gICAiECBAIFAgYCBwIIAgkCCgILAgwCDQIIAggCCAIIAggCCAIIAggCCAIIAggCCAIIAggCCAIIAggAAgMCIgIeAALeAgICMQIEAgUCBgIHAggCCQIKAgsCDAINAggCCAIIAggCCAIIAggCCAIIAggCCAIIAggCCAIIAggCCAACAwIyAh4AAt4CAgJLAgQCBQIGAgcCCAIJAjgCCwIMAg0CCAIIAggCCAIIAggCCAIIAggCCAIIAggCCAIIAggCCAIIAAIDArQCHgAC3gICAmYCBAIFAgYCBwIIAgkCCgILAgwCDQIIAggCCAIIAggCCAIIAggCCAIIAggCCAIIAggCCAIIAggAAgMC3AIeAALeAgICdQIEAgUCBgIHAggCCQKpAgsCDAINAggCCAIIAggCCAIIAggCCAIIAggCCAIIAggCCAIIAggCCAACAwKwAh4AAt4CAgIpAgQCBQIGAgcCCAIJAjgCCwIMAg0CCAIIAggCCAIIAggCCAIIAggCCAIIAggCCAIIAggCCAIIAAIDAj0CHgAC3gICAnUCBAIFAgYCBwIIAgkCCgILAgwCDQIIAggCCAIIAggCCAIIAggCCAIIAggCCAIIAggCCAIIAggAAgMCzQIeAALeAgICXwIEAgUCBgIHAggCCQIKAgsCDAINAggCCAIIAggCCAIIAggCCAIIAggCCAIIAggCCAIIAggCCAACAwKxAh4AAt4CAgJmAgQCBQIGAgcCCAIJAqkCCwIMAg0CCAIIAggCCAIIAggCCAIIAggCCAIIAggCCAIIAggCCAIIAAIDAlACHgAC3gICAlkCBAIFAgYCBwIIAgkCqQILAgwCDQIIAggCCAIIAggCCAIIAggCCAIIAggCCAJ6AAAEAAgCCAIIAggCCAACAwLXAh4AAt4CAgIrAgQCBQIGAgcCCAIJAqkCCwIMAg0CCAIIAggCCAIIAggCCAIIAggCCAIIAggCCAIIAggCCAIIAAIDAsUCHgAC3gICAk8CBAIFAgYCBwIIAgkCOAILAgwCDQIIAggCCAIIAggCCAIIAggCCAIIAggCCAIIAggCCAIIAggAAgMC3QIeAALeAgICewIEAgUCBgIHAggCCQI4AgsCDAINAggCCAIIAggCCAIIAggCCAIIAggCCAIIAggCCAIIAggCCAACAwLGAh4AAt4CAgIvAgQCBQIGAgcCCAIJAgoCCwIMAg0CCAIIAggCCAIIAggCCAIIAggCCAIIAggCCAIIAggCCAIIAAIDAjACHgAC3gICAoUCBAIFAgYCBwIIAgkCqQILAgwCDQIIAggCCAIIAggCCAIIAggCCAIIAggCCAIIAggCCAIIAggAAgMCswIeAALeAgICGwIEAgUCBgIHAggCCQIKAgsCDAINAggCCAIIAggCCAIIAggCCAIIAggCCAIIAggCCAIIAggCCAACAwIcAh4AAt4CAgJLAgQCBQIGAgcCCAIJAgoCCwIMAg0CCAIIAggCCAIIAggCCAIIAggCCAIIAggCCAIIAggCCAIIAAIDAtUCHgAC3gICAjECBAIFAgYCBwIIAgkCOAILAgwCDQIIAggCCAIIAggCCAIIAggCCAIIAggCCAIIAggCCAIIAggAAgMCOQIeAALeAgICggIEAgUCBgIHAggCCQI4AgsCDAINAggCCAIIAggCCAIIAggCCAIIAggCCAIIAggCCAIIAggCCAACAwLJAh4AAt4CAgInAgQCBQIGAgcCCAIJAgoCCwIMAg0CCAIIAggCCAIIAggCCAIIAggCCAIIAggCCAIIAggCCAIIAAIDAigCHgAC3gICAlMCBAIFAgYCBwIIAgkCOAILAgwCDQIIAggCCAIIAggCCAIIAggCCAIIAggCCAIIAggCCAIIAggAAgMC2AIeAALeAgICHwIEAgUCBgIHAggCCQKpAgsCDAINAggCCAIIAggCCAIIAggCCAIIAggCCAIIAggCCAIIAggCCAACAwLQAh4AAt4CAgJ4AgQCBQIGAgcCCAIJAqkCCwIMAg0CCAIIAggCCAIIAggCCAIIAggCCAIIAggCCAIIAggCCAIIAAIDAtICHgAC3gICAi0CBAIFAgYCBwIIAgkCqQILAgwCDQIIAggCCAIIAggCCAIIAggCCAIIAggCCAIIAggCCAIIAggAAgMC1gIeAALeAgICIwIEAgUCBgIHAggCCQI4AgsCDAINAggCCAIIAggCCAIIAggCCAIIAggCCAIIAggCCAJ6AAAEAAgCCAIIAAIDAjsCHgAC3gICAikCBAIFAgYCBwIIAgkCCgILAgwCDQIIAggCCAIIAggCCAIIAggCCAIIAggCCAIIAggCCAIIAggAAgMCKgIeAALeAgICdQIEAgUCBgIHAggCCQI4AgsCDAINAggCCAIIAggCCAIIAggCCAIIAggCCAIIAggCCAIIAggCCAACAwK3Ah4AAt4CAgIvAgQCBQIGAgcCCAIJAjgCCwIMAg0CCAIIAggCCAIIAggCCAIIAggCCAIIAggCCAIIAggCCAIIAAIDAkMCHgAC3gICAoUCBAIFAgYCBwIIAgkCOAILAgwCDQIIAggCCAIIAggCCAIIAggCCAIIAggCCAIIAggCCAIIAggAAgMC0wIeAALeAgICNQIEAgUCBgIHAggCCQIKAgsCDAINAggCCAIIAggCCAIIAggCCAIIAggCCAIIAggCCAIIAggCCAACAwI2Ah4AAt4CAgJ7AgQCBQIGAgcCCAIJAqkCCwIMAg0CCAIIAggCCAIIAggCCAIIAggCCAIIAggCCAIIAggCCAIIAAIDAtECHgAC3gICAmkCBAIFAgYCBwIIAgkCqQILAgwCDQIIAggCCAIIAggCCAIIAggCCAIIAggCCAIIAggCCAIIAggAAgMCywIeAALeAgICMwIEAgUCBgIHAggCCQIKAgsCDAINAggCCAIIAggCCAIIAggCCAIIAggCCAIIAggCCAIIAggCCAACAwI0Ah4AAt4CAgInAgQCBQIGAgcCCAIJAqkCCwIMAg0CCAIIAggCCAIIAggCCAIIAggCCAIIAggCCAIIAggCCAIIAAIDArkCHgAC3gICAk8CBAIFAgYCBwIIAgkCCgILAgwCDQIIAggCCAIIAggCCAIIAggCCAIIAggCCAIIAggCCAIIAggAAgMC2wIeAALeAgICMQIEAgUCBgIHAggCCQKpAgsCDAINAggCCAIIAggCCAIIAggCCAIIAggCCAIIAggCCAIIAggCCAACAwK9Ah4AAt4CAgJWAgQCBQIGAgcCCAIJAqkCCwIMAg0CCAIIAggCCAIIAggCCAIIAggCCAIIAggCCAIIAggCCAIIAAIDAsoCHgAC3gICAgMCBAIFAgYCBwIIAgkCqQILAgwCDQIIAggCCAIIAggCCAIIAggCCAIIAggCCAIIAggCCAIIAggAAgMCzAIeAALeAgICIwIEAgUCBgIHAggCCQIKAgsCDAINAggCCAIIAggCCAIIAggCCAIIAggCCAIIAggCCAIIAggCCAACAwIkAh4AAt4CAgJTAgQCBQIGAgcCCAIJAqkCCwIMAg0CCAIIAggCCAIIAggCCAIIAggCCAIIAggCCAIIAggCCAJ6AAAEAAgAAgMCxAIeAALeAgICJQIEAgUCBgIHAggCCQI4AgsCDAINAggCCAIIAggCCAIIAggCCAIIAggCCAIIAggCCAIIAggCCAACAwI8Ah4AAt4CAgIdAgQCBQIGAgcCCAIJAqkCCwIMAg0CCAIIAggCCAIIAggCCAIIAggCCAIIAggCCAIIAggCCAIIAAIDAlACHgAC3gICAiECBAIFAgYCBwIIAgkCqQILAgwCDQIIAggCCAIIAggCCAIIAggCCAIIAggCCAIIAggCCAIIAggAAgMCUAIeAALeAgICXwIEAgUCBgIHAggCCQKpAgsCDAINAggCCAIIAggCCAIIAggCCAIIAggCCAIIAggCCAIIAggCCAACAwLCAh4AAt4CAgIvAgQCBQIGAgcCCAIJAqkCCwIMAg0CCAIIAggCCAIIAggCCAIIAggCCAIIAggCCAIIAggCCAIIAAIDAq4CHgAC3gICAisCBAIFAgYCBwIIAgkCCgILAgwCDQIIAggCCAIIAggCCAIIAggCCAIIAggCCAIIAggCCAIIAggAAgMCLAIeAALeAgICeAIEAgUCBgIHAggCCQI4AgsCDAINAggCCAIIAggCCAIIAggCCAIIAggCCAIIAggCCAIIAggCCAACAwLDAh4AAt4CAgIjAgQCBQIGAgcCCAIJAqkCCwIMAg0CCAIIAggCCAIIAggCCAIIAggCCAIIAggCCAIIAggCCAIIAAIDAlACHgAC3gICAh8CBAIFAgYCBwIIAgkCOAILAgwCDQIIAggCCAIIAggCCAIIAggCCAIIAggCCAIIAggCCAIIAggAAgMCRwIeAALeAgICWQIEAgUCBgIHAggCCQIKAgsCDAINAggCCAIIAggCCAIIAggCCAIIAggCCAIIAggCCAIIAggCCAACAwKvAh4AAt4CAgItAgQCBQIGAgcCCAIJAgoCCwIMAg0CCAIIAggCCAIIAggCCAIIAggCCAIIAggCCAIIAggCCAIIAAIDAi4CHgAC3gICAgMCBAIFAgYCBwIIAgkCCgILAgwCDQIIAggCCAIIAggCCAIIAggCCAIIAggCCAIIAggCCAIIAggAAgMCDgIeAALeAgICggIEAgUCBgIHAggCCQKpAgsCDAINAggCCAIIAggCCAIIAggCCAIIAggCCAIIAggCCAIIAggCCAACAwK8Ah4AAt4CAgIzAgQCBQIGAgcCCAIJAjgCCwIMAg0CCAIIAggCCAIIAggCCAIIAggCCAIIAggCCAIIAggCCAIIAAIDAkECHgAC3gICAlYCBAIFAgYCBwIIAgkCOAILAgwCDQIIAggCCAIIAggCCAIIAggCCAIIAggCCAIIAggCCAIIAggAAgN6AAAEAAK+Ah4AAt4CAgJPAgQCBQIGAgcCCAIJAqkCCwIMAg0CCAIIAggCCAIIAggCCAIIAggCCAIIAggCCAIIAggCCAIIAAIDAlACHgAC3gICAjUCBAIFAgYCBwIIAgkCOAILAgwCDQIIAggCCAIIAggCCAIIAggCCAIIAggCCAIIAggCCAIIAggAAgMCRQIeAALeAgIChQIEAgUCBgIHAggCCQIKAgsCDAINAggCCAIIAggCCAIIAggCCAIIAggCCAIIAggCCAIIAggCCAACAwK7Ah4AAt4CAgIdAgQCBQIGAgcCCAIJAjgCCwIMAg0CCAIIAggCCAIIAggCCAIIAggCCAIIAggCCAIIAggCCAIIAAIDAkICHgAC3gICAmYCBAIFAgYCBwIIAgkCOAILAgwCDQIIAggCCAIIAggCCAIIAggCCAIIAggCCAIIAggCCAIIAggAAgMC2gIeAALeAgICKwIEAgUCBgIHAggCCQI4AgsCDAINAggCCAIIAggCCAIIAggCCAIIAggCCAIIAggCCAIIAggCCAACAwI/Ah4AAt4CAgIbAgQCBQIGAgcCCAIJAqkCCwIMAg0CCAIIAggCCAIIAggCCAIIAggCCAIIAggCCAIIAggCCAIIAAIDAr8CHgAC3gICAiUCBAIFAgYCBwIIAgkCCgILAgwCDQIIAggCCAIIAggCCAIIAggCCAIIAggCCAIIAggCCAIIAggAAgMCJgIeAALeAgICSwIEAgUCBgIHAggCCQKpAgsCDAINAggCCAIIAggCCAIIAggCCAIIAggCCAIIAggCCAIIAggCCAACAwLAAh4AAt8ACTQzMDk4NTQ3MgICAoUCBAIFAgYCBwIIAgkCOAILAgwCDQIIAggCCAIIAggCCAIIAggCCAIIAggCCAIIAggCCAIIAggCGgIDAtMCHgAC3wICAh8CBAIFAgYCBwIIAgkCqQILAgwCDQIIAggCCAIIAggCCAIIAggCCAIIAggCCAIIAggCCAIIAggCGgIDAtACHgAC3wICAiMCBAIFAgYCBwIIAgkCOAILAgwCDQIIAggCCAIIAggCCAIIAggCCAIIAggCCAIIAggCCAIIAggCGgIDAjsCHgAC3wICAjECBAIFAgYCBwIIAgkCqQILAgwCDQIIAggCCAIIAggCCAIIAggCCAIIAggCCAIIAggCCAIIAggCGgIDAr0CHgAC3wICAikCBAIFAgYCBwIIAgkCCgILAgwCDQIIAggCCAIIAggCCAIIAggCCAIIAggCCAIIAggCCAIIAggCGgIDAioCHgAC3wICAngCBAIFAgYCBwIIAgkCqQILAgwCDQIIAggCCAIIAggCCAIIAggCCAIIAggCCAJ6AAAEAAgCCAIIAggCCAIaAgMC0gIeAALfAgICLQIEAgUCBgIHAggCCQIKAgsCDAINAggCCAIIAggCCAIIAggCCAIIAggCCAIIAggCCAIIAggCCAIaAgMCLgIeAALfAgICggIEAgUCBgIHAggCCQKpAgsCDAINAggCCAIIAggCCAIIAggCCAIIAggCCAIIAggCCAIIAggCCAIaAgMCvAIeAALfAgICSwIEAgUCBgIHAggCCQIKAgsCDAINAggCCAIIAggCCAIIAggCCAIIAggCCAIIAggCCAIIAggCCAIaAgMC1QIeAALfAgICGwIEAgUCBgIHAggCCQIKAgsCDAINAggCCAIIAggCCAIIAggCCAIIAggCCAIIAggCCAIIAggCCAIaAgMCHAIeAALfAgICdQIEAgUCBgIHAggCCQI4AgsCDAINAggCCAIIAggCCAIIAggCCAIIAggCCAIIAggCCAIIAggCCAIaAgMCtwIeAALfAgICLwIEAgUCBgIHAggCCQI4AgsCDAINAggCCAIIAggCCAIIAggCCAIIAggCCAIIAggCCAIIAggCCAIaAgMCQwIeAALfAgICNQIEAgUCBgIHAggCCQI4AgsCDAINAggCCAIIAggCCAIIAggCCAIIAggCCAIIAggCCAIIAggCCAIaAgMCRQIeAALfAgICUwIEAgUCBgIHAggCCQKpAgsCDAINAggCCAIIAggCCAIIAggCCAIIAggCCAIIAggCCAIIAggCCAIaAgMCxAIeAALfAgICAwIEAgUCBgIHAggCCQKpAgsCDAINAggCCAIIAggCCAIIAggCCAIIAggCCAIIAggCCAIIAggCCAIaAgMCzAIeAALfAgICSwIEAgUCBgIHAggCCQI4AgsCDAINAggCCAIIAggCCAIIAggCCAIIAggCCAIIAggCCAIIAggCCAIaAgMCtAIeAALfAgICLwIEAgUCBgIHAggCCQIKAgsCDAINAggCCAIIAggCCAIIAggCCAIIAggCCAIIAggCCAIIAggCCAIaAgMCMAIeAALfAgIChQIEAgUCBgIHAggCCQKpAgsCDAINAggCCAIIAggCCAIIAggCCAIIAggCCAIIAggCCAIIAggCCAIaAgMCswIeAALfAgICIQIEAgUCBgIHAggCCQKpAgsCDAINAggCCAIIAggCCAIIAggCCAIIAggCCAIIAggCCAIIAggCCAIaAgMCUAIeAALfAgICIwIEAgUCBgIHAggCCQKpAgsCDAINAggCCAIIAggCCAIIAggCCAIIAggCCAIIAggCCAIIAggCCAIaAgMCUAIeAALfAgICKwIEAgUCBgIHAggCCQIKAgsCDAINAggCCAIIAggCCAIIAgh6AAAEAAIIAggCCAIIAggCCAIIAggCCAIIAhoCAwIsAh4AAt8CAgKCAgQCBQIGAgcCCAIJAjgCCwIMAg0CCAIIAggCCAIIAggCCAIIAggCCAIIAggCCAIIAggCCAIIAhoCAwLJAh4AAt8CAgJZAgQCBQIGAgcCCAIJAgoCCwIMAg0CCAIIAggCCAIIAggCCAIIAggCCAIIAggCCAIIAggCCAIIAhoCAwKvAh4AAt8CAgIxAgQCBQIGAgcCCAIJAjgCCwIMAg0CCAIIAggCCAIIAggCCAIIAggCCAIIAggCCAIIAggCCAIIAhoCAwI5Ah4AAt8CAgI1AgQCBQIGAgcCCAIJAgoCCwIMAg0CCAIIAggCCAIIAggCCAIIAggCCAIIAggCCAIIAggCCAIIAhoCAwI2Ah4AAt8CAgJ7AgQCBQIGAgcCCAIJAqkCCwIMAg0CCAIIAggCCAIIAggCCAIIAggCCAIIAggCCAIIAggCCAIIAhoCAwLRAh4AAt8CAgIpAgQCBQIGAgcCCAIJAqkCCwIMAg0CCAIIAggCCAIIAggCCAIIAggCCAIIAggCCAIIAggCCAIIAhoCAwLOAh4AAt8CAgIdAgQCBQIGAgcCCAIJAgoCCwIMAg0CCAIIAggCCAIIAggCCAIIAggCCAIIAggCCAIIAggCCAIIAhoCAwIeAh4AAt8CAgJ1AgQCBQIGAgcCCAIJAgoCCwIMAg0CCAIIAggCCAIIAggCCAIIAggCCAIIAggCCAIIAggCCAIIAhoCAwLNAh4AAt8CAgJWAgQCBQIGAgcCCAIJAgoCCwIMAg0CCAIIAggCCAIIAggCCAIIAggCCAIIAggCCAIIAggCCAIIAhoCAwK1Ah4AAt8CAgIbAgQCBQIGAgcCCAIJAjgCCwIMAg0CCAIIAggCCAIIAggCCAIIAggCCAIIAggCCAIIAggCCAIIAhoCAwJGAh4AAt8CAgJ4AgQCBQIGAgcCCAIJAgoCCwIMAg0CCAIIAggCCAIIAggCCAIIAggCCAIIAggCCAIIAggCCAIIAhoCAwLBAh4AAt8CAgIfAgQCBQIGAgcCCAIJAgoCCwIMAg0CCAIIAggCCAIIAggCCAIIAggCCAIIAggCCAIIAggCCAIIAhoCAwIgAh4AAt8CAgJTAgQCBQIGAgcCCAIJAjgCCwIMAg0CCAIIAggCCAIIAggCCAIIAggCCAIIAggCCAIIAggCCAIIAhoCAwLYAh4AAt8CAgJWAgQCBQIGAgcCCAIJAjgCCwIMAg0CCAIIAggCCAIIAggCCAIIAggCCAIIAggCCAIIAggCCAIIAhoCAwK+Ah4AAt8CAgIbAgQCBQIGAgcCCAIJAqkCCwIMAg0CCAJ6AAAEAAgCCAIIAggCCAIIAggCCAIIAggCCAIIAggCCAIIAggCGgIDAr8CHgAC3wICAksCBAIFAgYCBwIIAgkCqQILAgwCDQIIAggCCAIIAggCCAIIAggCCAIIAggCCAIIAggCCAIIAggCGgIDAsACHgAC3wICAl8CBAIFAgYCBwIIAgkCOAILAgwCDQIIAggCCAIIAggCCAIIAggCCAIIAggCCAIIAggCCAIIAggCGgIDAs8CHgAC3wICAmkCBAIFAgYCBwIIAgkCOAILAgwCDQIIAggCCAIIAggCCAIIAggCCAIIAggCCAIIAggCCAIIAggCGgIDAscCHgAC3wICAmkCBAIFAgYCBwIIAgkCCgILAgwCDQIIAggCCAIIAggCCAIIAggCCAIIAggCCAIIAggCCAIIAggCGgIDAtQCHgAC3wICAoICBAIFAgYCBwIIAgkCCgILAgwCDQIIAggCCAIIAggCCAIIAggCCAIIAggCCAIIAggCCAIIAggCGgIDAsgCHgAC3wICAnsCBAIFAgYCBwIIAgkCCgILAgwCDQIIAggCCAIIAggCCAIIAggCCAIIAggCCAIIAggCCAIIAggCGgIDAroCHgAC3wICAiECBAIFAgYCBwIIAgkCOAILAgwCDQIIAggCCAIIAggCCAIIAggCCAIIAggCCAIIAggCCAIIAggCGgIDAjoCHgAC3wICAicCBAIFAgYCBwIIAgkCOAILAgwCDQIIAggCCAIIAggCCAIIAggCCAIIAggCCAIIAggCCAIIAggCGgIDAj4CHgAC3wICAlkCBAIFAgYCBwIIAgkCqQILAgwCDQIIAggCCAIIAggCCAIIAggCCAIIAggCCAIIAggCCAIIAggCGgIDAtcCHgAC3wICAisCBAIFAgYCBwIIAgkCqQILAgwCDQIIAggCCAIIAggCCAIIAggCCAIIAggCCAIIAggCCAIIAggCGgIDAsUCHgAC3wICAicCBAIFAgYCBwIIAgkCCgILAgwCDQIIAggCCAIIAggCCAIIAggCCAIIAggCCAIIAggCCAIIAggCGgIDAigCHgAC3wICAnsCBAIFAgYCBwIIAgkCOAILAgwCDQIIAggCCAIIAggCCAIIAggCCAIIAggCCAIIAggCCAIIAggCGgIDAsYCHgAC3wICAi0CBAIFAgYCBwIIAgkCqQILAgwCDQIIAggCCAIIAggCCAIIAggCCAIIAggCCAIIAggCCAIIAggCGgIDAtYCHgAC3wICAl8CBAIFAgYCBwIIAgkCqQILAgwCDQIIAggCCAIIAggCCAIIAggCCAIIAggCCAIIAggCCAIIAggCGgIDAsICHgAC3wICAgMCBAIFAgYCBwIIAgl6AAAEAAI4AgsCDAINAggCCAIIAggCCAIIAggCCAIIAggCCAIIAggCCAIIAggCCAIaAgMCRAIeAALfAgICHQIEAgUCBgIHAggCCQI4AgsCDAINAggCCAIIAggCCAIIAggCCAIIAggCCAIIAggCCAIIAggCCAIaAgMCQgIeAALfAgICIwIEAgUCBgIHAggCCQIKAgsCDAINAggCCAIIAggCCAIIAggCCAIIAggCCAIIAggCCAIIAggCCAIaAgMCJAIeAALfAgICIQIEAgUCBgIHAggCCQIKAgsCDAINAggCCAIIAggCCAIIAggCCAIIAggCCAIIAggCCAIIAggCCAIaAgMCIgIeAALfAgICAwIEAgUCBgIHAggCCQIKAgsCDAINAggCCAIIAggCCAIIAggCCAIIAggCCAIIAggCCAIIAggCCAIaAgMCDgIeAALfAgICHQIEAgUCBgIHAggCCQKpAgsCDAINAggCCAIIAggCCAIIAggCCAIIAggCCAIIAggCCAIIAggCCAIaAgMCUAIeAALfAgICVgIEAgUCBgIHAggCCQKpAgsCDAINAggCCAIIAggCCAIIAggCCAIIAggCCAIIAggCCAIIAggCCAIaAgMCygIeAALfAgICdQIEAgUCBgIHAggCCQKpAgsCDAINAggCCAIIAggCCAIIAggCCAIIAggCCAIIAggCCAIIAggCCAIaAgMCsAIeAALfAgIChQIEAgUCBgIHAggCCQIKAgsCDAINAggCCAIIAggCCAIIAggCCAIIAggCCAIIAggCCAIIAggCCAIaAgMCuwIeAALfAgICXwIEAgUCBgIHAggCCQIKAgsCDAINAggCCAIIAggCCAIIAggCCAIIAggCCAIIAggCCAIIAggCCAIaAgMCsQIeAALfAgICKwIEAgUCBgIHAggCCQI4AgsCDAINAggCCAIIAggCCAIIAggCCAIIAggCCAIIAggCCAIIAggCCAIaAgMCPwIeAALfAgICKQIEAgUCBgIHAggCCQI4AgsCDAINAggCCAIIAggCCAIIAggCCAIIAggCCAIIAggCCAIIAggCCAIaAgMCPQIeAALfAgICMQIEAgUCBgIHAggCCQIKAgsCDAINAggCCAIIAggCCAIIAggCCAIIAggCCAIIAggCCAIIAggCCAIaAgMCMgIeAALfAgICWQIEAgUCBgIHAggCCQI4AgsCDAINAggCCAIIAggCCAIIAggCCAIIAggCCAIIAggCCAIIAggCCAIaAgMCuAIeAALfAgICJwIEAgUCBgIHAggCCQKpAgsCDAINAggCCAIIAggCCAIIAggCCAIIAggCCAIIAggCCAIIAggCCAIaAgMCuQIeAALfAgICaQJ6AAAEAAQCBQIGAgcCCAIJAqkCCwIMAg0CCAIIAggCCAIIAggCCAIIAggCCAIIAggCCAIIAggCCAIIAhoCAwLLAh4AAt8CAgIvAgQCBQIGAgcCCAIJAqkCCwIMAg0CCAIIAggCCAIIAggCCAIIAggCCAIIAggCCAIIAggCCAIIAhoCAwKuAh4AAt8CAgI1AgQCBQIGAgcCCAIJAqkCCwIMAg0CCAIIAggCCAIIAggCCAIIAggCCAIIAggCCAIIAggCCAIIAhoCAwKyAh4AAt8CAgJ4AgQCBQIGAgcCCAIJAjgCCwIMAg0CCAIIAggCCAIIAggCCAIIAggCCAIIAggCCAIIAggCCAIIAhoCAwLDAh4AAt8CAgJTAgQCBQIGAgcCCAIJAgoCCwIMAg0CCAIIAggCCAIIAggCCAIIAggCCAIIAggCCAIIAggCCAIIAhoCAwK2Ah4AAt8CAgItAgQCBQIGAgcCCAIJAjgCCwIMAg0CCAIIAggCCAIIAggCCAIIAggCCAIIAggCCAIIAggCCAIIAhoCAwJAAh4AAt8CAgIfAgQCBQIGAgcCCAIJAjgCCwIMAg0CCAIIAggCCAIIAggCCAIIAggCCAIIAggCCAIIAggCCAIIAhoCAwJHAh4AAuAACTQxNzAyMDU0NAICAnsCBAIFAgYCBwIIAgkCOAILAkkCDQIIAggCCAIIAggCCAIIAggCCAIIAggCCAIIAggCCAIIAggCFwIDApoCHgAC4AICAmkCBAIFAgYCBwIIAgkCTAILAkkCDQIIAggCCAIIAggCCAIIAggCCAIIAggCCAIIAggCCAIIAggCFwIDAnECHgAC4AICAoICBAIFAgYCBwIIAgkCCgILAkkCDQIIAggCCAIIAggCCAIIAggCCAIIAggCCAIIAggCCAIIAggCFwIDApkCHgAC4AICAicCBAIFAgYCBwIIAgkCTAILAkkCDQIIAggCCAIIAggCCAIIAggCCAIIAggCCAIIAggCCAIIAggCFwIDAo4CHgAC4AICAh0CBAIFAgYCBwIIAgkCTAILAkkCDQIIAggCCAIIAggCCAIIAggCCAIIAggCCAIIAggCCAIIAggCFwIDAlACHgAC4AICAngCBAIFAgYCBwIIAgkCOAILAkkCDQIIAggCCAIIAggCCAIIAggCCAIIAggCCAIIAggCCAIIAggCFwIDAo0CHgAC4AICAicCBAIFAgYCBwIIAgkCOAILAkkCDQIIAggCCAIIAggCCAIIAggCCAIIAggCCAIIAggCCAIIAggCFwIDAm0CHgAC4AICAlYCBAIFAgYCBwIIAgkCTAILAkkCDQIIAggCCAIIAggCCAIIAggCCAIIAggCCAIIAgh6AAAEAAIIAggCCAIXAgMCfwIeAALgAgICMQIEAgUCBgIHAggCCQIKAgsCSQINAggCCAIIAggCCAIIAggCCAIIAggCCAIIAggCCAIIAggCCAIXAgMCkwIeAALgAgICeAIEAgUCBgIHAggCCQIKAgsCSQINAggCCAIIAggCCAIIAggCCAIIAggCCAIIAggCCAIIAggCCAIXAgMCeQIeAALgAgICAwIEAgUCBgIHAggCCQI4AgsCSQINAggCCAIIAggCCAIIAggCCAIIAggCCAIIAggCCAIIAggCCAIXAgMCoQIeAALgAgICUwIEAgUCBgIHAggCCQI4AgsCSQINAggCCAIIAggCCAIIAggCCAIIAggCCAIIAggCCAIIAggCCAIXAgMCpAIeAALgAgICUwIEAgUCBgIHAggCCQJMAgsCSQINAggCCAIIAggCCAIIAggCCAIIAggCCAIIAggCCAIIAggCCAIXAgMCpQIeAALgAgICAwIEAgUCBgIHAggCCQJMAgsCSQINAggCCAIIAggCCAIIAggCCAIIAggCCAIIAggCCAIIAggCCAIXAgMCmAIeAALgAgICVgIEAgUCBgIHAggCCQI4AgsCSQINAggCCAIIAggCCAIIAggCCAIIAggCCAIIAggCCAIIAggCCAIXAgMCfgIeAALgAgICHQIEAgUCBgIHAggCCQI4AgsCSQINAggCCAIIAggCCAIIAggCCAIIAggCCAIIAggCCAIIAggCCAIXAgMCawIeAALgAgICaQIEAgUCBgIHAggCCQI4AgsCSQINAggCCAIIAggCCAIIAggCCAIIAggCCAIIAggCCAIIAggCCAIXAgMCagIeAALgAgICewIEAgUCBgIHAggCCQJMAgsCSQINAggCCAIIAggCCAIIAggCCAIIAggCCAIIAggCCAIIAggCCAIXAgMCjAIeAALgAgICHwIEAgUCBgIHAggCCQIKAgsCSQINAggCCAIIAggCCAIIAggCCAIIAggCCAIIAggCCAIIAggCCAIXAgMCbwIeAALgAgICKwIEAgUCBgIHAggCCQI4AgsCSQINAggCCAIIAggCCAIIAggCCAIIAggCCAIIAggCCAIIAggCCAIXAgMCVQIeAALgAgICLwIEAgUCBgIHAggCCQI4AgsCSQINAggCCAIIAggCCAIIAggCCAIIAggCCAIIAggCCAIIAggCCAIXAgMCegIeAALgAgICdQIEAgUCBgIHAggCCQI4AgsCSQINAggCCAIIAggCCAIIAggCCAIIAggCCAIIAggCCAIIAggCCAIXAgMCdgIeAALgAgICWQIEAgUCBgIHAggCCQI4AgsCSQINAggCCAIIAggCCAIIAggCCAJ6AAAEAAgCCAIIAggCCAIIAggCCAIIAhcCAwJaAh4AAuACAgIrAgQCBQIGAgcCCAIJAkwCCwJJAg0CCAIIAggCCAIIAggCCAIIAggCCAIIAggCCAIIAggCCAIIAhcCAwJzAh4AAuACAgItAgQCBQIGAgcCCAIJAkwCCwJJAg0CCAIIAggCCAIIAggCCAIIAggCCAIIAggCCAIIAggCCAIIAhcCAwJiAh4AAuACAgKFAgQCBQIGAgcCCAIJAgoCCwJJAg0CCAIIAggCCAIIAggCCAIIAggCCAIIAggCCAIIAggCCAIIAhcCAwKGAh4AAuACAgJ7AgQCBQIGAgcCCAIJAgoCCwJJAg0CCAIIAggCCAIIAggCCAIIAggCCAIIAggCCAIIAggCCAIIAhcCAwJ8Ah4AAuACAgIlAgQCBQIGAgcCCAIJAgoCCwJJAg0CCAIIAggCCAIIAggCCAIIAggCCAIIAggCCAIIAggCCAIIAhcCAwKBAh4AAuACAgIpAgQCBQIGAgcCCAIJAgoCCwJJAg0CCAIIAggCCAIIAggCCAIIAggCCAIIAggCCAIIAggCCAIIAhcCAwJ0Ah4AAuACAgJ4AgQCBQIGAgcCCAIJAkwCCwJJAg0CCAIIAggCCAIIAggCCAIIAggCCAIIAggCCAIIAggCCAIIAhcCAwKRAh4AAuACAgIfAgQCBQIGAgcCCAIJAkwCCwJJAg0CCAIIAggCCAIIAggCCAIIAggCCAIIAggCCAIIAggCCAIIAhcCAwKSAh4AAuACAgJTAgQCBQIGAgcCCAIJAgoCCwJJAg0CCAIIAggCCAIIAggCCAIIAggCCAIIAggCCAIIAggCCAIIAhcCAwJUAh4AAuACAgIjAgQCBQIGAgcCCAIJAgoCCwJJAg0CCAIIAggCCAIIAggCCAIIAggCCAIIAggCCAIIAggCCAIIAhcCAwKUAh4AAuACAgIfAgQCBQIGAgcCCAIJAjgCCwJJAg0CCAIIAggCCAIIAggCCAIIAggCCAIIAggCCAIIAggCCAIIAhcCAwKPAh4AAuACAgItAgQCBQIGAgcCCAIJAjgCCwJJAg0CCAIIAggCCAIIAggCCAIIAggCCAIIAggCCAIIAggCCAIIAhcCAwJKAh4AAuACAgJZAgQCBQIGAgcCCAIJAkwCCwJJAg0CCAIIAggCCAIIAggCCAIIAggCCAIIAggCCAIIAggCCAIIAhcCAwJyAh4AAuACAgIDAgQCBQIGAgcCCAIJAgoCCwJJAg0CCAIIAggCCAIIAggCCAIIAggCCAIIAggCCAIIAggCCAIIAhcCAwJbAh4AAuACAgIpAgQCBQIGAgcCCAIJAjgCCwJJAg0CCAIIAgh6AAAEAAIIAggCCAIIAggCCAIIAggCCAIIAggCCAIIAggCFwIDAl4CHgAC4AICAjUCBAIFAgYCBwIIAgkCTAILAkkCDQIIAggCCAIIAggCCAIIAggCCAIIAggCCAIIAggCCAIIAggCFwIDAmwCHgAC4AICAlkCBAIFAgYCBwIIAgkCCgILAkkCDQIIAggCCAIIAggCCAIIAggCCAIIAggCCAIIAggCCAIIAggCFwIDAmECHgAC4AICAiUCBAIFAgYCBwIIAgkCTAILAkkCDQIIAggCCAIIAggCCAIIAggCCAIIAggCCAIIAggCCAIIAggCFwIDAlACHgAC4AICAiECBAIFAgYCBwIIAgkCCgILAkkCDQIIAggCCAIIAggCCAIIAggCCAIIAggCCAIIAggCCAIIAggCFwIDAmUCHgAC4AICAiUCBAIFAgYCBwIIAgkCOAILAkkCDQIIAggCCAIIAggCCAIIAggCCAIIAggCCAIIAggCCAIIAggCFwIDAmMCHgAC4AICAisCBAIFAgYCBwIIAgkCCgILAkkCDQIIAggCCAIIAggCCAIIAggCCAIIAggCCAIIAggCCAIIAggCFwIDAlwCHgAC4AICAoUCBAIFAgYCBwIIAgkCOAILAkkCDQIIAggCCAIIAggCCAIIAggCCAIIAggCCAIIAggCCAIIAggCFwIDApsCHgAC4AICAjUCBAIFAgYCBwIIAgkCOAILAkkCDQIIAggCCAIIAggCCAIIAggCCAIIAggCCAIIAggCCAIIAggCFwIDAm4CHgAC4AICAi8CBAIFAgYCBwIIAgkCTAILAkkCDQIIAggCCAIIAggCCAIIAggCCAIIAggCCAIIAggCCAIIAggCFwIDAncCHgAC4AICAnUCBAIFAgYCBwIIAgkCTAILAkkCDQIIAggCCAIIAggCCAIIAggCCAIIAggCCAIIAggCCAIIAggCFwIDAoACHgAC4AICAl8CBAIFAgYCBwIIAgkCCgILAkkCDQIIAggCCAIIAggCCAIIAggCCAIIAggCCAIIAggCCAIIAggCFwIDAmACHgAC4AICAikCBAIFAgYCBwIIAgkCTAILAkkCDQIIAggCCAIIAggCCAIIAggCCAIIAggCCAIIAggCCAIIAggCFwIDAl0CHgAC4AICAksCBAIFAgYCBwIIAgkCCgILAkkCDQIIAggCCAIIAggCCAIIAggCCAIIAggCCAIIAggCCAIIAggCFwIDApYCHgAC4AICAoUCBAIFAgYCBwIIAgkCTAILAkkCDQIIAggCCAIIAggCCAIIAggCCAIIAggCCAIIAggCCAIIAggCFwIDApwCHgAC4AICAjMCBAIFAgYCBwIIAgkCTAJ6AAAEAAsCSQINAggCCAIIAggCCAIIAggCCAIIAggCCAIIAggCCAIIAggCCAIXAgMCUAIeAALgAgICMwIEAgUCBgIHAggCCQI4AgsCSQINAggCCAIIAggCCAIIAggCCAIIAggCCAIIAggCCAIIAggCCAIXAgMCaAIeAALgAgICLQIEAgUCBgIHAggCCQIKAgsCSQINAggCCAIIAggCCAIIAggCCAIIAggCCAIIAggCCAIIAggCCAIXAgMCcAIeAALgAgICGwIEAgUCBgIHAggCCQIKAgsCSQINAggCCAIIAggCCAIIAggCCAIIAggCCAIIAggCCAIIAggCCAIXAgMClwIeAALgAgICaQIEAgUCBgIHAggCCQIKAgsCSQINAggCCAIIAggCCAIIAggCCAIIAggCCAIIAggCCAIIAggCCAIXAgMCogIeAALgAgICggIEAgUCBgIHAggCCQJMAgsCSQINAggCCAIIAggCCAIIAggCCAIIAggCCAIIAggCCAIIAggCCAIXAgMCiAIeAALgAgICIQIEAgUCBgIHAggCCQI4AgsCSQINAggCCAIIAggCCAIIAggCCAIIAggCCAIIAggCCAIIAggCCAIXAgMCoAIeAALgAgICXwIEAgUCBgIHAggCCQI4AgsCSQINAggCCAIIAggCCAIIAggCCAIIAggCCAIIAggCCAIIAggCCAIXAgMCngIeAALgAgICMQIEAgUCBgIHAggCCQJMAgsCSQINAggCCAIIAggCCAIIAggCCAIIAggCCAIIAggCCAIIAggCCAIXAgMChwIeAALgAgICSwIEAgUCBgIHAggCCQJMAgsCSQINAggCCAIIAggCCAIIAggCCAIIAggCCAIIAggCCAIIAggCCAIXAgMCTQIeAALgAgICMQIEAgUCBgIHAggCCQI4AgsCSQINAggCCAIIAggCCAIIAggCCAIIAggCCAIIAggCCAIIAggCCAIXAgMChAIeAALgAgICIwIEAgUCBgIHAggCCQI4AgsCSQINAggCCAIIAggCCAIIAggCCAIIAggCCAIIAggCCAIIAggCCAIXAgMCnwIeAALgAgICJwIEAgUCBgIHAggCCQIKAgsCSQINAggCCAIIAggCCAIIAggCCAIIAggCCAIIAggCCAIIAggCCAIXAgMCowIeAALgAgICGwIEAgUCBgIHAggCCQI4AgsCSQINAggCCAIIAggCCAIIAggCCAIIAggCCAIIAggCCAIIAggCCAIXAgMCUgIeAALgAgICSwIEAgUCBgIHAggCCQI4AgsCSQINAggCCAIIAggCCAIIAggCCAIIAggCCAIIAggCCAIIAggCCAIXAgMCZAIeAALgAgICIwIEAgV6AAAEAAIGAgcCCAIJAkwCCwJJAg0CCAIIAggCCAIIAggCCAIIAggCCAIIAggCCAIIAggCCAIIAhcCAwJQAh4AAuACAgJfAgQCBQIGAgcCCAIJAkwCCwJJAg0CCAIIAggCCAIIAggCCAIIAggCCAIIAggCCAIIAggCCAIIAhcCAwKdAh4AAuACAgKCAgQCBQIGAgcCCAIJAjgCCwJJAg0CCAIIAggCCAIIAggCCAIIAggCCAIIAggCCAIIAggCCAIIAhcCAwKDAh4AAuACAgIhAgQCBQIGAgcCCAIJAkwCCwJJAg0CCAIIAggCCAIIAggCCAIIAggCCAIIAggCCAIIAggCCAIIAhcCAwJQAh4AAuACAgIbAgQCBQIGAgcCCAIJAkwCCwJJAg0CCAIIAggCCAIIAggCCAIIAggCCAIIAggCCAIIAggCCAIIAhcCAwJOAh4AAuACAgJWAgQCBQIGAgcCCAIJAgoCCwJJAg0CCAIIAggCCAIIAggCCAIIAggCCAIIAggCCAIIAggCCAIIAhcCAwJXAh4AAuACAgJ1AgQCBQIGAgcCCAIJAgoCCwJJAg0CCAIIAggCCAIIAggCCAIIAggCCAIIAggCCAIIAggCCAIIAhcCAwKQAh4AAuACAgIzAgQCBQIGAgcCCAIJAgoCCwJJAg0CCAIIAggCCAIIAggCCAIIAggCCAIIAggCCAIIAggCCAIIAhcCAwKLAh4AAuACAgIvAgQCBQIGAgcCCAIJAgoCCwJJAg0CCAIIAggCCAIIAggCCAIIAggCCAIIAggCCAIIAggCCAIIAhcCAwKJAh4AAuACAgIdAgQCBQIGAgcCCAIJAgoCCwJJAg0CCAIIAggCCAIIAggCCAIIAggCCAIIAggCCAIIAggCCAIIAhcCAwJRAh4AAuACAgI1AgQCBQIGAgcCCAIJAgoCCwJJAg0CCAIIAggCCAIIAggCCAIIAggCCAIIAggCCAIIAggCCAIIAhcCAwKKAh4AAuEACTQxNzAxNzA2NAICAiECBAIFAgYCBwIIAgkCqQILAgwCDQIIAggCCAIIAggCCAIIAggCCAIIAggCCAIIAggCCAIIAggCFAIDAlACHgAC4QICAngCBAIFAgYCBwIIAgkCOAILAgwCDQIIAggCCAIIAggCCAIIAggCCAIIAggCCAIIAggCCAIIAggCFAIDAsMCHgAC4QICAisCBAIFAgYCBwIIAgkCqQILAgwCDQIIAggCCAIIAggCCAIIAggCCAIIAggCCAIIAggCCAIIAggCFAIDAsUCHgAC4QICAh8CBAIFAgYCBwIIAgkCOAILAgwCDQIIAggCCAIIAggCCAIIAggCCAIIAggCCAIIAggCCAJ6AAAEAAgCCAIUAgMCRwIeAALhAgICewIEAgUCBgIHAggCCQI4AgsCDAINAggCCAIIAggCCAIIAggCCAIIAggCCAIIAggCCAIIAggCCAIUAgMCxgIeAALhAgICIwIEAgUCBgIHAggCCQIKAgsCDAINAggCCAIIAggCCAIIAggCCAIIAggCCAIIAggCCAIIAggCCAIUAgMCJAIeAALhAgICAwIEAgUCBgIHAggCCQKpAgsCDAINAggCCAIIAggCCAIIAggCCAIIAggCCAIIAggCCAIIAggCCAIUAgMCzAIeAALhAgICLQIEAgUCBgIHAggCCQKpAgsCDAINAggCCAIIAggCCAIIAggCCAIIAggCCAIIAggCCAIIAggCCAIUAgMC1gIeAALhAgICggIEAgUCBgIHAggCCQIKAgsCDAINAggCCAIIAggCCAIIAggCCAIIAggCCAIIAggCCAIIAggCCAIUAgMCyAIeAALhAgICJwIEAgUCBgIHAggCCQI4AgsCDAINAggCCAIIAggCCAIIAggCCAIIAggCCAIIAggCCAIIAggCCAIUAgMCPgIeAALhAgICUwIEAgUCBgIHAggCCQKpAgsCDAINAggCCAIIAggCCAIIAggCCAIIAggCCAIIAggCCAIIAggCCAIUAgMCxAIeAALhAgICMQIEAgUCBgIHAggCCQIKAgsCDAINAggCCAIIAggCCAIIAggCCAIIAggCCAIIAggCCAIIAggCCAIUAgMCMgIeAALhAgICHQIEAgUCBgIHAggCCQI4AgsCDAINAggCCAIIAggCCAIIAggCCAIIAggCCAIIAggCCAIIAggCCAIUAgMCQgIeAALhAgICVgIEAgUCBgIHAggCCQI4AgsCDAINAggCCAIIAggCCAIIAggCCAIIAggCCAIIAggCCAIIAggCCAIUAgMCvgIeAALhAgICGwIEAgUCBgIHAggCCQKpAgsCDAINAggCCAIIAggCCAIIAggCCAIIAggCCAIIAggCCAIIAggCCAIUAgMCvwIeAALhAgICTwIEAgUCBgIHAggCCQKpAgsCDAINAggCCAIIAggCCAIIAggCCAIIAggCCAIIAggCCAIIAggCCAIUAgMCUAIeAALhAgICaQIEAgUCBgIHAggCCQI4AgsCDAINAggCCAIIAggCCAIIAggCCAIIAggCCAIIAggCCAIIAggCCAIUAgMCxwIeAALhAgICeAIEAgUCBgIHAggCCQIKAgsCDAINAggCCAIIAggCCAIIAggCCAIIAggCCAIIAggCCAIIAggCCAIUAgMCwQIeAALhAgICAwIEAgUCBgIHAggCCQI4AgsCDAINAggCCAIIAggCCAIIAggCCAIIAgh6AAAEAAIIAggCCAIIAggCCAIIAhQCAwJEAh4AAuECAgJZAgQCBQIGAgcCCAIJAqkCCwIMAg0CCAIIAggCCAIIAggCCAIIAggCCAIIAggCCAIIAggCCAIIAhQCAwLXAh4AAuECAgJfAgQCBQIGAgcCCAIJAqkCCwIMAg0CCAIIAggCCAIIAggCCAIIAggCCAIIAggCCAIIAggCCAIIAhQCAwLCAh4AAuECAgIfAgQCBQIGAgcCCAIJAgoCCwIMAg0CCAIIAggCCAIIAggCCAIIAggCCAIIAggCCAIIAggCCAIIAhQCAwIgAh4AAuECAgIvAgQCBQIGAgcCCAIJAjgCCwIMAg0CCAIIAggCCAIIAggCCAIIAggCCAIIAggCCAIIAggCCAIIAhQCAwJDAh4AAuECAgJ1AgQCBQIGAgcCCAIJAjgCCwIMAg0CCAIIAggCCAIIAggCCAIIAggCCAIIAggCCAIIAggCCAIIAhQCAwK3Ah4AAuECAgJ7AgQCBQIGAgcCCAIJAgoCCwIMAg0CCAIIAggCCAIIAggCCAIIAggCCAIIAggCCAIIAggCCAIIAhQCAwK6Ah4AAuECAgJZAgQCBQIGAgcCCAIJAjgCCwIMAg0CCAIIAggCCAIIAggCCAIIAggCCAIIAggCCAIIAggCCAIIAhQCAwK4Ah4AAuECAgIlAgQCBQIGAgcCCAIJAgoCCwIMAg0CCAIIAggCCAIIAggCCAIIAggCCAIIAggCCAIIAggCCAIIAhQCAwImAh4AAuECAgIrAgQCBQIGAgcCCAIJAjgCCwIMAg0CCAIIAggCCAIIAggCCAIIAggCCAIIAggCCAIIAggCCAIIAhQCAwI/Ah4AAuECAgKFAgQCBQIGAgcCCAIJAgoCCwIMAg0CCAIIAggCCAIIAggCCAIIAggCCAIIAggCCAIIAggCCAIIAhQCAwK7Ah4AAuECAgJLAgQCBQIGAgcCCAIJAqkCCwIMAg0CCAIIAggCCAIIAggCCAIIAggCCAIIAggCCAIIAggCCAIIAhQCAwLAAh4AAuECAgJWAgQCBQIGAgcCCAIJAqkCCwIMAg0CCAIIAggCCAIIAggCCAIIAggCCAIIAggCCAIIAggCCAIIAhQCAwLKAh4AAuECAgIpAgQCBQIGAgcCCAIJAgoCCwIMAg0CCAIIAggCCAIIAggCCAIIAggCCAIIAggCCAIIAggCCAIIAhQCAwIqAh4AAuECAgI1AgQCBQIGAgcCCAIJAqkCCwIMAg0CCAIIAggCCAIIAggCCAIIAggCCAIIAggCCAIIAggCCAIIAhQCAwKyAh4AAuECAgIdAgQCBQIGAgcCCAIJAqkCCwIMAg0CCAIIAggCCAJ6AAAEAAgCCAIIAggCCAIIAggCCAIIAggCCAIIAggCFAIDAlACHgAC4QICAlMCBAIFAgYCBwIIAgkCCgILAgwCDQIIAggCCAIIAggCCAIIAggCCAIIAggCCAIIAggCCAIIAggCFAIDArYCHgAC4QICAi0CBAIFAgYCBwIIAgkCOAILAgwCDQIIAggCCAIIAggCCAIIAggCCAIIAggCCAIIAggCCAIIAggCFAIDAkACHgAC4QICAjMCBAIFAgYCBwIIAgkCqQILAgwCDQIIAggCCAIIAggCCAIIAggCCAIIAggCCAIIAggCCAIIAggCFAIDAlACHgAC4QICAicCBAIFAgYCBwIIAgkCqQILAgwCDQIIAggCCAIIAggCCAIIAggCCAIIAggCCAIIAggCCAIIAggCFAIDArkCHgAC4QICAmkCBAIFAgYCBwIIAgkCqQILAgwCDQIIAggCCAIIAggCCAIIAggCCAIIAggCCAIIAggCCAIIAggCFAIDAssCHgAC4QICAgMCBAIFAgYCBwIIAgkCCgILAgwCDQIIAggCCAIIAggCCAIIAggCCAIIAggCCAIIAggCCAIIAggCFAIDAg4CHgAC4QICAi8CBAIFAgYCBwIIAgkCqQILAgwCDQIIAggCCAIIAggCCAIIAggCCAIIAggCCAIIAggCCAIIAggCFAIDAq4CHgAC4QICAlkCBAIFAgYCBwIIAgkCCgILAgwCDQIIAggCCAIIAggCCAIIAggCCAIIAggCCAIIAggCCAIIAggCFAIDAq8CHgAC4QICAikCBAIFAgYCBwIIAgkCOAILAgwCDQIIAggCCAIIAggCCAIIAggCCAIIAggCCAIIAggCCAIIAggCFAIDAj0CHgAC4QICAiMCBAIFAgYCBwIIAgkCqQILAgwCDQIIAggCCAIIAggCCAIIAggCCAIIAggCCAIIAggCCAIIAggCFAIDAlACHgAC4QICAl8CBAIFAgYCBwIIAgkCCgILAgwCDQIIAggCCAIIAggCCAIIAggCCAIIAggCCAIIAggCCAIIAggCFAIDArECHgAC4QICAiECBAIFAgYCBwIIAgkCCgILAgwCDQIIAggCCAIIAggCCAIIAggCCAIIAggCCAIIAggCCAIIAggCFAIDAiICHgAC4QICAnUCBAIFAgYCBwIIAgkCqQILAgwCDQIIAggCCAIIAggCCAIIAggCCAIIAggCCAIIAggCCAIIAggCFAIDArACHgAC4QICAisCBAIFAgYCBwIIAgkCCgILAgwCDQIIAggCCAIIAggCCAIIAggCCAIIAggCCAIIAggCCAIIAggCFAIDAiwCHgAC4QICAiUCBAIFAgYCBwIIAgkCOAILAgx6AAAEAAINAggCCAIIAggCCAIIAggCCAIIAggCCAIIAggCCAIIAggCCAIUAgMCPAIeAALhAgICSwIEAgUCBgIHAggCCQIKAgsCDAINAggCCAIIAggCCAIIAggCCAIIAggCCAIIAggCCAIIAggCCAIUAgMC1QIeAALhAgICNQIEAgUCBgIHAggCCQI4AgsCDAINAggCCAIIAggCCAIIAggCCAIIAggCCAIIAggCCAIIAggCCAIUAgMCRQIeAALhAgICTwIEAgUCBgIHAggCCQIKAgsCDAINAggCCAIIAggCCAIIAggCCAIIAggCCAIIAggCCAIIAggCCAIUAgMC2wIeAALhAgICMQIEAgUCBgIHAggCCQKpAgsCDAINAggCCAIIAggCCAIIAggCCAIIAggCCAIIAggCCAIIAggCCAIUAgMCvQIeAALhAgIChQIEAgUCBgIHAggCCQI4AgsCDAINAggCCAIIAggCCAIIAggCCAIIAggCCAIIAggCCAIIAggCCAIUAgMC0wIeAALhAgICggIEAgUCBgIHAggCCQKpAgsCDAINAggCCAIIAggCCAIIAggCCAIIAggCCAIIAggCCAIIAggCCAIUAgMCvAIeAALhAgICLQIEAgUCBgIHAggCCQIKAgsCDAINAggCCAIIAggCCAIIAggCCAIIAggCCAIIAggCCAIIAggCCAIUAgMCLgIeAALhAgICMwIEAgUCBgIHAggCCQI4AgsCDAINAggCCAIIAggCCAIIAggCCAIIAggCCAIIAggCCAIIAggCCAIUAgMCQQIeAALhAgICGwIEAgUCBgIHAggCCQIKAgsCDAINAggCCAIIAggCCAIIAggCCAIIAggCCAIIAggCCAIIAggCCAIUAgMCHAIeAALhAgICJQIEAgUCBgIHAggCCQKpAgsCDAINAggCCAIIAggCCAIIAggCCAIIAggCCAIIAggCCAIIAggCCAIUAgMCUAIeAALhAgICKQIEAgUCBgIHAggCCQKpAgsCDAINAggCCAIIAggCCAIIAggCCAIIAggCCAIIAggCCAIIAggCCAIUAgMCzgIeAALhAgICXwIEAgUCBgIHAggCCQI4AgsCDAINAggCCAIIAggCCAIIAggCCAIIAggCCAIIAggCCAIIAggCCAIUAgMCzwIeAALhAgICIQIEAgUCBgIHAggCCQI4AgsCDAINAggCCAIIAggCCAIIAggCCAIIAggCCAIIAggCCAIIAggCCAIUAgMCOgIeAALhAgICaQIEAgUCBgIHAggCCQIKAgsCDAINAggCCAIIAggCCAIIAggCCAIIAggCCAIIAggCCAIIAggCCAIUAgMC1AIeAALhAgICUwIEAgUCBgJ6AAAEAAcCCAIJAjgCCwIMAg0CCAIIAggCCAIIAggCCAIIAggCCAIIAggCCAIIAggCCAIIAhQCAwLYAh4AAuECAgIfAgQCBQIGAgcCCAIJAqkCCwIMAg0CCAIIAggCCAIIAggCCAIIAggCCAIIAggCCAIIAggCCAIIAhQCAwLQAh4AAuECAgJ4AgQCBQIGAgcCCAIJAqkCCwIMAg0CCAIIAggCCAIIAggCCAIIAggCCAIIAggCCAIIAggCCAIIAhQCAwLSAh4AAuECAgInAgQCBQIGAgcCCAIJAgoCCwIMAg0CCAIIAggCCAIIAggCCAIIAggCCAIIAggCCAIIAggCCAIIAhQCAwIoAh4AAuECAgIjAgQCBQIGAgcCCAIJAjgCCwIMAg0CCAIIAggCCAIIAggCCAIIAggCCAIIAggCCAIIAggCCAIIAhQCAwI7Ah4AAuECAgKFAgQCBQIGAgcCCAIJAqkCCwIMAg0CCAIIAggCCAIIAggCCAIIAggCCAIIAggCCAIIAggCCAIIAhQCAwKzAh4AAuECAgIxAgQCBQIGAgcCCAIJAjgCCwIMAg0CCAIIAggCCAIIAggCCAIIAggCCAIIAggCCAIIAggCCAIIAhQCAwI5Ah4AAuECAgIbAgQCBQIGAgcCCAIJAjgCCwIMAg0CCAIIAggCCAIIAggCCAIIAggCCAIIAggCCAIIAggCCAIIAhQCAwJGAh4AAuECAgJLAgQCBQIGAgcCCAIJAjgCCwIMAg0CCAIIAggCCAIIAggCCAIIAggCCAIIAggCCAIIAggCCAIIAhQCAwK0Ah4AAuECAgKCAgQCBQIGAgcCCAIJAjgCCwIMAg0CCAIIAggCCAIIAggCCAIIAggCCAIIAggCCAIIAggCCAIIAhQCAwLJAh4AAuECAgIzAgQCBQIGAgcCCAIJAgoCCwIMAg0CCAIIAggCCAIIAggCCAIIAggCCAIIAggCCAIIAggCCAIIAhQCAwI0Ah4AAuECAgJWAgQCBQIGAgcCCAIJAgoCCwIMAg0CCAIIAggCCAIIAggCCAIIAggCCAIIAggCCAIIAggCCAIIAhQCAwK1Ah4AAuECAgJ1AgQCBQIGAgcCCAIJAgoCCwIMAg0CCAIIAggCCAIIAggCCAIIAggCCAIIAggCCAIIAggCCAIIAhQCAwLNAh4AAuECAgIdAgQCBQIGAgcCCAIJAgoCCwIMAg0CCAIIAggCCAIIAggCCAIIAggCCAIIAggCCAIIAggCCAIIAhQCAwIeAh4AAuECAgJPAgQCBQIGAgcCCAIJAjgCCwIMAg0CCAIIAggCCAIIAggCCAIIAggCCAIIAggCCAIIAggCCAIIAhQCAwLdAh4AAuF6AAAEAAICAi8CBAIFAgYCBwIIAgkCCgILAgwCDQIIAggCCAIIAggCCAIIAggCCAIIAggCCAIIAggCCAIIAggCFAIDAjACHgAC4QICAjUCBAIFAgYCBwIIAgkCCgILAgwCDQIIAggCCAIIAggCCAIIAggCCAIIAggCCAIIAggCCAIIAggCFAIDAjYCHgAC4QICAnsCBAIFAgYCBwIIAgkCqQILAgwCDQIIAggCCAIIAggCCAIIAggCCAIIAggCCAIIAggCCAIIAggCFAIDAtECHgAC4gAJNDE3MDE4MjI0AgICAwIEAgUCBgIHAggCCQJMAgsCSQINAggCCAIIAggCCAIIAggCCAIIAggCCAIIAggCCAIIAggCCAIVAgMCmAIeAALiAgICHQIEAgUCBgIHAggCCQI4AgsCSQINAggCCAIIAggCCAIIAggCCAIIAggCCAIIAggCCAIIAggCCAIVAgMCawIeAALiAgICeAIEAgUCBgIHAggCCQIKAgsCSQINAggCCAIIAggCCAIIAggCCAIIAggCCAIIAggCCAIIAggCCAIVAgMCeQIeAALiAgICHwIEAgUCBgIHAggCCQIKAgsCSQINAggCCAIIAggCCAIIAggCCAIIAggCCAIIAggCCAIIAggCCAIVAgMCbwIeAALiAgICHQIEAgUCBgIHAggCCQJMAgsCSQINAggCCAIIAggCCAIIAggCCAIIAggCCAIIAggCCAIIAggCCAIVAgMCUAIeAALiAgICVgIEAgUCBgIHAggCCQJMAgsCSQINAggCCAIIAggCCAIIAggCCAIIAggCCAIIAggCCAIIAggCCAIVAgMCfwIeAALiAgICAwIEAgUCBgIHAggCCQI4AgsCSQINAggCCAIIAggCCAIIAggCCAIIAggCCAIIAggCCAIIAggCCAIVAgMCoQIeAALiAgICUwIEAgUCBgIHAggCCQI4AgsCSQINAggCCAIIAggCCAIIAggCCAIIAggCCAIIAggCCAIIAggCCAIVAgMCpAIeAALiAgICUwIEAgUCBgIHAggCCQJMAgsCSQINAggCCAIIAggCCAIIAggCCAIIAggCCAIIAggCCAIIAggCCAIVAgMCpQIeAALiAgICVgIEAgUCBgIHAggCCQI4AgsCSQINAggCCAIIAggCCAIIAggCCAIIAggCCAIIAggCCAIIAggCCAIVAgMCfgIeAALiAgICJwIEAgUCBgIHAggCCQJMAgsCSQINAggCCAIIAggCCAIIAggCCAIIAggCCAIIAggCCAIIAggCCAIVAgMCjgIeAALiAgICaQIEAgUCBgIHAggCCQJMAgsCSQINAggCCAIIAggCCAIIAggCCAIIAggCCAJ6AAAEAAgCCAIIAggCCAIIAhUCAwJxAh4AAuICAgIxAgQCBQIGAgcCCAIJAgoCCwJJAg0CCAIIAggCCAIIAggCCAIIAggCCAIIAggCCAIIAggCCAIIAhUCAwKTAh4AAuICAgInAgQCBQIGAgcCCAIJAjgCCwJJAg0CCAIIAggCCAIIAggCCAIIAggCCAIIAggCCAIIAggCCAIIAhUCAwJtAh4AAuICAgJpAgQCBQIGAgcCCAIJAjgCCwJJAg0CCAIIAggCCAIIAggCCAIIAggCCAIIAggCCAIIAggCCAIIAhUCAwJqAh4AAuICAgJ7AgQCBQIGAgcCCAIJAkwCCwJJAg0CCAIIAggCCAIIAggCCAIIAggCCAIIAggCCAIIAggCCAIIAhUCAwKMAh4AAuICAgKCAgQCBQIGAgcCCAIJAgoCCwJJAg0CCAIIAggCCAIIAggCCAIIAggCCAIIAggCCAIIAggCCAIIAhUCAwKZAh4AAuICAgJ7AgQCBQIGAgcCCAIJAjgCCwJJAg0CCAIIAggCCAIIAggCCAIIAggCCAIIAggCCAIIAggCCAIIAhUCAwKaAh4AAuICAgJTAgQCBQIGAgcCCAIJAgoCCwJJAg0CCAIIAggCCAIIAggCCAIIAggCCAIIAggCCAIIAggCCAIIAhUCAwJUAh4AAuICAgIDAgQCBQIGAgcCCAIJAgoCCwJJAg0CCAIIAggCCAIIAggCCAIIAggCCAIIAggCCAIIAggCCAIIAhUCAwJbAh4AAuICAgIfAgQCBQIGAgcCCAIJAkwCCwJJAg0CCAIIAggCCAIIAggCCAIIAggCCAIIAggCCAIIAggCCAIIAhUCAwKSAh4AAuICAgIhAgQCBQIGAgcCCAIJAgoCCwJJAg0CCAIIAggCCAIIAggCCAIIAggCCAIIAggCCAIIAggCCAIIAhUCAwJlAh4AAuICAgIlAgQCBQIGAgcCCAIJAkwCCwJJAg0CCAIIAggCCAIIAggCCAIIAggCCAIIAggCCAIIAggCCAIIAhUCAwJQAh4AAuICAgIfAgQCBQIGAgcCCAIJAjgCCwJJAg0CCAIIAggCCAIIAggCCAIIAggCCAIIAggCCAIIAggCCAIIAhUCAwKPAh4AAuICAgItAgQCBQIGAgcCCAIJAjgCCwJJAg0CCAIIAggCCAIIAggCCAIIAggCCAIIAggCCAIIAggCCAIIAhUCAwJKAh4AAuICAgItAgQCBQIGAgcCCAIJAkwCCwJJAg0CCAIIAggCCAIIAggCCAIIAggCCAIIAggCCAIIAggCCAIIAhUCAwJiAh4AAuICAgIjAgQCBQIGAgcCCAIJAgoCCwJJAg0CCAIIAggCCAIIAgh6AAAEAAIIAggCCAIIAggCCAIIAggCCAIIAggCFQIDApQCHgAC4gICAngCBAIFAgYCBwIIAgkCTAILAkkCDQIIAggCCAIIAggCCAIIAggCCAIIAggCCAIIAggCCAIIAggCFQIDApECHgAC4gICAngCBAIFAgYCBwIIAgkCOAILAkkCDQIIAggCCAIIAggCCAIIAggCCAIIAggCCAIIAggCCAIIAggCFQIDAo0CHgAC4gICAisCBAIFAgYCBwIIAgkCOAILAkkCDQIIAggCCAIIAggCCAIIAggCCAIIAggCCAIIAggCCAIIAggCFQIDAlUCHgAC4gICAnsCBAIFAgYCBwIIAgkCCgILAkkCDQIIAggCCAIIAggCCAIIAggCCAIIAggCCAIIAggCCAIIAggCFQIDAnwCHgAC4gICAoUCBAIFAgYCBwIIAgkCCgILAkkCDQIIAggCCAIIAggCCAIIAggCCAIIAggCCAIIAggCCAIIAggCFQIDAoYCHgAC4gICAlkCBAIFAgYCBwIIAgkCOAILAkkCDQIIAggCCAIIAggCCAIIAggCCAIIAggCCAIIAggCCAIIAggCFQIDAloCHgAC4gICAlkCBAIFAgYCBwIIAgkCTAILAkkCDQIIAggCCAIIAggCCAIIAggCCAIIAggCCAIIAggCCAIIAggCFQIDAnICHgAC4gICAisCBAIFAgYCBwIIAgkCTAILAkkCDQIIAggCCAIIAggCCAIIAggCCAIIAggCCAIIAggCCAIIAggCFQIDAnMCHgAC4gICAoUCBAIFAgYCBwIIAgkCOAILAkkCDQIIAggCCAIIAggCCAIIAggCCAIIAggCCAIIAggCCAIIAggCFQIDApsCHgAC4gICAjUCBAIFAgYCBwIIAgkCOAILAkkCDQIIAggCCAIIAggCCAIIAggCCAIIAggCCAIIAggCCAIIAggCFQIDAm4CHgAC4gICAksCBAIFAgYCBwIIAgkCCgILAkkCDQIIAggCCAIIAggCCAIIAggCCAIIAggCCAIIAggCCAIIAggCFQIDApYCHgAC4gICAhsCBAIFAgYCBwIIAgkCCgILAkkCDQIIAggCCAIIAggCCAIIAggCCAIIAggCCAIIAggCCAIIAggCFQIDApcCHgAC4gICAjMCBAIFAgYCBwIIAgkCOAILAkkCDQIIAggCCAIIAggCCAIIAggCCAIIAggCCAIIAggCCAIIAggCFQIDAmgCHgAC4gICAiMCBAIFAgYCBwIIAgkCTAILAkkCDQIIAggCCAIIAggCCAIIAggCCAIIAggCCAIIAggCCAIIAggCFQIDAlACHgAC4gICAikCBAIFAgYCBwIIAgkCCgILAkkCDQJ6AAAEAAgCCAIIAggCCAIIAggCCAIIAggCCAIIAggCCAIIAggCCAIVAgMCdAIeAALiAgICJQIEAgUCBgIHAggCCQIKAgsCSQINAggCCAIIAggCCAIIAggCCAIIAggCCAIIAggCCAIIAggCCAIVAgMCgQIeAALiAgICLwIEAgUCBgIHAggCCQJMAgsCSQINAggCCAIIAggCCAIIAggCCAIIAggCCAIIAggCCAIIAggCCAIVAgMCdwIeAALiAgICNQIEAgUCBgIHAggCCQJMAgsCSQINAggCCAIIAggCCAIIAggCCAIIAggCCAIIAggCCAIIAggCCAIVAgMCbAIeAALiAgICdQIEAgUCBgIHAggCCQI4AgsCSQINAggCCAIIAggCCAIIAggCCAIIAggCCAIIAggCCAIIAggCCAIVAgMCdgIeAALiAgICdQIEAgUCBgIHAggCCQJMAgsCSQINAggCCAIIAggCCAIIAggCCAIIAggCCAIIAggCCAIIAggCCAIVAgMCgAIeAALiAgICJQIEAgUCBgIHAggCCQI4AgsCSQINAggCCAIIAggCCAIIAggCCAIIAggCCAIIAggCCAIIAggCCAIVAgMCYwIeAALiAgICKQIEAgUCBgIHAggCCQI4AgsCSQINAggCCAIIAggCCAIIAggCCAIIAggCCAIIAggCCAIIAggCCAIVAgMCXgIeAALiAgICLwIEAgUCBgIHAggCCQI4AgsCSQINAggCCAIIAggCCAIIAggCCAIIAggCCAIIAggCCAIIAggCCAIVAgMCegIeAALiAgICWQIEAgUCBgIHAggCCQIKAgsCSQINAggCCAIIAggCCAIIAggCCAIIAggCCAIIAggCCAIIAggCCAIVAgMCYQIeAALiAgICLQIEAgUCBgIHAggCCQIKAgsCSQINAggCCAIIAggCCAIIAggCCAIIAggCCAIIAggCCAIIAggCCAIVAgMCcAIeAALiAgICKwIEAgUCBgIHAggCCQIKAgsCSQINAggCCAIIAggCCAIIAggCCAIIAggCCAIIAggCCAIIAggCCAIVAgMCXAIeAALiAgICMwIEAgUCBgIHAggCCQJMAgsCSQINAggCCAIIAggCCAIIAggCCAIIAggCCAIIAggCCAIIAggCCAIVAgMCUAIeAALiAgICKQIEAgUCBgIHAggCCQJMAgsCSQINAggCCAIIAggCCAIIAggCCAIIAggCCAIIAggCCAIIAggCCAIVAgMCXQIeAALiAgIChQIEAgUCBgIHAggCCQJMAgsCSQINAggCCAIIAggCCAIIAggCCAIIAggCCAIIAggCCAIIAggCCAIVAgMCnAIeAALiAgICXwIEAgUCBgIHAgh6AAAEAAIJAgoCCwJJAg0CCAIIAggCCAIIAggCCAIIAggCCAIIAggCCAIIAggCCAIIAhUCAwJgAh4AAuICAgJPAgQCBQIGAgcCCAIJAgoCCwJJAg0CCAIIAggCCAIIAggCCAIIAggCCAIIAggCCAIIAggCCAIIAhUCAwKVAh4AAuICAgIbAgQCBQIGAgcCCAIJAjgCCwJJAg0CCAIIAggCCAIIAggCCAIIAggCCAIIAggCCAIIAggCCAIIAhUCAwJSAh4AAuICAgIxAgQCBQIGAgcCCAIJAjgCCwJJAg0CCAIIAggCCAIIAggCCAIIAggCCAIIAggCCAIIAggCCAIIAhUCAwKEAh4AAuICAgJPAgQCBQIGAgcCCAIJAjgCCwJJAg0CCAIIAggCCAIIAggCCAIIAggCCAIIAggCCAIIAggCCAIIAhUCAwJYAh4AAuICAgJPAgQCBQIGAgcCCAIJAkwCCwJJAg0CCAIIAggCCAIIAggCCAIIAggCCAIIAggCCAIIAggCCAIIAhUCAwJQAh4AAuICAgJ1AgQCBQIGAgcCCAIJAgoCCwJJAg0CCAIIAggCCAIIAggCCAIIAggCCAIIAggCCAIIAggCCAIIAhUCAwKQAh4AAuICAgJWAgQCBQIGAgcCCAIJAgoCCwJJAg0CCAIIAggCCAIIAggCCAIIAggCCAIIAggCCAIIAggCCAIIAhUCAwJXAh4AAuICAgIbAgQCBQIGAgcCCAIJAkwCCwJJAg0CCAIIAggCCAIIAggCCAIIAggCCAIIAggCCAIIAggCCAIIAhUCAwJOAh4AAuICAgJLAgQCBQIGAgcCCAIJAjgCCwJJAg0CCAIIAggCCAIIAggCCAIIAggCCAIIAggCCAIIAggCCAIIAhUCAwJkAh4AAuICAgJLAgQCBQIGAgcCCAIJAkwCCwJJAg0CCAIIAggCCAIIAggCCAIIAggCCAIIAggCCAIIAggCCAIIAhUCAwJNAh4AAuICAgInAgQCBQIGAgcCCAIJAgoCCwJJAg0CCAIIAggCCAIIAggCCAIIAggCCAIIAggCCAIIAggCCAIIAhUCAwKjAh4AAuICAgJpAgQCBQIGAgcCCAIJAgoCCwJJAg0CCAIIAggCCAIIAggCCAIIAggCCAIIAggCCAIIAggCCAIIAhUCAwKiAh4AAuICAgIhAgQCBQIGAgcCCAIJAjgCCwJJAg0CCAIIAggCCAIIAggCCAIIAggCCAIIAggCCAIIAggCCAIIAhUCAwKgAh4AAuICAgIjAgQCBQIGAgcCCAIJAjgCCwJJAg0CCAIIAggCCAIIAggCCAIIAggCCAIIAggCCAIIAggCCAIIAhUCAwKfAh4AAuICAgJ6AAAEAB0CBAIFAgYCBwIIAgkCCgILAkkCDQIIAggCCAIIAggCCAIIAggCCAIIAggCCAIIAggCCAIIAggCFQIDAlECHgAC4gICAi8CBAIFAgYCBwIIAgkCCgILAkkCDQIIAggCCAIIAggCCAIIAggCCAIIAggCCAIIAggCCAIIAggCFQIDAokCHgAC4gICAjUCBAIFAgYCBwIIAgkCCgILAkkCDQIIAggCCAIIAggCCAIIAggCCAIIAggCCAIIAggCCAIIAggCFQIDAooCHgAC4gICAjMCBAIFAgYCBwIIAgkCCgILAkkCDQIIAggCCAIIAggCCAIIAggCCAIIAggCCAIIAggCCAIIAggCFQIDAosCHgAC4gICAoICBAIFAgYCBwIIAgkCOAILAkkCDQIIAggCCAIIAggCCAIIAggCCAIIAggCCAIIAggCCAIIAggCFQIDAoMCHgAC4gICAjECBAIFAgYCBwIIAgkCTAILAkkCDQIIAggCCAIIAggCCAIIAggCCAIIAggCCAIIAggCCAIIAggCFQIDAocCHgAC4gICAoICBAIFAgYCBwIIAgkCTAILAkkCDQIIAggCCAIIAggCCAIIAggCCAIIAggCCAIIAggCCAIIAggCFQIDAogCHgAC4gICAl8CBAIFAgYCBwIIAgkCTAILAkkCDQIIAggCCAIIAggCCAIIAggCCAIIAggCCAIIAggCCAIIAggCFQIDAp0CHgAC4gICAiECBAIFAgYCBwIIAgkCTAILAkkCDQIIAggCCAIIAggCCAIIAggCCAIIAggCCAIIAggCCAIIAggCFQIDAlACHgAC4gICAl8CBAIFAgYCBwIIAgkCOAILAkkCDQIIAggCCAIIAggCCAIIAggCCAIIAggCCAIIAggCCAIIAggCFQIDAp4CHgAC4wAJNDMxNzAwNzM2AgICIQIEAgUCBgIHAggCCQI4AgsCSQINAggCCAIIAggCCAIIAggCCAIIAggCCAIIAggCCAIIAggCCAIDAgMCoAIeAALjAgICHwIEAgUCBgIHAggCCQI4AgsCSQINAggCCAIIAggCCAIIAggCCAIIAggCCAIIAggCCAIIAggCCAIDAgMCjwIeAALjAgICLwIEAgUCBgIHAggCCQI4AgsCSQINAggCCAIIAggCCAIIAggCCAIIAggCCAIIAggCCAIIAggCCAIDAgMCegIeAALjAgICKQIEAgUCBgIHAggCCQI4AgsCSQINAggCCAIIAggCCAIIAggCCAIIAggCCAIIAggCCAIIAggCCAIDAgMCXgIeAALjAgICKwIEAgUCBgIHAggCCQI4AgsCSQINAggCCAIIAggCCAIIAggCCAIIAggCCAIIAgh6AAAEAAIIAggCCAIIAgMCAwJVAh4AAuMCAgIlAgQCBQIGAgcCCAIJAjgCCwJJAg0CCAIIAggCCAIIAggCCAIIAggCCAIIAggCCAIIAggCCAIIAgMCAwJjAh4AAuMCAgIjAgQCBQIGAgcCCAIJAjgCCwJJAg0CCAIIAggCCAIIAggCCAIIAggCCAIIAggCCAIIAggCCAIIAgMCAwKfAh4AAuMCAgItAgQCBQIGAgcCCAIJAjgCCwJJAg0CCAIIAggCCAIIAggCCAIIAggCCAIIAggCCAIIAggCCAIIAgMCAwJKAh4AAuMCAgInAgQCBQIGAgcCCAIJAjgCCwJJAg0CCAIIAggCCAIIAggCCAIIAggCCAIIAggCCAIIAggCCAIIAgMCAwJtAh4AAuMCAgI1AgQCBQIGAgcCCAIJAjgCCwJJAg0CCAIIAggCCAIIAggCCAIIAggCCAIIAggCCAIIAggCCAIIAgMCAwJuAh4AAuMCAgIxAgQCBQIGAgcCCAIJAjgCCwJJAg0CCAIIAggCCAIIAggCCAIIAggCCAIIAggCCAIIAggCCAIIAgMCAwKEAh4AAuMCAgIdAgQCBQIGAgcCCAIJAjgCCwJJAg0CCAIIAggCCAIIAggCCAIIAggCCAIIAggCCAIIAggCCAIIAgMCAwJrAh4AAuMCAgIbAgQCBQIGAgcCCAIJAjgCCwJJAg0CCAIIAggCCAIIAggCCAIIAggCCAIIAggCCAIIAggCCAIIAgMCAwJSAh4AAuMCAgIDAgQCBQIGAgcCCAIJAjgCCwJJAg0CCAIIAggCCAIIAggCCAIIAggCCAIIAggCCAIIAggCCAIIAgMCAwKhAh4AAuMCAgIzAgQCBQIGAgcCCAIJAjgCCwJJAg0CCAIIAggCCAIIAggCCAIIAggCCAIIAggCCAIIAggCCAIIAgMCAwJoAh4AAuQACTQxNzAxOTM4NAICAlYCBAIFAgYCBwIIAgkCOAILAgwCDQIIAggCCAIIAggCCAIIAggCCAIIAggCCAIIAggCCAIIAggCFgIDAr4CHgAC5AICAngCBAIFAgYCBwIIAgkCCgILAgwCDQIIAggCCAIIAggCCAIIAggCCAIIAggCCAIIAggCCAIIAggCFgIDAsECHgAC5AICAicCBAIFAgYCBwIIAgkCOAILAgwCDQIIAggCCAIIAggCCAIIAggCCAIIAggCCAIIAggCCAIIAggCFgIDAj4CHgAC5AICAh0CBAIFAgYCBwIIAgkCOAILAgwCDQIIAggCCAIIAggCCAIIAggCCAIIAggCCAIIAggCCAIIAggCFgIDAkICHgAC5AICAgMCBAIFAgYCBwIIAgkCOAILAgwCDQIIAgh6AAAEAAIIAggCCAIIAggCCAIIAggCCAIIAggCCAIIAggCCAIWAgMCRAIeAALkAgICHwIEAgUCBgIHAggCCQIKAgsCDAINAggCCAIIAggCCAIIAggCCAIIAggCCAIIAggCCAIIAggCCAIWAgMCIAIeAALkAgICaQIEAgUCBgIHAggCCQI4AgsCDAINAggCCAIIAggCCAIIAggCCAIIAggCCAIIAggCCAIIAggCCAIWAgMCxwIeAALkAgICWQIEAgUCBgIHAggCCQKpAgsCDAINAggCCAIIAggCCAIIAggCCAIIAggCCAIIAggCCAIIAggCCAIWAgMC1wIeAALkAgICKwIEAgUCBgIHAggCCQKpAgsCDAINAggCCAIIAggCCAIIAggCCAIIAggCCAIIAggCCAIIAggCCAIWAgMCxQIeAALkAgICJQIEAgUCBgIHAggCCQKpAgsCDAINAggCCAIIAggCCAIIAggCCAIIAggCCAIIAggCCAIIAggCCAIWAgMCUAIeAALkAgICKQIEAgUCBgIHAggCCQKpAgsCDAINAggCCAIIAggCCAIIAggCCAIIAggCCAIIAggCCAIIAggCCAIWAgMCzgIeAALkAgICXwIEAgUCBgIHAggCCQKpAgsCDAINAggCCAIIAggCCAIIAggCCAIIAggCCAIIAggCCAIIAggCCAIWAgMCwgIeAALkAgICXwIEAgUCBgIHAggCCQI4AgsCDAINAggCCAIIAggCCAIIAggCCAIIAggCCAIIAggCCAIIAggCCAIWAgMCzwIeAALkAgICaQIEAgUCBgIHAggCCQIKAgsCDAINAggCCAIIAggCCAIIAggCCAIIAggCCAIIAggCCAIIAggCCAIWAgMC1AIeAALkAgICKwIEAgUCBgIHAggCCQI4AgsCDAINAggCCAIIAggCCAIIAggCCAIIAggCCAIIAggCCAIIAggCCAIWAgMCPwIeAALkAgICewIEAgUCBgIHAggCCQIKAgsCDAINAggCCAIIAggCCAIIAggCCAIIAggCCAIIAggCCAIIAggCCAIWAgMCugIeAALkAgICIQIEAgUCBgIHAggCCQI4AgsCDAINAggCCAIIAggCCAIIAggCCAIIAggCCAIIAggCCAIIAggCCAIWAgMCOgIeAALkAgICUwIEAgUCBgIHAggCCQI4AgsCDAINAggCCAIIAggCCAIIAggCCAIIAggCCAIIAggCCAIIAggCCAIWAgMC2AIeAALkAgICJwIEAgUCBgIHAggCCQIKAgsCDAINAggCCAIIAggCCAIIAggCCAIIAggCCAIIAggCCAIIAggCCAIWAgMCKAIeAALkAgICLQIEAgUCBgIHAggCCQJ6AAAEAKkCCwIMAg0CCAIIAggCCAIIAggCCAIIAggCCAIIAggCCAIIAggCCAIIAhYCAwLWAh4AAuQCAgIbAgQCBQIGAgcCCAIJAqkCCwIMAg0CCAIIAggCCAIIAggCCAIIAggCCAIIAggCCAIIAggCCAIIAhYCAwK/Ah4AAuQCAgJLAgQCBQIGAgcCCAIJAqkCCwIMAg0CCAIIAggCCAIIAggCCAIIAggCCAIIAggCCAIIAggCCAIIAhYCAwLAAh4AAuQCAgKFAgQCBQIGAgcCCAIJAqkCCwIMAg0CCAIIAggCCAIIAggCCAIIAggCCAIIAggCCAIIAggCCAIIAhYCAwKzAh4AAuQCAgKCAgQCBQIGAgcCCAIJAjgCCwIMAg0CCAIIAggCCAIIAggCCAIIAggCCAIIAggCCAIIAggCCAIIAhYCAwLJAh4AAuQCAgIbAgQCBQIGAgcCCAIJAjgCCwIMAg0CCAIIAggCCAIIAggCCAIIAggCCAIIAggCCAIIAggCCAIIAhYCAwJGAh4AAuQCAgJLAgQCBQIGAgcCCAIJAjgCCwIMAg0CCAIIAggCCAIIAggCCAIIAggCCAIIAggCCAIIAggCCAIIAhYCAwK0Ah4AAuQCAgIxAgQCBQIGAgcCCAIJAjgCCwIMAg0CCAIIAggCCAIIAggCCAIIAggCCAIIAggCCAIIAggCCAIIAhYCAwI5Ah4AAuQCAgJWAgQCBQIGAgcCCAIJAgoCCwIMAg0CCAIIAggCCAIIAggCCAIIAggCCAIIAggCCAIIAggCCAIIAhYCAwK1Ah4AAuQCAgIzAgQCBQIGAgcCCAIJAgoCCwIMAg0CCAIIAggCCAIIAggCCAIIAggCCAIIAggCCAIIAggCCAIIAhYCAwI0Ah4AAuQCAgI1AgQCBQIGAgcCCAIJAgoCCwIMAg0CCAIIAggCCAIIAggCCAIIAggCCAIIAggCCAIIAggCCAIIAhYCAwI2Ah4AAuQCAgIvAgQCBQIGAgcCCAIJAgoCCwIMAg0CCAIIAggCCAIIAggCCAIIAggCCAIIAggCCAIIAggCCAIIAhYCAwIwAh4AAuQCAgIdAgQCBQIGAgcCCAIJAgoCCwIMAg0CCAIIAggCCAIIAggCCAIIAggCCAIIAggCCAIIAggCCAIIAhYCAwIeAh4AAuQCAgIhAgQCBQIGAgcCCAIJAqkCCwIMAg0CCAIIAggCCAIIAggCCAIIAggCCAIIAggCCAIIAggCCAIIAhYCAwJQAh4AAuQCAgJZAgQCBQIGAgcCCAIJAgoCCwIMAg0CCAIIAggCCAIIAggCCAIIAggCCAIIAggCCAIIAggCCAIIAhYCAwKvAh4AAuQCAgIrAgR6AAAEAAIFAgYCBwIIAgkCCgILAgwCDQIIAggCCAIIAggCCAIIAggCCAIIAggCCAIIAggCCAIIAggCFgIDAiwCHgAC5AICAnsCBAIFAgYCBwIIAgkCqQILAgwCDQIIAggCCAIIAggCCAIIAggCCAIIAggCCAIIAggCCAIIAggCFgIDAtECHgAC5AICAiMCBAIFAgYCBwIIAgkCqQILAgwCDQIIAggCCAIIAggCCAIIAggCCAIIAggCCAIIAggCCAIIAggCFgIDAlACHgAC5AICAnUCBAIFAgYCBwIIAgkCCgILAgwCDQIIAggCCAIIAggCCAIIAggCCAIIAggCCAIIAggCCAIIAggCFgIDAs0CHgAC5AICAlMCBAIFAgYCBwIIAgkCqQILAgwCDQIIAggCCAIIAggCCAIIAggCCAIIAggCCAIIAggCCAIIAggCFgIDAsQCHgAC5AICAgMCBAIFAgYCBwIIAgkCqQILAgwCDQIIAggCCAIIAggCCAIIAggCCAIIAggCCAIIAggCCAIIAggCFgIDAswCHgAC5AICAjUCBAIFAgYCBwIIAgkCOAILAgwCDQIIAggCCAIIAggCCAIIAggCCAIIAggCCAIIAggCCAIIAggCFgIDAkUCHgAC5AICAjMCBAIFAgYCBwIIAgkCOAILAgwCDQIIAggCCAIIAggCCAIIAggCCAIIAggCCAIIAggCCAIIAggCFgIDAkECHgAC5AICAoUCBAIFAgYCBwIIAgkCOAILAgwCDQIIAggCCAIIAggCCAIIAggCCAIIAggCCAIIAggCCAIIAggCFgIDAtMCHgAC5AICAksCBAIFAgYCBwIIAgkCCgILAgwCDQIIAggCCAIIAggCCAIIAggCCAIIAggCCAIIAggCCAIIAggCFgIDAtUCHgAC5AICAi0CBAIFAgYCBwIIAgkCCgILAgwCDQIIAggCCAIIAggCCAIIAggCCAIIAggCCAIIAggCCAIIAggCFgIDAi4CHgAC5AICAoICBAIFAgYCBwIIAgkCqQILAgwCDQIIAggCCAIIAggCCAIIAggCCAIIAggCCAIIAggCCAIIAggCFgIDArwCHgAC5AICAjECBAIFAgYCBwIIAgkCqQILAgwCDQIIAggCCAIIAggCCAIIAggCCAIIAggCCAIIAggCCAIIAggCFgIDAr0CHgAC5AICAhsCBAIFAgYCBwIIAgkCCgILAgwCDQIIAggCCAIIAggCCAIIAggCCAIIAggCCAIIAggCCAIIAggCFgIDAhwCHgAC5AICAi8CBAIFAgYCBwIIAgkCOAILAgwCDQIIAggCCAIIAggCCAIIAggCCAIIAggCCAIIAggCCAIIAggCFgIDAkN6AAAEAAIeAALkAgICIwIEAgUCBgIHAggCCQI4AgsCDAINAggCCAIIAggCCAIIAggCCAIIAggCCAIIAggCCAIIAggCCAIWAgMCOwIeAALkAgICdQIEAgUCBgIHAggCCQI4AgsCDAINAggCCAIIAggCCAIIAggCCAIIAggCCAIIAggCCAIIAggCCAIWAgMCtwIeAALkAgICHwIEAgUCBgIHAggCCQKpAgsCDAINAggCCAIIAggCCAIIAggCCAIIAggCCAIIAggCCAIIAggCCAIWAgMC0AIeAALkAgICKQIEAgUCBgIHAggCCQIKAgsCDAINAggCCAIIAggCCAIIAggCCAIIAggCCAIIAggCCAIIAggCCAIWAgMCKgIeAALkAgICeAIEAgUCBgIHAggCCQKpAgsCDAINAggCCAIIAggCCAIIAggCCAIIAggCCAIIAggCCAIIAggCCAIWAgMC0gIeAALkAgICJQIEAgUCBgIHAggCCQIKAgsCDAINAggCCAIIAggCCAIIAggCCAIIAggCCAIIAggCCAIIAggCCAIWAgMCJgIeAALkAgICVgIEAgUCBgIHAggCCQKpAgsCDAINAggCCAIIAggCCAIIAggCCAIIAggCCAIIAggCCAIIAggCCAIWAgMCygIeAALkAgICHQIEAgUCBgIHAggCCQKpAgsCDAINAggCCAIIAggCCAIIAggCCAIIAggCCAIIAggCCAIIAggCCAIWAgMCUAIeAALkAgICNQIEAgUCBgIHAggCCQKpAgsCDAINAggCCAIIAggCCAIIAggCCAIIAggCCAIIAggCCAIIAggCCAIWAgMCsgIeAALkAgICAwIEAgUCBgIHAggCCQIKAgsCDAINAggCCAIIAggCCAIIAggCCAIIAggCCAIIAggCCAIIAggCCAIWAgMCDgIeAALkAgIChQIEAgUCBgIHAggCCQIKAgsCDAINAggCCAIIAggCCAIIAggCCAIIAggCCAIIAggCCAIIAggCCAIWAgMCuwIeAALkAgICMwIEAgUCBgIHAggCCQKpAgsCDAINAggCCAIIAggCCAIIAggCCAIIAggCCAIIAggCCAIIAggCCAIWAgMCUAIeAALkAgICUwIEAgUCBgIHAggCCQIKAgsCDAINAggCCAIIAggCCAIIAggCCAIIAggCCAIIAggCCAIIAggCCAIWAgMCtgIeAALkAgICLQIEAgUCBgIHAggCCQI4AgsCDAINAggCCAIIAggCCAIIAggCCAIIAggCCAIIAggCCAIIAggCCAIWAgMCQAIeAALkAgICJwIEAgUCBgIHAggCCQKpAgsCDAINAggCCAIIAggCCAIIAggCCAIIAggCCAIIAggCCAJ6AAAEAAgCCAIIAhYCAwK5Ah4AAuQCAgJpAgQCBQIGAgcCCAIJAqkCCwIMAg0CCAIIAggCCAIIAggCCAIIAggCCAIIAggCCAIIAggCCAIIAhYCAwLLAh4AAuQCAgJZAgQCBQIGAgcCCAIJAjgCCwIMAg0CCAIIAggCCAIIAggCCAIIAggCCAIIAggCCAIIAggCCAIIAhYCAwK4Ah4AAuQCAgIvAgQCBQIGAgcCCAIJAqkCCwIMAg0CCAIIAggCCAIIAggCCAIIAggCCAIIAggCCAIIAggCCAIIAhYCAwKuAh4AAuQCAgJ1AgQCBQIGAgcCCAIJAqkCCwIMAg0CCAIIAggCCAIIAggCCAIIAggCCAIIAggCCAIIAggCCAIIAhYCAwKwAh4AAuQCAgIlAgQCBQIGAgcCCAIJAjgCCwIMAg0CCAIIAggCCAIIAggCCAIIAggCCAIIAggCCAIIAggCCAIIAhYCAwI8Ah4AAuQCAgJ4AgQCBQIGAgcCCAIJAjgCCwIMAg0CCAIIAggCCAIIAggCCAIIAggCCAIIAggCCAIIAggCCAIIAhYCAwLDAh4AAuQCAgJ7AgQCBQIGAgcCCAIJAjgCCwIMAg0CCAIIAggCCAIIAggCCAIIAggCCAIIAggCCAIIAggCCAIIAhYCAwLGAh4AAuQCAgIfAgQCBQIGAgcCCAIJAjgCCwIMAg0CCAIIAggCCAIIAggCCAIIAggCCAIIAggCCAIIAggCCAIIAhYCAwJHAh4AAuQCAgIpAgQCBQIGAgcCCAIJAjgCCwIMAg0CCAIIAggCCAIIAggCCAIIAggCCAIIAggCCAIIAggCCAIIAhYCAwI9Ah4AAuQCAgJfAgQCBQIGAgcCCAIJAgoCCwIMAg0CCAIIAggCCAIIAggCCAIIAggCCAIIAggCCAIIAggCCAIIAhYCAwKxAh4AAuQCAgIxAgQCBQIGAgcCCAIJAgoCCwIMAg0CCAIIAggCCAIIAggCCAIIAggCCAIIAggCCAIIAggCCAIIAhYCAwIyAh4AAuQCAgKCAgQCBQIGAgcCCAIJAgoCCwIMAg0CCAIIAggCCAIIAggCCAIIAggCCAIIAggCCAIIAggCCAIIAhYCAwLIAh4AAuQCAgIhAgQCBQIGAgcCCAIJAgoCCwIMAg0CCAIIAggCCAIIAggCCAIIAggCCAIIAggCCAIIAggCCAIIAhYCAwIiAh4AAuQCAgIjAgQCBQIGAgcCCAIJAgoCCwIMAg0CCAIIAggCCAIIAggCCAIIAggCCAIIAggCCAIIAggCCAIIAhYCAwIkAh4AAuUACTQyNTM0NDg5NgICAicCBAIFAgYCBwIIAgkCCgILAkkCDQIIAggCCAJ6AAAEAAgCCAIIAggCCAIIAggCCAIIAggCCAIIAggCCAIBAgMCowIeAALlAgICaQIEAgUCBgIHAggCCQIKAgsCSQINAggCCAIIAggCCAIIAggCCAIIAggCCAIIAggCCAIIAggCCAIBAgMCogIeAALlAgICKwIEAgUCBgIHAggCCQI4AgsCSQINAggCCAIIAggCCAIIAggCCAIIAggCCAIIAggCCAIIAggCCAIBAgMCVQIeAALlAgICXwIEAgUCBgIHAggCCQI4AgsCSQINAggCCAIIAggCCAIIAggCCAIIAggCCAIIAggCCAIIAggCCAIBAgMCngIeAALlAgICWQIEAgUCBgIHAggCCQI4AgsCSQINAggCCAIIAggCCAIIAggCCAIIAggCCAIIAggCCAIIAggCCAIBAgMCWgIeAALlAgICIQIEAgUCBgIHAggCCQI4AgsCSQINAggCCAIIAggCCAIIAggCCAIIAggCCAIIAggCCAIIAggCCAIBAgMCoAIeAALlAgICKwIEAgUCBgIHAggCCQJMAgsCSQINAggCCAIIAggCCAIIAggCCAIIAggCCAIIAggCCAIIAggCCAIBAgMCcwIeAALlAgICLQIEAgUCBgIHAggCCQJMAgsCSQINAggCCAIIAggCCAIIAggCCAIIAggCCAIIAggCCAIIAggCCAIBAgMCYgIeAALlAgICGwIEAgUCBgIHAggCCQJMAgsCSQINAggCCAIIAggCCAIIAggCCAIIAggCCAIIAggCCAIIAggCCAIBAgMCTgIeAALlAgICTwIEAgUCBgIHAggCCQJMAgsCSQINAggCCAIIAggCCAIIAggCCAIIAggCCAIIAggCCAIIAggCCAIBAgMCUAIeAALlAgICVgIEAgUCBgIHAggCCQIKAgsCSQINAggCCAIIAggCCAIIAggCCAIIAggCCAIIAggCCAIIAggCCAIBAgMCVwIeAALlAgICLQIEAgUCBgIHAggCCQI4AgsCSQINAggCCAIIAggCCAIIAggCCAIIAggCCAIIAggCCAIIAggCCAIBAgMCSgIeAALlAgICWQIEAgUCBgIHAggCCQJMAgsCSQINAggCCAIIAggCCAIIAggCCAIIAggCCAIIAggCCAIIAggCCAIBAgMCcgIeAALlAgICHwIEAgUCBgIHAggCCQIKAgsCSQINAggCCAIIAggCCAIIAggCCAIIAggCCAIIAggCCAIIAggCCAIBAgMCbwIeAALlAgICHQIEAgUCBgIHAggCCQIKAgsCSQINAggCCAIIAggCCAIIAggCCAIIAggCCAIIAggCCAIIAggCCAIBAgMCUQIeAALlAgICAwIEAgUCBgIHAggCCQIKAgt6AAAEAAJJAg0CCAIIAggCCAIIAggCCAIIAggCCAIIAggCCAIIAggCCAIIAgECAwJbAh4AAuUCAgJ4AgQCBQIGAgcCCAIJAgoCCwJJAg0CCAIIAggCCAIIAggCCAIIAggCCAIIAggCCAIIAggCCAIIAgECAwJ5Ah4AAuUCAgJfAgQCBQIGAgcCCAIJAkwCCwJJAg0CCAIIAggCCAIIAggCCAIIAggCCAIIAggCCAIIAggCCAIIAgECAwKdAh4AAuUCAgIDAgQCBQIGAgcCCAIJAkwCCwJJAg0CCAIIAggCCAIIAggCCAIIAggCCAIIAggCCAIIAggCCAIIAgECAwKYAh4AAuUCAgIDAgQCBQIGAgcCCAIJAjgCCwJJAg0CCAIIAggCCAIIAggCCAIIAggCCAIIAggCCAIIAggCCAIIAgECAwKhAh4AAuUCAgJTAgQCBQIGAgcCCAIJAkwCCwJJAg0CCAIIAggCCAIIAggCCAIIAggCCAIIAggCCAIIAggCCAIIAgECAwKlAh4AAuUCAgJWAgQCBQIGAgcCCAIJAjgCCwJJAg0CCAIIAggCCAIIAggCCAIIAggCCAIIAggCCAIIAggCCAIIAgECAwJ+Ah4AAuUCAgJTAgQCBQIGAgcCCAIJAjgCCwJJAg0CCAIIAggCCAIIAggCCAIIAggCCAIIAggCCAIIAggCCAIIAgECAwKkAh4AAuUCAgIdAgQCBQIGAgcCCAIJAjgCCwJJAg0CCAIIAggCCAIIAggCCAIIAggCCAIIAggCCAIIAggCCAIIAgECAwJrAh4AAuUCAgIhAgQCBQIGAgcCCAIJAkwCCwJJAg0CCAIIAggCCAIIAggCCAIIAggCCAIIAggCCAIIAggCCAIIAgECAwJQAh4AAuUCAgJ7AgQCBQIGAgcCCAIJAgoCCwJJAg0CCAIIAggCCAIIAggCCAIIAggCCAIIAggCCAIIAggCCAIIAgECAwJ8Ah4AAuUCAgJmAgQCBQIGAgcCCAIJAkwCCwJJAg0CCAIIAggCCAIIAggCCAIIAggCCAIIAggCCAIIAggCCAIIAgECAwJQAh4AAuUCAgJWAgQCBQIGAgcCCAIJAkwCCwJJAg0CCAIIAggCCAIIAggCCAIIAggCCAIIAggCCAIIAggCCAIIAgECAwJ/Ah4AAuUCAgJmAgQCBQIGAgcCCAIJAjgCCwJJAg0CCAIIAggCCAIIAggCCAIIAggCCAIIAggCCAIIAggCCAIIAgECAwJ9Ah4AAuUCAgJpAgQCBQIGAgcCCAIJAkwCCwJJAg0CCAIIAggCCAIIAggCCAIIAggCCAIIAggCCAIIAggCCAIIAgECAwJxAh4AAuUCAgI1AgQCBQJ6AAAEAAYCBwIIAgkCTAILAkkCDQIIAggCCAIIAggCCAIIAggCCAIIAggCCAIIAggCCAIIAggCAQIDAmwCHgAC5QICAlkCBAIFAgYCBwIIAgkCCgILAkkCDQIIAggCCAIIAggCCAIIAggCCAIIAggCCAIIAggCCAIIAggCAQIDAmECHgAC5QICAicCBAIFAgYCBwIIAgkCTAILAkkCDQIIAggCCAIIAggCCAIIAggCCAIIAggCCAIIAggCCAIIAggCAQIDAo4CHgAC5QICAh0CBAIFAgYCBwIIAgkCTAILAkkCDQIIAggCCAIIAggCCAIIAggCCAIIAggCCAIIAggCCAIIAggCAQIDAlACHgAC5QICAmkCBAIFAgYCBwIIAgkCOAILAkkCDQIIAggCCAIIAggCCAIIAggCCAIIAggCCAIIAggCCAIIAggCAQIDAmoCHgAC5QICAnUCBAIFAgYCBwIIAgkCCgILAkkCDQIIAggCCAIIAggCCAIIAggCCAIIAggCCAIIAggCCAIIAggCAQIDApACHgAC5QICAjMCBAIFAgYCBwIIAgkCOAILAkkCDQIIAggCCAIIAggCCAIIAggCCAIIAggCCAIIAggCCAIIAggCAQIDAmgCHgAC5QICAjMCBAIFAgYCBwIIAgkCTAILAkkCDQIIAggCCAIIAggCCAIIAggCCAIIAggCCAIIAggCCAIIAggCAQIDAlACHgAC5QICAi0CBAIFAgYCBwIIAgkCCgILAkkCDQIIAggCCAIIAggCCAIIAggCCAIIAggCCAIIAggCCAIIAggCAQIDAnACHgAC5QICAi8CBAIFAgYCBwIIAgkCCgILAkkCDQIIAggCCAIIAggCCAIIAggCCAIIAggCCAIIAggCCAIIAggCAQIDAokCHgAC5QICAhsCBAIFAgYCBwIIAgkCOAILAkkCDQIIAggCCAIIAggCCAIIAggCCAIIAggCCAIIAggCCAIIAggCAQIDAlICHgAC5QICAk8CBAIFAgYCBwIIAgkCOAILAkkCDQIIAggCCAIIAggCCAIIAggCCAIIAggCCAIIAggCCAIIAggCAQIDAlgCHgAC5QICAksCBAIFAgYCBwIIAgkCOAILAkkCDQIIAggCCAIIAggCCAIIAggCCAIIAggCCAIIAggCCAIIAggCAQIDAmQCHgAC5QICAksCBAIFAgYCBwIIAgkCTAILAkkCDQIIAggCCAIIAggCCAIIAggCCAIIAggCCAIIAggCCAIIAggCAQIDAk0CHgAC5QICAicCBAIFAgYCBwIIAgkCOAILAkkCDQIIAggCCAIIAggCCAIIAggCCAIIAggCCAIIAggCCAIIAggCAQIDAm0CHgB6AAAEAALlAgICZgIEAgUCBgIHAggCCQIKAgsCSQINAggCCAIIAggCCAIIAggCCAIIAggCCAIIAggCCAIIAggCCAIBAgMCZwIeAALlAgICKwIEAgUCBgIHAggCCQIKAgsCSQINAggCCAIIAggCCAIIAggCCAIIAggCCAIIAggCCAIIAggCCAIBAgMCXAIeAALlAgICggIEAgUCBgIHAggCCQJMAgsCSQINAggCCAIIAggCCAIIAggCCAIIAggCCAIIAggCCAIIAggCCAIBAgMCiAIeAALlAgICLwIEAgUCBgIHAggCCQI4AgsCSQINAggCCAIIAggCCAIIAggCCAIIAggCCAIIAggCCAIIAggCCAIBAgMCegIeAALlAgICdQIEAgUCBgIHAggCCQI4AgsCSQINAggCCAIIAggCCAIIAggCCAIIAggCCAIIAggCCAIIAggCCAIBAgMCdgIeAALlAgICMQIEAgUCBgIHAggCCQJMAgsCSQINAggCCAIIAggCCAIIAggCCAIIAggCCAIIAggCCAIIAggCCAIBAgMChwIeAALlAgICMwIEAgUCBgIHAggCCQIKAgsCSQINAggCCAIIAggCCAIIAggCCAIIAggCCAIIAggCCAIIAggCCAIBAgMCiwIeAALlAgICNQIEAgUCBgIHAggCCQIKAgsCSQINAggCCAIIAggCCAIIAggCCAIIAggCCAIIAggCCAIIAggCCAIBAgMCigIeAALlAgICIwIEAgUCBgIHAggCCQJMAgsCSQINAggCCAIIAggCCAIIAggCCAIIAggCCAIIAggCCAIIAggCCAIBAgMCUAIeAALlAgICLwIEAgUCBgIHAggCCQJMAgsCSQINAggCCAIIAggCCAIIAggCCAIIAggCCAIIAggCCAIIAggCCAIBAgMCdwIeAALlAgICNQIEAgUCBgIHAggCCQI4AgsCSQINAggCCAIIAggCCAIIAggCCAIIAggCCAIIAggCCAIIAggCCAIBAgMCbgIeAALlAgICdQIEAgUCBgIHAggCCQJMAgsCSQINAggCCAIIAggCCAIIAggCCAIIAggCCAIIAggCCAIIAggCCAIBAgMCgAIeAALlAgICggIEAgUCBgIHAggCCQI4AgsCSQINAggCCAIIAggCCAIIAggCCAIIAggCCAIIAggCCAIIAggCCAIBAgMCgwIeAALlAgIChQIEAgUCBgIHAggCCQIKAgsCSQINAggCCAIIAggCCAIIAggCCAIIAggCCAIIAggCCAIIAggCCAIBAgMChgIeAALlAgICMQIEAgUCBgIHAggCCQI4AgsCSQINAggCCAIIAggCCAIIAggCCAIIAggCCAIIAggCCAIIAgh6AAAEAAIIAgECAwKEAh4AAuUCAgIlAgQCBQIGAgcCCAIJAgoCCwJJAg0CCAIIAggCCAIIAggCCAIIAggCCAIIAggCCAIIAggCCAIIAgECAwKBAh4AAuUCAgIjAgQCBQIGAgcCCAIJAjgCCwJJAg0CCAIIAggCCAIIAggCCAIIAggCCAIIAggCCAIIAggCCAIIAgECAwKfAh4AAuUCAgIpAgQCBQIGAgcCCAIJAgoCCwJJAg0CCAIIAggCCAIIAggCCAIIAggCCAIIAggCCAIIAggCCAIIAgECAwJ0Ah4AAuUCAgJ7AgQCBQIGAgcCCAIJAjgCCwJJAg0CCAIIAggCCAIIAggCCAIIAggCCAIIAggCCAIIAggCCAIIAgECAwKaAh4AAuUCAgIpAgQCBQIGAgcCCAIJAjgCCwJJAg0CCAIIAggCCAIIAggCCAIIAggCCAIIAggCCAIIAggCCAIIAgECAwJeAh4AAuUCAgKCAgQCBQIGAgcCCAIJAgoCCwJJAg0CCAIIAggCCAIIAggCCAIIAggCCAIIAggCCAIIAggCCAIIAgECAwKZAh4AAuUCAgIfAgQCBQIGAgcCCAIJAjgCCwJJAg0CCAIIAggCCAIIAggCCAIIAggCCAIIAggCCAIIAggCCAIIAgECAwKPAh4AAuUCAgJLAgQCBQIGAgcCCAIJAgoCCwJJAg0CCAIIAggCCAIIAggCCAIIAggCCAIIAggCCAIIAggCCAIIAgECAwKWAh4AAuUCAgKFAgQCBQIGAgcCCAIJAkwCCwJJAg0CCAIIAggCCAIIAggCCAIIAggCCAIIAggCCAIIAggCCAIIAgECAwKcAh4AAuUCAgJ7AgQCBQIGAgcCCAIJAkwCCwJJAg0CCAIIAggCCAIIAggCCAIIAggCCAIIAggCCAIIAggCCAIIAgECAwKMAh4AAuUCAgJPAgQCBQIGAgcCCAIJAgoCCwJJAg0CCAIIAggCCAIIAggCCAIIAggCCAIIAggCCAIIAggCCAIIAgECAwKVAh4AAuUCAgIbAgQCBQIGAgcCCAIJAgoCCwJJAg0CCAIIAggCCAIIAggCCAIIAggCCAIIAggCCAIIAggCCAIIAgECAwKXAh4AAuUCAgIfAgQCBQIGAgcCCAIJAkwCCwJJAg0CCAIIAggCCAIIAggCCAIIAggCCAIIAggCCAIIAggCCAIIAgECAwKSAh4AAuUCAgJ4AgQCBQIGAgcCCAIJAkwCCwJJAg0CCAIIAggCCAIIAggCCAIIAggCCAIIAggCCAIIAggCCAIIAgECAwKRAh4AAuUCAgKFAgQCBQIGAgcCCAIJAjgCCwJJAg0CCAIIAggCCAIIAggCCAIIAggCCAJ6AAACgAgCCAIIAggCCAIIAggCAQIDApsCHgAC5QICAlMCBAIFAgYCBwIIAgkCCgILAkkCDQIIAggCCAIIAggCCAIIAggCCAIIAggCCAIIAggCCAIIAggCAQIDAlQCHgAC5QICAiMCBAIFAgYCBwIIAgkCCgILAkkCDQIIAggCCAIIAggCCAIIAggCCAIIAggCCAIIAggCCAIIAggCAQIDApQCHgAC5QICAl8CBAIFAgYCBwIIAgkCCgILAkkCDQIIAggCCAIIAggCCAIIAggCCAIIAggCCAIIAggCCAIIAggCAQIDAmACHgAC5QICAikCBAIFAgYCBwIIAgkCTAILAkkCDQIIAggCCAIIAggCCAIIAggCCAIIAggCCAIIAggCCAIIAggCAQIDAl0CHgAC5QICAngCBAIFAgYCBwIIAgkCOAILAkkCDQIIAggCCAIIAggCCAIIAggCCAIIAggCCAIIAggCCAIIAggCAQIDAo0CHgAC5QICAiUCBAIFAgYCBwIIAgkCTAILAkkCDQIIAggCCAIIAggCCAIIAggCCAIIAggCCAIIAggCCAIIAggCAQIDAlACHgAC5QICAjECBAIFAgYCBwIIAgkCCgILAkkCDQIIAggCCAIIAggCCAIIAggCCAIIAggCCAIIAggCCAIIAggCAQIDApMCHgAC5QICAiECBAIFAgYCBwIIAgkCCgILAkkCDQIIAggCCAIIAggCCAIIAggCCAIIAggCCAIIAggCCAIIAggCAQIDAmUCHgAC5QICAiUCBAIFAgYCBwIIAgkCOAILAkkCDQIIAggCCAIIAggCCAIIAggCCAIIAggCCAIIAggCCAIIAggCAQIDAmM=]]></xxe4awand>
</file>

<file path=customXml/item4.xml><?xml version="1.0" encoding="utf-8"?>
<xxe4awand xmlns="http://www.excel4apps.com"><![CDATA[rO0ABXfaCMCtii8CAgRDAwIeAABEY29tLmV4Y2VsNGFwcHMud2FuZC5vcmFjbGUu
Z2x3YW5kLmNhbGN1bGF0aW9ucy5nZXRiYWxhbmNlLkdldEJhbGFuY2UCAQAJNTU3
NDk3MjI0AgIAATACAwAGMjAxNzExAgQAA1lURAIFAANVU0QCBgAFVG90YWwCBwAB
QQIIAAACCQADMDAxAgoABjE5MTAwMAILAAJHRAIMAAJXQQINAAJETAIIAggCCAII
AggCCAIIAggCCAIIAggCCAIIAggCCAIIAggCIAIDAg5zcgIPABRqYXZhLm1hdGgu
QmlnRGVjaW1hbFTHFVf5gShPAwACSQIQAAVzY2FsZUwCEQAGaW50VmFsdAAWTGph
dmEvbWF0aC9CaWdJbnRlZ2VyO3hyAhIAEGphdmEubGFuZy5OdW1iZXKGrJUdC5Tg
iwIAAHhwAAAAAnNyAhMAFGphdmEubWF0aC5CaWdJbnRlZ2VyjPyfH6k7+x0DAAZJ
AhQACGJpdENvdW50SQIVAAliaXRMZW5ndGhJAhYAE2ZpcnN0Tm9uemVyb0J5dGVO
dW1JAhcADGxvd2VzdFNldEJpdEkCGAAGc2lnbnVtWwIZAAltYWduaXR1ZGV0AAJb
QnhxAH4AAv///////////////v////7/////dXICGgACW0Ks8xf4BghU4AIAAHhwAAAABES6V7x4eHdNAh4AAgECAgIbAAYyMDE4MDECBAIFAgYCBwIIAgkCCgILAgwCDQIIAggCCAIIAggCCAIIAggCCAIIAggCCAIIAggCCAIIAggCIAIDAhxzcQB+AAAAAAACc3EAfgAE///////////////+/////v////91cQB+AAcAAAAEJnGjV3h4d00CHgACAQICAh0ABjIwMTcwOQIEAgUCBgIHAggCCQIKAgsCDAINAggCCAIIAggCCAIIAggCCAIIAggCCAIIAggCCAIIAggCCAIgAgMCHnNxAH4AAAAAAAJzcQB+AAT///////////////7////+AAAAAXVxAH4ABwAAAAQCjrCgeHh3TQIeAAIBAgICHwAGMjAxNzA3AgQCBQIGAgcCCAIJAgoCCwIMAg0CCAIIAggCCAIIAggCCAIIAggCCAIIAggCCAIIAggCCAIIAiACAwIgc3EAfgAAAAAAAnNxAH4ABP///////////////v////7/////dXEAfgAHAAAABAIK9vR4eHdNAh4AAgECAgIhAAYyMDE3MDICBAIFAgYCBwIIAgkCCgILAgwCDQIIAggCCAIIAggCCAIIAggCCAIIAggCCAIIAggCCAIIAggCIAIDAiJzcQB+AAAAAAACc3EAfgAE///////////////+/////v////91cQB+AAcAAAAEG0cx03h4d00CHgACAQICAiMABjIwMTgwMwIEAgUCBgIHAggCCQIKAgsCDAINAggCCAIIAggCCAIIAggCCAIIAggCCAIIAggCCAIIAggCCAIgAgMCJHNxAH4AAAAAAAJzcQB+AAT///////////////7////+/////3VxAH4ABwAAAAQOU8mMeHh3TQIeAAIBAgICJQAGMjAxNzAzAgQCBQIGAgcCCAIJAgoCCwIMAg0CCAIIAggCCAIIAggCCAIIAggCCAIIAggCCAIIAggCCAIIAiACAwImc3EAfgAAAAAAAnNxAH4ABP///////////////v////7/////dXEAfgAHAAAABBD98iN4eHdNAh4AAgECAgInAAYyMDE3MDUCBAIFAgYCBwIIAgkCCgILAgwCDQIIAggCCAIIAggCCAIIAggCCAIIAggCCAIIAggCCAIIAggCIAIDAihzcQB+AAAAAAACc3EAfgAE///////////////+/////v////91cQB+AAcAAAAEBiEYhXh4d00CHgACAQICAikABjIwMTcwOAIEAgUCBgIHAggCCQIKAgsCDAINAggCCAIIAggCCAIIAggCCAIIAggCCAIIAggCCAIIAggCCAIgAgMCKnNxAH4AAAAAAAJzcQB+AAT///////////////7////+/////3VxAH4ABwAAAAMylNZ4eHdNAh4AAgECAgIrAAYyMDE3MDECBAIFAgYCBwIIAgkCCgILAgwCDQIIAggCCAIIAggCCAIIAggCCAIIAggCCAIIAggCCAIIAggCIAIDAixzcQB+AAAAAAACc3EAfgAE///////////////+/////v////91cQB+AAcAAAAEKOmGtnh4d00CHgACAQICAi0ABjIwMTgwMgIEAgUCBgIHAggCCQIKAgsCDAINAggCCAIIAggCCAIIAggCCAIIAggCCAIIAggCCAIIAggCCAIgAgMCLnNxAH4AAAAAAAJzcQB+AAT///////////////7////+/////3VxAH4ABwAAAAQZYudleHh3TQIeAAIBAgICLwAGMjAxNzEwAgQCBQIGAgcCCAIJAgoCCwIMAg0CCAIIAggCCAIIAggCCAIIAggCCAIIAggCCAIIAggCCAIIAiACAwIwc3EAfgAAAAAAAnNxAH4ABP///////////////v////4AAAABdXEAfgAHAAAABAkNFf14eHdNAh4AAgECAgIxAAYyMDE3MTICBAIFAgYCBwIIAgkCCgILAgwCDQIIAggCCAIIAggCCAIIAggCCAIIAggCCAIIAggCCAIIAggCIAIDAjJzcQB+AAAAAAACc3EAfgAE///////////////+/////v////91cQB+AAcAAAAENEm+I3h4d00CHgACAQICAjMABjIwMTcwNgIEAgUCBgIHAggCCQIKAgsCDAINAggCCAIIAggCCAIIAggCCAIIAggCCAIIAggCCAIIAggCCAIgAgMCNHNxAH4AAAAAAAJzcQB+AAT///////////////7////+/////3VxAH4ABwAAAAQD3U0geHh3TQIeAAIBAgICNQAGMjAxNzA0AgQCBQIGAgcCCAIJAgoCCwIMAg0CCAIIAggCCAIIAggCCAIIAggCCAIIAggCCAIIAggCCAIIAiACAwI2c3EAfgAAAAAAAnNxAH4ABP///////////////v////7/////dXEAfgAHAAAABAnwakZ4eHdUAh4AAjcACTU2OTYxNDgxNgICAiMCBAIFAgYCBwIIAgkCCgILAjgAAklEAg0CCAIIAggCCAIIAggCCAIIAggCCAIIAggCCAIIAggCCAIIAhMCAwI5c3EAfgAAAAAAAnNxAH4ABP///////////////v////7/////dXEAfgAHAAAABATh3pl4eHdFAh4AAjcCAgIhAgQCBQIGAgcCCAIJAgoCCwI4Ag0CCAIIAggCCAIIAggCCAIIAggCCAIIAggCCAIIAggCCAIIAhMCAwI6c3EAfgAAAAAAAnNxAH4ABP///////////////v////7/////dXEAfgAHAAAABA4LHEp4eHdNAh4AAjcCAgIbAgQCBQIGAgcCCAIJAjsABjE5MTAxMAILAjgCDQIIAggCCAIIAggCCAIIAggCCAIIAggCCAIIAggCCAIIAggCEwIDAjxzcQB+AAAAAAACc3EAfgAE///////////////+/////v////91cQB+AAcAAAAEKSCPhXh4d00CHgACNwICAh0CBAIFAgYCBwIIAgkCPQAGMTkxMDE1AgsCOAINAggCCAIIAggCCAIIAggCCAIIAggCCAIIAggCCAIIAggCCAITAgMCPnNxAH4AAAAAAAJzcQB+AAT///////////////7////+/////3VxAH4ABwAAAAMSoqh4eHdFAh4AAjcCAgIdAgQCBQIGAgcCCAIJAjsCCwI4Ag0CCAIIAggCCAIIAggCCAIIAggCCAIIAggCCAIIAggCCAIIAhMCAwI/c3EAfgAAAAAAAnNxAH4ABP///////////////v////7/////dXEAfgAHAAAABDlFLv54eHdFAh4AAjcCAgIbAgQCBQIGAgcCCAIJAj0CCwI4Ag0CCAIIAggCCAIIAggCCAIIAggCCAIIAggCCAIIAggCCAIIAhMCAwJAc3EAfgAAAAAAAnNxAH4ABP///////////////v////4AAAAAdXEAfgAHAAAAAHh4d00CHgACNwICAkEABjIwMTYwOAIEAgUCBgIHAggCCQI7AgsCOAINAggCCAIIAggCCAIIAggCCAIIAggCCAIIAggCCAIIAggCCAITAgMCQnNxAH4AAAAAAAJzcQB+AAT///////////////7////+/////3VxAH4ABwAAAAQx77UZeHh3RQIeAAI3AgICQQIEAgUCBgIHAggCCQI9AgsCOAINAggCCAIIAggCCAIIAggCCAIIAggCCAIIAggCCAIIAggCCAITAgMCQ3NxAH4AAAAAAAJzcQB+AAT///////////////7////+/////3VxAH4ABwAAAAMSb0Z4eHdFAh4AAjcCAgIlAgQCBQIGAgcCCAIJAgoCCwI4Ag0CCAIIAggCCAIIAggCCAIIAggCCAIIAggCCAIIAggCCAIIAhMCAwJEc3EAfgAAAAAAAnNxAH4ABP///////////////v////7/////dXEAfgAHAAAABAi9SCF4eHdNAh4AAjcCAgJFAAYyMDE2MDkCBAIFAgYCBwIIAgkCPQILAjgCDQIIAggCCAIIAggCCAIIAggCCAIIAggCCAIIAggCCAIIAggCEwIDAkZzcQB+AAAAAAACc3EAfgAE///////////////+/////v////91cQB+AAcAAAADEnM1eHh3igIeAAI3AgICLQIEAgUCBgIHAggCCQI9AgsCOAINAggCCAIIAggCCAIIAggCCAIIAggCCAIIAggCCAIIAggCCAITAgMCQAIeAAI3AgICKwIEAgUCBgIHAggCCQI9AgsCOAINAggCCAIIAggCCAIIAggCCAIIAggCCAIIAggCCAIIAggCCAITAgMCR3NxAH4AAAAAAAJzcQB+AAT///////////////7////+/////3VxAH4ABwAAAAMSgvh4eHdFAh4AAjcCAgIrAgQCBQIGAgcCCAIJAjsCCwI4Ag0CCAIIAggCCAIIAggCCAIIAggCCAIIAggCCAIIAggCCAIIAhMCAwJIc3EAfgAAAAAAAnNxAH4ABP///////////////v////7/////dXEAfgAHAAAABB2x+kx4eHdNAh4AAjcCAgJJAAYyMDE2MDICBAIFAgYCBwIIAgkCCgILAjgCDQIIAggCCAIIAggCCAIIAggCCAIIAggCCAIIAggCCAIIAggCEwIDAkpzcQB+AAAAAAACc3EAfgAE///////////////+/////v////91cQB+AAcAAAAEBFuSEHh4d0UCHgACNwICAi8CBAIFAgYCBwIIAgkCCgILAjgCDQIIAggCCAIIAggCCAIIAggCCAIIAggCCAIIAggCCAIIAggCEwIDAktzcQB+AAAAAAACc3EAfgAE///////////////+/////gAAAAF1cQB+AAcAAAAEBhtaanh4d0UCHgACNwICAkUCBAIFAgYCBwIIAgkCOwILAjgCDQIIAggCCAIIAggCCAIIAggCCAIIAggCCAIIAggCCAIIAggCEwIDAkxzcQB+AAAAAAACc3EAfgAE///////////////+/////v////91cQB+AAcAAAAEM7yWknh4d0UCHgACNwICAi0CBAIFAgYCBwIIAgkCOwILAjgCDQIIAggCCAIIAggCCAIIAggCCAIIAggCCAIIAggCCAIIAggCEwIDAk1zcQB+AAAAAAACc3EAfgAE///////////////+/////v////91cQB+AAcAAAAEKUaEtnh4d0UCHgACNwICAh0CBAIFAgYCBwIIAgkCCgILAjgCDQIIAggCCAIIAggCCAIIAggCCAIIAggCCAIIAggCCAIIAggCEwIDAk5zcQB+AAAAAAACc3EAfgAE///////////////+/////gAAAAF1cQB+AAcAAAAEAloS0nh4d00CHgACNwICAk8ABjIwMTYwMwIEAgUCBgIHAggCCQIKAgsCOAINAggCCAIIAggCCAIIAggCCAIIAggCCAIIAggCCAIIAggCCAITAgMCUHNxAH4AAAAAAAJzcQB+AAT///////////////7////+/////3VxAH4ABwAAAAQC+0uLeHh3RQIeAAI3AgICMwIEAgUCBgIHAggCCQI9AgsCOAINAggCCAIIAggCCAIIAggCCAIIAggCCAIIAggCCAIIAggCCAITAgMCUXNxAH4AAAAAAAJzcQB+AAT///////////////7////+/////3VxAH4ABwAAAAMSlsB4eHdFAh4AAjcCAgJBAgQCBQIGAgcCCAIJAgoCCwI4Ag0CCAIIAggCCAIIAggCCAIIAggCCAIIAggCCAIIAggCCAIIAhMCAwJSc3EAfgAAAAAAAnNxAH4ABP///////////////v////7/////dXEAfgAHAAAAA56yqnh4d0UCHgACNwICAkkCBAIFAgYCBwIIAgkCOwILAjgCDQIIAggCCAIIAggCCAIIAggCCAIIAggCCAIIAggCCAIIAggCEwIDAlNzcQB+AAAAAAACc3EAfgAE///////////////+/////v////91cQB+AAcAAAAEG7MeXHh4d0UCHgACNwICAjUCBAIFAgYCBwIIAgkCCgILAjgCDQIIAggCCAIIAggCCAIIAggCCAIIAggCCAIIAggCCAIIAggCEwIDAlRzcQB+AAAAAAACc3EAfgAE///////////////+/////v////91cQB+AAcAAAAEBQSjQXh4d0UCHgACNwICAiUCBAIFAgYCBwIIAgkCPQILAjgCDQIIAggCCAIIAggCCAIIAggCCAIIAggCCAIIAggCCAIIAggCEwIDAlVzcQB+AAAAAAACc3EAfgAE///////////////+/////v////91cQB+AAcAAAADEorfeHh3RQIeAAI3AgICSQIEAgUCBgIHAggCCQI9AgsCOAINAggCCAIIAggCCAIIAggCCAIIAggCCAIIAggCCAIIAggCCAITAgMCVnNxAH4AAAAAAAJzcQB+AAT///////////////7////+/////3VxAH4ABwAAAAMSV794eHdFAh4AAjcCAgIxAgQCBQIGAgcCCAIJAgoCCwI4Ag0CCAIIAggCCAIIAggCCAIIAggCCAIIAggCCAIIAggCCAIIAhMCAwJXc3EAfgAAAAAAAnNxAH4ABP///////////////v////7/////dXEAfgAHAAAABBa3qKJ4eHdNAh4AAjcCAgJYAAYyMDE2MDcCBAIFAgYCBwIIAgkCOwILAjgCDQIIAggCCAIIAggCCAIIAggCCAIIAggCCAIIAggCCAIIAggCEwIDAllzcQB+AAAAAAACc3EAfgAE///////////////+/////v////91cQB+AAcAAAAELv3gknh4d0UCHgACNwICAikCBAIFAgYCBwIIAgkCPQILAjgCDQIIAggCCAIIAggCCAIIAggCCAIIAggCCAIIAggCCAIIAggCEwIDAlpzcQB+AAAAAAACc3EAfgAE///////////////+/////v////91cQB+AAcAAAADEp6veHh3RQIeAAI3AgICKQIEAgUCBgIHAggCCQI7AgsCOAINAggCCAIIAggCCAIIAggCCAIIAggCCAIIAggCCAIIAggCCAITAgMCW3NxAH4AAAAAAAJzcQB+AAT///////////////7////+/////3VxAH4ABwAAAAQ0OVToeHh3TQIeAAI3AgICXAAGMjAxNjExAgQCBQIGAgcCCAIJAgoCCwI4Ag0CCAIIAggCCAIIAggCCAIIAggCCAIIAggCCAIIAggCCAIIAhMCAwJdc3EAfgAAAAAAAnNxAH4ABP///////////////v////7/////dXEAfgAHAAAABCWQ0ft4eHdFAh4AAjcCAgIlAgQCBQIGAgcCCAIJAjsCCwI4Ag0CCAIIAggCCAIIAggCCAIIAggCCAIIAggCCAIIAggCCAIIAhMCAwJec3EAfgAAAAAAAnNxAH4ABP///////////////v////7/////dXEAfgAHAAAABCZ4H3F4eHdFAh4AAjcCAgJYAgQCBQIGAgcCCAIJAj0CCwI4Ag0CCAIIAggCCAIIAggCCAIIAggCCAIIAggCCAIIAggCCAIIAhMCAwJfc3EAfgAAAAAAAnNxAH4ABP///////////////v////7/////dXEAfgAHAAAAAxJrWHh4d0UCHgACNwICAi0CBAIFAgYCBwIIAgkCCgILAjgCDQIIAggCCAIIAggCCAIIAggCCAIIAggCCAIIAggCCAIIAggCEwIDAmBzcQB+AAAAAAACc3EAfgAE///////////////+/////v////91cQB+AAcAAAAECivT53h4d0UCHgACNwICAisCBAIFAgYCBwIIAgkCCgILAjgCDQIIAggCCAIIAggCCAIIAggCCAIIAggCCAIIAggCCAIIAggCEwIDAmFzcQB+AAAAAAACc3EAfgAE///////////////+/////v////91cQB+AAcAAAAEFDr3g3h4d00CHgACNwICAmIABjIwMTYxMAIEAgUCBgIHAggCCQI9AgsCOAINAggCCAIIAggCCAIIAggCCAIIAggCCAIIAggCCAIIAggCCAITAgMCY3NxAH4AAAAAAAJzcQB+AAT///////////////7////+/////3VxAH4ABwAAAAMSdyV4eHdFAh4AAjcCAgJPAgQCBQIGAgcCCAIJAj0CCwI4Ag0CCAIIAggCCAIIAggCCAIIAggCCAIIAggCCAIIAggCCAIIAhMCAwJkc3EAfgAAAAAAAnNxAH4ABP///////////////v////7/////dXEAfgAHAAAAAxJbqXh4d00CHgACNwICAmUABjIwMTYwNAIEAgUCBgIHAggCCQI7AgsCOAINAggCCAIIAggCCAIIAggCCAIIAggCCAIIAggCCAIIAggCCAITAgMCZnNxAH4AAAAAAAJzcQB+AAT///////////////7////+/////3VxAH4ABwAAAAQjxnj9eHh3RQIeAAI3AgICYgIEAgUCBgIHAggCCQI7AgsCOAINAggCCAIIAggCCAIIAggCCAIIAggCCAIIAggCCAIIAggCCAITAgMCZ3NxAH4AAAAAAAJzcQB+AAT///////////////7////+/////3VxAH4ABwAAAAQ0mEcjeHh3RQIeAAI3AgICJwIEAgUCBgIHAggCCQI7AgsCOAINAggCCAIIAggCCAIIAggCCAIIAggCCAIIAggCCAIIAggCCAITAgMCaHNxAH4AAAAAAAJzcQB+AAT///////////////7////+/////3VxAH4ABwAAAAQqJk8LeHh3igIeAAI3AgICAwIEAgUCBgIHAggCCQI9AgsCOAINAggCCAIIAggCCAIIAggCCAIIAggCCAIIAggCCAIIAggCCAITAgMCQAIeAAI3AgICNQIEAgUCBgIHAggCCQI9AgsCOAINAggCCAIIAggCCAIIAggCCAIIAggCCAIIAggCCAIIAggCCAITAgMCaXNxAH4AAAAAAAJzcQB+AAT///////////////7////+/////3VxAH4ABwAAAAMSjtR4eHdNAh4AAjcCAgJqAAYyMDE2MDYCBAIFAgYCBwIIAgkCCgILAjgCDQIIAggCCAIIAggCCAIIAggCCAIIAggCCAIIAggCCAIIAggCEwIDAmtzcQB+AAAAAAACc3EAfgAE///////////////+/////v////91cQB+AAcAAAAEAWTK8nh4d0UCHgACNwICAgMCBAIFAgYCBwIIAgkCOwILAjgCDQIIAggCCAIIAggCCAIIAggCCAIIAggCCAIIAggCCAIIAggCEwIDAmxzcQB+AAAAAAACc3EAfgAE///////////////+/////v////91cQB+AAcAAAAEHCN8kHh4d00CHgACNwICAm0ABjIwMTYxMgIEAgUCBgIHAggCCQIKAgsCOAINAggCCAIIAggCCAIIAggCCAIIAggCCAIIAggCCAIIAggCCAITAgMCbnNxAH4AAAAAAAJzcQB+AAT///////////////7////+/////3VxAH4ABwAAAAQdEKl0eHh3RQIeAAI3AgICMwIEAgUCBgIHAggCCQIKAgsCOAINAggCCAIIAggCCAIIAggCCAIIAggCCAIIAggCCAIIAggCCAITAgMCb3NxAH4AAAAAAAJzcQB+AAT///////////////7////+/////3VxAH4ABwAAAAQBbUrSeHh3TQIeAAI3AgICcAAGMjAxNjA1AgQCBQIGAgcCCAIJAgoCCwI4Ag0CCAIIAggCCAIIAggCCAIIAggCCAIIAggCCAIIAggCCAIIAhMCAwJxc3EAfgAAAAAAAnNxAH4ABP///////////////v////7/////dXEAfgAHAAAABAHNSnd4eHdFAh4AAjcCAgIvAgQCBQIGAgcCCAIJAj0CCwI4Ag0CCAIIAggCCAIIAggCCAIIAggCCAIIAggCCAIIAggCCAIIAhMCAwJyc3EAfgAAAAAAAnNxAH4ABP///////////////v////7/////dXEAfgAHAAAAAxKmonh4d0UCHgACNwICAlwCBAIFAgYCBwIIAgkCOwILAjgCDQIIAggCCAIIAggCCAIIAggCCAIIAggCCAIIAggCCAIIAggCEwIDAnNzcQB+AAAAAAACc3EAfgAE///////////////+/////v////91cQB+AAcAAAAEC9ESdHh4d0UCHgACNwICAmUCBAIFAgYCBwIIAgkCPQILAjgCDQIIAggCCAIIAggCCAIIAggCCAIIAggCCAIIAggCCAIIAggCEwIDAnRzcQB+AAAAAAACc3EAfgAE///////////////+/////v////91cQB+AAcAAAADEl+UeHh3RQIeAAI3AgICcAIEAgUCBgIHAggCCQI7AgsCOAINAggCCAIIAggCCAIIAggCCAIIAggCCAIIAggCCAIIAggCCAITAgMCdXNxAH4AAAAAAAJzcQB+AAT///////////////7////+/////3VxAH4ABwAAAAQmLzLCeHh3RQIeAAI3AgICJwIEAgUCBgIHAggCCQI9AgsCOAINAggCCAIIAggCCAIIAggCCAIIAggCCAIIAggCCAIIAggCCAITAgMCdnNxAH4AAAAAAAJzcQB+AAT///////////////7////+/////3VxAH4ABwAAAAMSksp4eHdFAh4AAjcCAgJYAgQCBQIGAgcCCAIJAgoCCwI4Ag0CCAIIAggCCAIIAggCCAIIAggCCAIIAggCCAIIAggCCAIIAhMCAwJ3c3EAfgAAAAAAAnNxAH4ABP///////////////v////7/////dXEAfgAHAAAABAEGlGB4eHeKAh4AAjcCAgIxAgQCBQIGAgcCCAIJAj0CCwI4Ag0CCAIIAggCCAIIAggCCAIIAggCCAIIAggCCAIIAggCCAIIAhMCAwJAAh4AAjcCAgIzAgQCBQIGAgcCCAIJAjsCCwI4Ag0CCAIIAggCCAIIAggCCAIIAggCCAIIAggCCAIIAggCCAIIAhMCAwJ4c3EAfgAAAAAAAnNxAH4ABP///////////////v////7/////dXEAfgAHAAAABCoLRiF4eHdFAh4AAjcCAgIxAgQCBQIGAgcCCAIJAjsCCwI4Ag0CCAIIAggCCAIIAggCCAIIAggCCAIIAggCCAIIAggCCAIIAhMCAwJ5c3EAfgAAAAAAAnNxAH4ABP///////////////v////7/////dXEAfgAHAAAABCQ0bfR4eHdFAh4AAjcCAgIfAgQCBQIGAgcCCAIJAgoCCwI4Ag0CCAIIAggCCAIIAggCCAIIAggCCAIIAggCCAIIAggCCAIIAhMCAwJ6c3EAfgAAAAAAAnNxAH4ABP///////////////v////7/////dXEAfgAHAAAAA064Cnh4d0UCHgACNwICAnACBAIFAgYCBwIIAgkCPQILAjgCDQIIAggCCAIIAggCCAIIAggCCAIIAggCCAIIAggCCAIIAggCEwIDAntzcQB+AAAAAAACc3EAfgAE///////////////+/////v////91cQB+AAcAAAADEmN/eHh3RQIeAAI3AgICbQIEAgUCBgIHAggCCQI7AgsCOAINAggCCAIIAggCCAIIAggCCAIIAggCCAIIAggCCAIIAggCCAITAgMCfHNxAH4AAAAAAAJzcQB+AAT///////////////7////+/////3VxAH4ABwAAAAQVrLWfeHh3RQIeAAI3AgICHwIEAgUCBgIHAggCCQI7AgsCOAINAggCCAIIAggCCAIIAggCCAIIAggCCAIIAggCCAIIAggCCAITAgMCfXNxAH4AAAAAAAJzcQB+AAT///////////////7////+/////3VxAH4ABwAAAAQukYUreHh3RQIeAAI3AgICbQIEAgUCBgIHAggCCQI9AgsCOAINAggCCAIIAggCCAIIAggCCAIIAggCCAIIAggCCAIIAggCCAITAgMCfnNxAH4AAAAAAAJzcQB+AAT///////////////7////+/////3VxAH4ABwAAAAMSfwZ4eHeKAh4AAjcCAgIjAgQCBQIGAgcCCAIJAj0CCwI4Ag0CCAIIAggCCAIIAggCCAIIAggCCAIIAggCCAIIAggCCAIIAhMCAwJAAh4AAjcCAgJqAgQCBQIGAgcCCAIJAjsCCwI4Ag0CCAIIAggCCAIIAggCCAIIAggCCAIIAggCCAIIAggCCAIIAhMCAwJ/c3EAfgAAAAAAAnNxAH4ABP///////////////v////7/////dXEAfgAHAAAABCsQC1F4eHdFAh4AAjcCAgIhAgQCBQIGAgcCCAIJAj0CCwI4Ag0CCAIIAggCCAIIAggCCAIIAggCCAIIAggCCAIIAggCCAIIAhMCAwKAc3EAfgAAAAAAAnNxAH4ABP///////////////v////7/////dXEAfgAHAAAAAxKG63h4d0UCHgACNwICAiECBAIFAgYCBwIIAgkCOwILAjgCDQIIAggCCAIIAggCCAIIAggCCAIIAggCCAIIAggCCAIIAggCEwIDAoFzcQB+AAAAAAACc3EAfgAE///////////////+/////v////91cQB+AAcAAAAEIgqsMXh4d0UCHgACNwICAmICBAIFAgYCBwIIAgkCCgILAjgCDQIIAggCCAIIAggCCAIIAggCCAIIAggCCAIIAggCCAIIAggCEwIDAoJzcQB+AAAAAAACc3EAfgAE///////////////+/////gAAAAF1cQB+AAcAAAADuXJ8eHh3RQIeAAI3AgICHwIEAgUCBgIHAggCCQI9AgsCOAINAggCCAIIAggCCAIIAggCCAIIAggCCAIIAggCCAIIAggCCAITAgMCg3NxAH4AAAAAAAJzcQB+AAT///////////////7////+/////3VxAH4ABwAAAAMSmrd4eHdFAh4AAjcCAgJqAgQCBQIGAgcCCAIJAj0CCwI4Ag0CCAIIAggCCAIIAggCCAIIAggCCAIIAggCCAIIAggCCAIIAhMCAwKEc3EAfgAAAAAAAnNxAH4ABP///////////////v////7/////dXEAfgAHAAAAAxJna3h4d0UCHgACNwICAiMCBAIFAgYCBwIIAgkCOwILAjgCDQIIAggCCAIIAggCCAIIAggCCAIIAggCCAIIAggCCAIIAggCEwIDAoVzcQB+AAAAAAACc3EAfgAE///////////////+/////v////91cQB+AAcAAAAEKsKx+Hh4d0UCHgACNwICAgMCBAIFAgYCBwIIAgkCCgILAjgCDQIIAggCCAIIAggCCAIIAggCCAIIAggCCAIIAggCCAIIAggCEwIDAoZzcQB+AAAAAAACc3EAfgAE///////////////+/////v////91cQB+AAcAAAAEHsB0bHh4d0UCHgACNwICAikCBAIFAgYCBwIIAgkCCgILAjgCDQIIAggCCAIIAggCCAIIAggCCAIIAggCCAIIAggCCAIIAggCEwIDAodzcQB+AAAAAAACc3EAfgAE///////////////+/////gAAAAF1cQB+AAcAAAAD/4leeHh3RQIeAAI3AgICGwIEAgUCBgIHAggCCQIKAgsCOAINAggCCAIIAggCCAIIAggCCAIIAggCCAIIAggCCAIIAggCCAITAgMCiHNxAH4AAAAAAAJzcQB+AAT///////////////7////+/////3VxAH4ABwAAAAQQposkeHh3RQIeAAI3AgICXAIEAgUCBgIHAggCCQI9AgsCOAINAggCCAIIAggCCAIIAggCCAIIAggCCAIIAggCCAIIAggCCAITAgMCiXNxAH4AAAAAAAJzcQB+AAT///////////////7////+/////3VxAH4ABwAAAAMSexV4eHdFAh4AAjcCAgJFAgQCBQIGAgcCCAIJAgoCCwI4Ag0CCAIIAggCCAIIAggCCAIIAggCCAIIAggCCAIIAggCCAIIAhMCAwKKc3EAfgAAAAAAAnNxAH4ABP///////////////v////7/////dXEAfgAHAAAAAzL3EXh4d0UCHgACNwICAjUCBAIFAgYCBwIIAgkCOwILAjgCDQIIAggCCAIIAggCCAIIAggCCAIIAggCCAIIAggCCAIIAggCEwIDAotzcQB+AAAAAAACc3EAfgAE///////////////+/////v////91cQB+AAcAAAAEKeDlE3h4d0UCHgACNwICAmUCBAIFAgYCBwIIAgkCCgILAjgCDQIIAggCCAIIAggCCAIIAggCCAIIAggCCAIIAggCCAIIAggCEwIDAoxzcQB+AAAAAAACc3EAfgAE///////////////+/////v////91cQB+AAcAAAAEAlAe6Xh4d0UCHgACNwICAi8CBAIFAgYCBwIIAgkCOwILAjgCDQIIAggCCAIIAggCCAIIAggCCAIIAggCCAIIAggCCAIIAggCEwIDAo1zcQB+AAAAAAACc3EAfgAE///////////////+/////v////91cQB+AAcAAAAEQ0RN4Hh4d0UCHgACNwICAk8CBAIFAgYCBwIIAgkCOwILAjgCDQIIAggCCAIIAggCCAIIAggCCAIIAggCCAIIAggCCAIIAggCEwIDAo5zcQB+AAAAAAACc3EAfgAE///////////////+/////v////91cQB+AAcAAAAEHq4JT3h4d0UCHgACNwICAicCBAIFAgYCBwIIAgkCCgILAjgCDQIIAggCCAIIAggCCAIIAggCCAIIAggCCAIIAggCCAIIAggCEwIDAo9zcQB+AAAAAAACc3EAfgAE///////////////+/////v////91cQB+AAcAAAAEAtdnVHh4d1gCHgACkAAJNTY5NjExMzM2AgICHQIEAgUCBgIHAggCCQKRAAYxOTEwMjUCCwIMAg0CCAIIAggCCAIIAggCCAIIAggCCAIIAggCCAIIAggCCAIIAhACAwKSc3EAfgAAAAAAAnNxAH4ABP///////////////v////7/////dXEAfgAHAAAAAwQOrnh4d4oCHgACkAICAjUCBAIFAgYCBwIIAgkCCgILAgwCDQIIAggCCAIIAggCCAIIAggCCAIIAggCCAIIAggCCAIIAggCEAIDAjYCHgACkAICAkECBAIFAgYCBwIIAgkCkQILAgwCDQIIAggCCAIIAggCCAIIAggCCAIIAggCCAIIAggCCAIIAggCEAIDApNzcQB+AAAAAAACc3EAfgAE///////////////+/////v////91cQB+AAcAAAADCLaceHh3kgIeAAKQAgICAwIEAgUCBgIHAggCCQIKAgsCDAINAggCCAIIAggCCAIIAggCCAIIAggCCAIIAggCCAIIAggCCAIQAgMCDgIeAAKQAgIClAAGMjAxODA0AgQCBQIGAgcCCAIJAjsCCwIMAg0CCAIIAggCCAIIAggCCAIIAggCCAIIAggCCAIIAggCCAIIAhACAwKVc3EAfgAAAAAAAnNxAH4ABP///////////////v////7/////dXEAfgAHAAAABFqpyF94eHdFAh4AApACAgIlAgQCBQIGAgcCCAIJAjsCCwIMAg0CCAIIAggCCAIIAggCCAIIAggCCAIIAggCCAIIAggCCAIIAhACAwKWc3EAfgAAAAAAAnNxAH4ABP///////////////v////7/////dXEAfgAHAAAABFNjmyZ4eHdFAh4AApACAgJJAgQCBQIGAgcCCAIJAjsCCwIMAg0CCAIIAggCCAIIAggCCAIIAggCCAIIAggCCAIIAggCCAIIAhACAwKXc3EAfgAAAAAAAnNxAH4ABP///////////////v////7/////dXEAfgAHAAAABDc49U94eHdFAh4AApACAgJlAgQCBQIGAgcCCAIJAgoCCwIMAg0CCAIIAggCCAIIAggCCAIIAggCCAIIAggCCAIIAggCCAIIAhACAwKYc3EAfgAAAAAAAnNxAH4ABP///////////////v////7/////dXEAfgAHAAAABATkMA94eHdFAh4AApACAgIvAgQCBQIGAgcCCAIJAjsCCwIMAg0CCAIIAggCCAIIAggCCAIIAggCCAIIAggCCAIIAggCCAIIAhACAwKZc3EAfgAAAAAAAnNxAH4ABP///////////////v////7/////dXEAfgAHAAAABILciPF4eHeKAh4AApACAgItAgQCBQIGAgcCCAIJApECCwIMAg0CCAIIAggCCAIIAggCCAIIAggCCAIIAggCCAIIAggCCAIIAhACAwJAAh4AApACAgKUAgQCBQIGAgcCCAIJAgoCCwIMAg0CCAIIAggCCAIIAggCCAIIAggCCAIIAggCCAIIAggCCAIIAhACAwKac3EAfgAAAAAAAnNxAH4ABP///////////////v////7/////dXEAfgAHAAAABAcZP5l4eHdFAh4AApACAgIpAgQCBQIGAgcCCAIJApECCwIMAg0CCAIIAggCCAIIAggCCAIIAggCCAIIAggCCAIIAggCCAIIAhACAwKbc3EAfgAAAAAAAnNxAH4ABP///////////////v////7/////dXEAfgAHAAAAAwQlCXh4d0UCHgACkAICAkkCBAIFAgYCBwIIAgkCCgILAgwCDQIIAggCCAIIAggCCAIIAggCCAIIAggCCAIIAggCCAIIAggCEAIDApxzcQB+AAAAAAACc3EAfgAE///////////////+/////v////91cQB+AAcAAAAECCX/sXh4d0UCHgACkAICAisCBAIFAgYCBwIIAgkCkQILAgwCDQIIAggCCAIIAggCCAIIAggCCAIIAggCCAIIAggCCAIIAggCEAIDAp1zcQB+AAAAAAACc3EAfgAE///////////////+/////v////91cQB+AAcAAAADBWT/eHh3RQIeAAKQAgICLQIEAgUCBgIHAggCCQI7AgsCDAINAggCCAIIAggCCAIIAggCCAIIAggCCAIIAggCCAIIAggCCAIQAgMCnnNxAH4AAAAAAAJzcQB+AAT///////////////7////+/////3VxAH4ABwAAAARPKnH5eHh3zwIeAAKQAgICLwIEAgUCBgIHAggCCQIKAgsCDAINAggCCAIIAggCCAIIAggCCAIIAggCCAIIAggCCAIIAggCCAIQAgMCMAIeAAKQAgICJQIEAgUCBgIHAggCCQIKAgsCDAINAggCCAIIAggCCAIIAggCCAIIAggCCAIIAggCCAIIAggCCAIQAgMCJgIeAAKQAgICWAIEAgUCBgIHAggCCQKRAgsCDAINAggCCAIIAggCCAIIAggCCAIIAggCCAIIAggCCAIIAggCCAIQAgMCn3NxAH4AAAAAAAJzcQB+AAT///////////////7////+/////3VxAH4ABwAAAAMJnn94eHdFAh4AApACAgIjAgQCBQIGAgcCCAIJAjsCCwIMAg0CCAIIAggCCAIIAggCCAIIAggCCAIIAggCCAIIAggCCAIIAhACAwKgc3EAfgAAAAAAAnNxAH4ABP///////////////v////7/////dXEAfgAHAAAABFJ+oxp4eHdFAh4AApACAgIhAgQCBQIGAgcCCAIJAjsCCwIMAg0CCAIIAggCCAIIAggCCAIIAggCCAIIAggCCAIIAggCCAIIAhACAwKhc3EAfgAAAAAAAnNxAH4ABP///////////////v////7/////dXEAfgAHAAAABEmLU8l4eHdFAh4AApACAgJFAgQCBQIGAgcCCAIJAjsCCwIMAg0CCAIIAggCCAIIAggCCAIIAggCCAIIAggCCAIIAggCCAIIAhACAwKic3EAfgAAAAAAAnNxAH4ABP///////////////v////7/////dXEAfgAHAAAABGExCBR4eHdFAh4AApACAgJPAgQCBQIGAgcCCAIJAgoCCwIMAg0CCAIIAggCCAIIAggCCAIIAggCCAIIAggCCAIIAggCCAIIAhACAwKjc3EAfgAAAAAAAnNxAH4ABP///////////////v////7/////dXEAfgAHAAAABAXojm54eHdFAh4AApACAgJiAgQCBQIGAgcCCAIJAgoCCwIMAg0CCAIIAggCCAIIAggCCAIIAggCCAIIAggCCAIIAggCCAIIAhACAwKkc3EAfgAAAAAAAnNxAH4ABP///////////////v////7/////dXEAfgAHAAAAA7xcsnh4egAAARQCHgACkAICAhsCBAIFAgYCBwIIAgkCkQILAgwCDQIIAggCCAIIAggCCAIIAggCCAIIAggCCAIIAggCCAIIAggCEAIDAkACHgACkAICAiMCBAIFAgYCBwIIAgkCCgILAgwCDQIIAggCCAIIAggCCAIIAggCCAIIAggCCAIIAggCCAIIAggCEAIDAiQCHgACkAICAiECBAIFAgYCBwIIAgkCCgILAgwCDQIIAggCCAIIAggCCAIIAggCCAIIAggCCAIIAggCCAIIAggCEAIDAiICHgACkAICAm0CBAIFAgYCBwIIAgkCCgILAgwCDQIIAggCCAIIAggCCAIIAggCCAIIAggCCAIIAggCCAIIAggCEAIDAqVzcQB+AAAAAAACc3EAfgAE///////////////+/////v////91cQB+AAcAAAAEO4uIvXh4d4oCHgACkAICAh8CBAIFAgYCBwIIAgkCCgILAgwCDQIIAggCCAIIAggCCAIIAggCCAIIAggCCAIIAggCCAIIAggCEAIDAiACHgACkAICAlwCBAIFAgYCBwIIAgkCOwILAgwCDQIIAggCCAIIAggCCAIIAggCCAIIAggCCAIIAggCCAIIAggCEAIDAqZzcQB+AAAAAAACc3EAfgAE///////////////+/////v////91cQB+AAcAAAAEElQVqnh4d0UCHgACkAICAiUCBAIFAgYCBwIIAgkCkQILAgwCDQIIAggCCAIIAggCCAIIAggCCAIIAggCCAIIAggCCAIIAggCEAIDAqdzcQB+AAAAAAACc3EAfgAE///////////////+/////v////91cQB+AAcAAAADBKuXeHh3RQIeAAKQAgICHQIEAgUCBgIHAggCCQI7AgsCDAINAggCCAIIAggCCAIIAggCCAIIAggCCAIIAggCCAIIAggCCAIQAgMCqHNxAH4AAAAAAAJzcQB+AAT///////////////7////+/////3VxAH4ABwAAAARxBllJeHh3RQIeAAKQAgICKwIEAgUCBgIHAggCCQI7AgsCDAINAggCCAIIAggCCAIIAggCCAIIAggCCAIIAggCCAIIAggCCAIQAgMCqXNxAH4AAAAAAAJzcQB+AAT///////////////7////+/////3VxAH4ABwAAAAQ9FTt2eHh3RQIeAAKQAgICagIEAgUCBgIHAggCCQIKAgsCDAINAggCCAIIAggCCAIIAggCCAIIAggCCAIIAggCCAIIAggCCAIQAgMCqnNxAH4AAAAAAAJzcQB+AAT///////////////7////+/////3VxAH4ABwAAAAQDq4uteHh3RQIeAAKQAgICQQIEAgUCBgIHAggCCQI7AgsCDAINAggCCAIIAggCCAIIAggCCAIIAggCCAIIAggCCAIIAggCCAIQAgMCq3NxAH4AAAAAAAJzcQB+AAT///////////////7////+/////3VxAH4ABwAAAARdV1DJeHh3RQIeAAKQAgICMQIEAgUCBgIHAggCCQI7AgsCDAINAggCCAIIAggCCAIIAggCCAIIAggCCAIIAggCCAIIAggCCAIQAgMCrHNxAH4AAAAAAAJzcQB+AAT///////////////7////+/////3VxAH4ABwAAAARCNLx8eHh3igIeAAKQAgIClAIEAgUCBgIHAggCCQKRAgsCDAINAggCCAIIAggCCAIIAggCCAIIAggCCAIIAggCCAIIAggCCAIQAgMCQAIeAAKQAgICRQIEAgUCBgIHAggCCQIKAgsCDAINAggCCAIIAggCCAIIAggCCAIIAggCCAIIAggCCAIIAggCCAIQAgMCrXNxAH4AAAAAAAJzcQB+AAT///////////////7////+/////3VxAH4ABwAAAAQCG6dueHh3RQIeAAKQAgICMwIEAgUCBgIHAggCCQKRAgsCDAINAggCCAIIAggCCAIIAggCCAIIAggCCAIIAggCCAIIAggCCAIQAgMCrnNxAH4AAAAAAAJzcQB+AAT///////////////7////+/////3VxAH4ABwAAAAMEQ3p4eHeKAh4AApACAgInAgQCBQIGAgcCCAIJAgoCCwIMAg0CCAIIAggCCAIIAggCCAIIAggCCAIIAggCCAIIAggCCAIIAhACAwIoAh4AApACAgJwAgQCBQIGAgcCCAIJApECCwIMAg0CCAIIAggCCAIIAggCCAIIAggCCAIIAggCCAIIAggCCAIIAhACAwKvc3EAfgAAAAAAAnNxAH4ABP///////////////v////7/////dXEAfgAHAAAAAwuCrXh4d0UCHgACkAICAkkCBAIFAgYCBwIIAgkCkQILAgwCDQIIAggCCAIIAggCCAIIAggCCAIIAggCCAIIAggCCAIIAggCEAIDArBzcQB+AAAAAAACc3EAfgAE///////////////+/////v////91cQB+AAcAAAADEhXLeHh3RQIeAAKQAgICNQIEAgUCBgIHAggCCQI7AgsCDAINAggCCAIIAggCCAIIAggCCAIIAggCCAIIAggCCAIIAggCCAIQAgMCsXNxAH4AAAAAAAJzcQB+AAT///////////////7////+/////3VxAH4ABwAAAARacNl3eHh3RQIeAAKQAgICTwIEAgUCBgIHAggCCQI7AgsCDAINAggCCAIIAggCCAIIAggCCAIIAggCCAIIAggCCAIIAggCCAIQAgMCsnNxAH4AAAAAAAJzcQB+AAT///////////////7////+/////3VxAH4ABwAAAAQ9+1bieHh3RQIeAAKQAgICHwIEAgUCBgIHAggCCQI7AgsCDAINAggCCAIIAggCCAIIAggCCAIIAggCCAIIAggCCAIIAggCCAIQAgMCs3NxAH4AAAAAAAJzcQB+AAT///////////////7////+/////3VxAH4ABwAAAARe1GL4eHh3RQIeAAKQAgICagIEAgUCBgIHAggCCQI7AgsCDAINAggCCAIIAggCCAIIAggCCAIIAggCCAIIAggCCAIIAggCCAIQAgMCtHNxAH4AAAAAAAJzcQB+AAT///////////////7////+/////3VxAH4ABwAAAARUiEubeHh3RQIeAAKQAgICQQIEAgUCBgIHAggCCQIKAgsCDAINAggCCAIIAggCCAIIAggCCAIIAggCCAIIAggCCAIIAggCCAIQAgMCtXNxAH4AAAAAAAJzcQB+AAT///////////////7////+/////3VxAH4ABwAAAAQCvT+keHh3zwIeAAKQAgICAwIEAgUCBgIHAggCCQKRAgsCDAINAggCCAIIAggCCAIIAggCCAIIAggCCAIIAggCCAIIAggCCAIQAgMCQAIeAAKQAgICGwIEAgUCBgIHAggCCQIKAgsCDAINAggCCAIIAggCCAIIAggCCAIIAggCCAIIAggCCAIIAggCCAIQAgMCHAIeAAKQAgICZQIEAgUCBgIHAggCCQKRAgsCDAINAggCCAIIAggCCAIIAggCCAIIAggCCAIIAggCCAIIAggCCAIQAgMCtnNxAH4AAAAAAAJzcQB+AAT///////////////7////+/////3VxAH4ABwAAAAMMxv54eHdFAh4AApACAgJiAgQCBQIGAgcCCAIJApECCwIMAg0CCAIIAggCCAIIAggCCAIIAggCCAIIAggCCAIIAggCCAIIAhACAwK3c3EAfgAAAAAAAnNxAH4ABP///////////////v////7/////dXEAfgAHAAAAAwU/r3h4d4oCHgACkAICAh0CBAIFAgYCBwIIAgkCCgILAgwCDQIIAggCCAIIAggCCAIIAggCCAIIAggCCAIIAggCCAIIAggCEAIDAh4CHgACkAICAicCBAIFAgYCBwIIAgkCkQILAgwCDQIIAggCCAIIAggCCAIIAggCCAIIAggCCAIIAggCCAIIAggCEAIDArhzcQB+AAAAAAACc3EAfgAE///////////////+/////v////91cQB+AAcAAAADBFYreHh3RQIeAAKQAgICMwIEAgUCBgIHAggCCQI7AgsCDAINAggCCAIIAggCCAIIAggCCAIIAggCCAIIAggCCAIIAggCCAIQAgMCuXNxAH4AAAAAAAJzcQB+AAT///////////////7////+/////3VxAH4ABwAAAARYCwcseHh3RQIeAAKQAgICcAIEAgUCBgIHAggCCQI7AgsCDAINAggCCAIIAggCCAIIAggCCAIIAggCCAIIAggCCAIIAggCCAIQAgMCunNxAH4AAAAAAAJzcQB+AAT///////////////7////+/////3VxAH4ABwAAAARMKwuAeHh3zwIeAAKQAgICMQIEAgUCBgIHAggCCQKRAgsCDAINAggCCAIIAggCCAIIAggCCAIIAggCCAIIAggCCAIIAggCCAIQAgMCQAIeAAKQAgICKQIEAgUCBgIHAggCCQIKAgsCDAINAggCCAIIAggCCAIIAggCCAIIAggCCAIIAggCCAIIAggCCAIQAgMCKgIeAAKQAgICXAIEAgUCBgIHAggCCQKRAgsCDAINAggCCAIIAggCCAIIAggCCAIIAggCCAIIAggCCAIIAggCCAIQAgMCu3NxAH4AAAAAAAJzcQB+AAT///////////////7////+/////3VxAH4ABwAAAAMGaCt4eHdFAh4AApACAgJPAgQCBQIGAgcCCAIJApECCwIMAg0CCAIIAggCCAIIAggCCAIIAggCCAIIAggCCAIIAggCCAIIAhACAwK8c3EAfgAAAAAAAnNxAH4ABP///////////////v////7/////dXEAfgAHAAAAAw6D3Xh4d0UCHgACkAICAm0CBAIFAgYCBwIIAgkCOwILAgwCDQIIAggCCAIIAggCCAIIAggCCAIIAggCCAIIAggCCAIIAggCEAIDAr1zcQB+AAAAAAACc3EAfgAE///////////////+/////v////91cQB+AAcAAAAEKKPaWXh4d0UCHgACkAICAjUCBAIFAgYCBwIIAgkCkQILAgwCDQIIAggCCAIIAggCCAIIAggCCAIIAggCCAIIAggCCAIIAggCEAIDAr5zcQB+AAAAAAACc3EAfgAE///////////////+/////v////91cQB+AAcAAAADBHSNeHh3RQIeAAKQAgICWAIEAgUCBgIHAggCCQIKAgsCDAINAggCCAIIAggCCAIIAggCCAIIAggCCAIIAggCCAIIAggCCAIQAgMCv3NxAH4AAAAAAAJzcQB+AAT///////////////7////+/////3VxAH4ABwAAAAQDNpKZeHh3RQIeAAKQAgICHwIEAgUCBgIHAggCCQKRAgsCDAINAggCCAIIAggCCAIIAggCCAIIAggCCAIIAggCCAIIAggCCAIQAgMCwHNxAH4AAAAAAAJzcQB+AAT///////////////7////+/////3VxAH4ABwAAAAMENDh4eHdFAh4AApACAgJqAgQCBQIGAgcCCAIJApECCwIMAg0CCAIIAggCCAIIAggCCAIIAggCCAIIAggCCAIIAggCCAIIAhACAwLBc3EAfgAAAAAAAnNxAH4ABP///////////////v////7/////dXEAfgAHAAAAAwqAVHh4d0UCHgACkAICAhsCBAIFAgYCBwIIAgkCOwILAgwCDQIIAggCCAIIAggCCAIIAggCCAIIAggCCAIIAggCCAIIAggCEAIDAsJzcQB+AAAAAAACc3EAfgAE///////////////+/////v////91cQB+AAcAAAAETu7o2nh4d0UCHgACkAICAm0CBAIFAgYCBwIIAgkCkQILAgwCDQIIAggCCAIIAggCCAIIAggCCAIIAggCCAIIAggCCAIIAggCEAIDAsNzcQB+AAAAAAACc3EAfgAE///////////////+/////v////91cQB+AAcAAAADBtyTeHh3RQIeAAKQAgICJwIEAgUCBgIHAggCCQI7AgsCDAINAggCCAIIAggCCAIIAggCCAIIAggCCAIIAggCCAIIAggCCAIQAgMCxHNxAH4AAAAAAAJzcQB+AAT///////////////7////+/////3VxAH4ABwAAAARZ/eXyeHh3RQIeAAKQAgICZQIEAgUCBgIHAggCCQI7AgsCDAINAggCCAIIAggCCAIIAggCCAIIAggCCAIIAggCCAIIAggCCAIQAgMCxXNxAH4AAAAAAAJzcQB+AAT///////////////7////+/////3VxAH4ABwAAAARIcHiveHh3RQIeAAKQAgICLwIEAgUCBgIHAggCCQKRAgsCDAINAggCCAIIAggCCAIIAggCCAIIAggCCAIIAggCCAIIAggCCAIQAgMCxnNxAH4AAAAAAAJzcQB+AAT///////////////7////+/////3VxAH4ABwAAAAMD3Kt4eHeKAh4AApACAgIxAgQCBQIGAgcCCAIJAgoCCwIMAg0CCAIIAggCCAIIAggCCAIIAggCCAIIAggCCAIIAggCCAIIAhACAwIyAh4AApACAgJcAgQCBQIGAgcCCAIJAgoCCwIMAg0CCAIIAggCCAIIAggCCAIIAggCCAIIAggCCAIIAggCCAIIAhACAwLHc3EAfgAAAAAAAnNxAH4ABP///////////////v////7/////dXEAfgAHAAAABExDDhV4eHfPAh4AApACAgItAgQCBQIGAgcCCAIJAgoCCwIMAg0CCAIIAggCCAIIAggCCAIIAggCCAIIAggCCAIIAggCCAIIAhACAwIuAh4AApACAgIrAgQCBQIGAgcCCAIJAgoCCwIMAg0CCAIIAggCCAIIAggCCAIIAggCCAIIAggCCAIIAggCCAIIAhACAwIsAh4AApACAgJFAgQCBQIGAgcCCAIJApECCwIMAg0CCAIIAggCCAIIAggCCAIIAggCCAIIAggCCAIIAggCCAIIAhACAwLIc3EAfgAAAAAAAnNxAH4ABP///////////////v////7/////dXEAfgAHAAAAAweN1Hh4d4oCHgACkAICAjMCBAIFAgYCBwIIAgkCCgILAgwCDQIIAggCCAIIAggCCAIIAggCCAIIAggCCAIIAggCCAIIAggCEAIDAjQCHgACkAICAnACBAIFAgYCBwIIAgkCCgILAgwCDQIIAggCCAIIAggCCAIIAggCCAIIAggCCAIIAggCCAIIAggCEAIDAslzcQB+AAAAAAACc3EAfgAE///////////////+/////v////91cQB+AAcAAAAEBDaJ43h4d0UCHgACkAICAiECBAIFAgYCBwIIAgkCkQILAgwCDQIIAggCCAIIAggCCAIIAggCCAIIAggCCAIIAggCCAIIAggCEAIDAspzcQB+AAAAAAACc3EAfgAE///////////////+/////v////91cQB+AAcAAAADBPtoeHh3RQIeAAKQAgICAwIEAgUCBgIHAggCCQI7AgsCDAINAggCCAIIAggCCAIIAggCCAIIAggCCAIIAggCCAIIAggCCAIQAgMCy3NxAH4AAAAAAAJzcQB+AAT///////////////7////+/////3VxAH4ABwAAAAQw0KqzeHh3RQIeAAKQAgICYgIEAgUCBgIHAggCCQI7AgsCDAINAggCCAIIAggCCAIIAggCCAIIAggCCAIIAggCCAIIAggCCAIQAgMCzHNxAH4AAAAAAAJzcQB+AAT///////////////7////+/////3VxAH4ABwAAAARijcsWeHh3RQIeAAKQAgICKQIEAgUCBgIHAggCCQI7AgsCDAINAggCCAIIAggCCAIIAggCCAIIAggCCAIIAggCCAIIAggCCAIQAgMCzXNxAH4AAAAAAAJzcQB+AAT///////////////7////+/////3VxAH4ABwAAAARlMUGreHh3RQIeAAKQAgICWAIEAgUCBgIHAggCCQI7AgsCDAINAggCCAIIAggCCAIIAggCCAIIAggCCAIIAggCCAIIAggCCAIQAgMCznNxAH4AAAAAAAJzcQB+AAT///////////////7////+/////3VxAH4ABwAAAARaL7WteHh6AAAEAAIeAAKQAgICIwIEAgUCBgIHAggCCQKRAgsCDAINAggCCAIIAggCCAIIAggCCAIIAggCCAIIAggCCAIIAggCCAIQAgMCQAIeAALPAAk1NTc0OTgzODQCAgIlAgQCBQIGAgcCCAIJAgoCCwI4Ag0CCAIIAggCCAIIAggCCAIIAggCCAIIAggCCAIIAggCCAIIAiICAwJEAh4AAs8CAgIxAgQCBQIGAgcCCAIJAgoCCwI4Ag0CCAIIAggCCAIIAggCCAIIAggCCAIIAggCCAIIAggCCAIIAiICAwJXAh4AAs8CAgIrAgQCBQIGAgcCCAIJAgoCCwI4Ag0CCAIIAggCCAIIAggCCAIIAggCCAIIAggCCAIIAggCCAIIAiICAwJhAh4AAs8CAgIzAgQCBQIGAgcCCAIJAgoCCwI4Ag0CCAIIAggCCAIIAggCCAIIAggCCAIIAggCCAIIAggCCAIIAiICAwJvAh4AAs8CAgIDAgQCBQIGAgcCCAIJAgoCCwI4Ag0CCAIIAggCCAIIAggCCAIIAggCCAIIAggCCAIIAggCCAIIAiICAwKGAh4AAs8CAgIpAgQCBQIGAgcCCAIJAgoCCwI4Ag0CCAIIAggCCAIIAggCCAIIAggCCAIIAggCCAIIAggCCAIIAiICAwKHAh4AAs8CAgIjAgQCBQIGAgcCCAIJAgoCCwI4Ag0CCAIIAggCCAIIAggCCAIIAggCCAIIAggCCAIIAggCCAIIAiICAwI5Ah4AAs8CAgIbAgQCBQIGAgcCCAIJAgoCCwI4Ag0CCAIIAggCCAIIAggCCAIIAggCCAIIAggCCAIIAggCCAIIAiICAwKIAh4AAs8CAgIhAgQCBQIGAgcCCAIJAgoCCwI4Ag0CCAIIAggCCAIIAggCCAIIAggCCAIIAggCCAIIAggCCAIIAiICAwI6Ah4AAs8CAgI1AgQCBQIGAgcCCAIJAgoCCwI4Ag0CCAIIAggCCAIIAggCCAIIAggCCAIIAggCCAIIAggCCAIIAiICAwJUAh4AAs8CAgIdAgQCBQIGAgcCCAIJAgoCCwI4Ag0CCAIIAggCCAIIAggCCAIIAggCCAIIAggCCAIIAggCCAIIAiICAwJOAh4AAs8CAgIvAgQCBQIGAgcCCAIJAgoCCwI4Ag0CCAIIAggCCAIIAggCCAIIAggCCAIIAggCCAIIAggCCAIIAiICAwJLAh4AAs8CAgIfAgQCBQIGAgcCCAIJAgoCCwI4Ag0CCAIIAggCCAIIAggCCAIIAggCCAIIAggCCAIIAggCCAIIAiICAwJ6Ah4AAs8CAgInAgQCBQIGAgcCCAIJAgoCCwI4Ag0CCAIIAggCCAIIAggCCAIIAgh6AAAEAAIIAggCCAIIAggCCAIIAggCIgIDAo8CHgACzwICAi0CBAIFAgYCBwIIAgkCCgILAjgCDQIIAggCCAIIAggCCAIIAggCCAIIAggCCAIIAggCCAIIAggCIgIDAmACHgAC0AAJNTY5NjEzNjU2AgICJQIEAgUCBgIHAggCCQIKAgsCDAINAggCCAIIAggCCAIIAggCCAIIAggCCAIIAggCCAIIAggCCAISAgMCJgIeAALQAgICWAIEAgUCBgIHAggCCQKRAgsCDAINAggCCAIIAggCCAIIAggCCAIIAggCCAIIAggCCAIIAggCCAISAgMCnwIeAALQAgICKQIEAgUCBgIHAggCCQKRAgsCDAINAggCCAIIAggCCAIIAggCCAIIAggCCAIIAggCCAIIAggCCAISAgMCmwIeAALQAgICIQIEAgUCBgIHAggCCQI7AgsCDAINAggCCAIIAggCCAIIAggCCAIIAggCCAIIAggCCAIIAggCCAISAgMCoQIeAALQAgICRQIEAgUCBgIHAggCCQI7AgsCDAINAggCCAIIAggCCAIIAggCCAIIAggCCAIIAggCCAIIAggCCAISAgMCogIeAALQAgICIwIEAgUCBgIHAggCCQI7AgsCDAINAggCCAIIAggCCAIIAggCCAIIAggCCAIIAggCCAIIAggCCAISAgMCoAIeAALQAgICNQIEAgUCBgIHAggCCQIKAgsCDAINAggCCAIIAggCCAIIAggCCAIIAggCCAIIAggCCAIIAggCCAISAgMCNgIeAALQAgICQQIEAgUCBgIHAggCCQKRAgsCDAINAggCCAIIAggCCAIIAggCCAIIAggCCAIIAggCCAIIAggCCAISAgMCkwIeAALQAgICTwIEAgUCBgIHAggCCQIKAgsCDAINAggCCAIIAggCCAIIAggCCAIIAggCCAIIAggCCAIIAggCCAISAgMCowIeAALQAgICHwIEAgUCBgIHAggCCQKRAgsCDAINAggCCAIIAggCCAIIAggCCAIIAggCCAIIAggCCAIIAggCCAISAgMCwAIeAALQAgICGwIEAgUCBgIHAggCCQKRAgsCDAINAggCCAIIAggCCAIIAggCCAIIAggCCAIIAggCCAIIAggCCAISAgMCQAIeAALQAgICGwIEAgUCBgIHAggCCQI7AgsCDAINAggCCAIIAggCCAIIAggCCAIIAggCCAIIAggCCAIIAggCCAISAgMCwgIeAALQAgICIQIEAgUCBgIHAggCCQIKAgsCDAINAggCCAIIAggCCAIIAggCCAIIAggCCAIIAggCCAIIAggCCAISAgMCIgIeAALQAgICagIEAgUCBgIHAggCCQKRAgt6AAAEAAIMAg0CCAIIAggCCAIIAggCCAIIAggCCAIIAggCCAIIAggCCAIIAhICAwLBAh4AAtACAgIjAgQCBQIGAgcCCAIJAgoCCwIMAg0CCAIIAggCCAIIAggCCAIIAggCCAIIAggCCAIIAggCCAIIAhICAwIkAh4AAtACAgJBAgQCBQIGAgcCCAIJAjsCCwIMAg0CCAIIAggCCAIIAggCCAIIAggCCAIIAggCCAIIAggCCAIIAhICAwKrAh4AAtACAgItAgQCBQIGAgcCCAIJAjsCCwIMAg0CCAIIAggCCAIIAggCCAIIAggCCAIIAggCCAIIAggCCAIIAhICAwKeAh4AAtACAgIvAgQCBQIGAgcCCAIJAgoCCwIMAg0CCAIIAggCCAIIAggCCAIIAggCCAIIAggCCAIIAggCCAIIAhICAwIwAh4AAtACAgIdAgQCBQIGAgcCCAIJAjsCCwIMAg0CCAIIAggCCAIIAggCCAIIAggCCAIIAggCCAIIAggCCAIIAhICAwKoAh4AAtACAgIrAgQCBQIGAgcCCAIJAjsCCwIMAg0CCAIIAggCCAIIAggCCAIIAggCCAIIAggCCAIIAggCCAIIAhICAwKpAh4AAtACAgJJAgQCBQIGAgcCCAIJAgoCCwIMAg0CCAIIAggCCAIIAggCCAIIAggCCAIIAggCCAIIAggCCAIIAhICAwKcAh4AAtACAgIxAgQCBQIGAgcCCAIJAgoCCwIMAg0CCAIIAggCCAIIAggCCAIIAggCCAIIAggCCAIIAggCCAIIAhICAwIyAh4AAtACAgJcAgQCBQIGAgcCCAIJAgoCCwIMAg0CCAIIAggCCAIIAggCCAIIAggCCAIIAggCCAIIAggCCAIIAhICAwLHAh4AAtACAgIrAgQCBQIGAgcCCAIJAgoCCwIMAg0CCAIIAggCCAIIAggCCAIIAggCCAIIAggCCAIIAggCCAIIAhICAwIsAh4AAtACAgJYAgQCBQIGAgcCCAIJAjsCCwIMAg0CCAIIAggCCAIIAggCCAIIAggCCAIIAggCCAIIAggCCAIIAhICAwLOAh4AAtACAgItAgQCBQIGAgcCCAIJAgoCCwIMAg0CCAIIAggCCAIIAggCCAIIAggCCAIIAggCCAIIAggCCAIIAhICAwIuAh4AAtACAgIjAgQCBQIGAgcCCAIJApECCwIMAg0CCAIIAggCCAIIAggCCAIIAggCCAIIAggCCAIIAggCCAIIAhICAwJAAh4AAtACAgIzAgQCBQIGAgcCCAIJAgoCCwIMAg0CCAIIAggCCAIIAggCCAIIAggCCAIIAggCCAIIAggCCAIIAhICAwI0Ah4AAtACAgIDAgQCBQJ6AAAEAAYCBwIIAgkCOwILAgwCDQIIAggCCAIIAggCCAIIAggCCAIIAggCCAIIAggCCAIIAggCEgIDAssCHgAC0AICAikCBAIFAgYCBwIIAgkCOwILAgwCDQIIAggCCAIIAggCCAIIAggCCAIIAggCCAIIAggCCAIIAggCEgIDAs0CHgAC0AICAnACBAIFAgYCBwIIAgkCCgILAgwCDQIIAggCCAIIAggCCAIIAggCCAIIAggCCAIIAggCCAIIAggCEgIDAskCHgAC0AICAh0CBAIFAgYCBwIIAgkCCgILAgwCDQIIAggCCAIIAggCCAIIAggCCAIIAggCCAIIAggCCAIIAggCEgIDAh4CHgAC0AICAmUCBAIFAgYCBwIIAgkCkQILAgwCDQIIAggCCAIIAggCCAIIAggCCAIIAggCCAIIAggCCAIIAggCEgIDArYCHgAC0AICAicCBAIFAgYCBwIIAgkCkQILAgwCDQIIAggCCAIIAggCCAIIAggCCAIIAggCCAIIAggCCAIIAggCEgIDArgCHgAC0AICAmICBAIFAgYCBwIIAgkCOwILAgwCDQIIAggCCAIIAggCCAIIAggCCAIIAggCCAIIAggCCAIIAggCEgIDAswCHgAC0AICAiECBAIFAgYCBwIIAgkCkQILAgwCDQIIAggCCAIIAggCCAIIAggCCAIIAggCCAIIAggCCAIIAggCEgIDAsoCHgAC0AICAkkCBAIFAgYCBwIIAgkCOwILAgwCDQIIAggCCAIIAggCCAIIAggCCAIIAggCCAIIAggCCAIIAggCEgIDApcCHgAC0AICAkUCBAIFAgYCBwIIAgkCkQILAgwCDQIIAggCCAIIAggCCAIIAggCCAIIAggCCAIIAggCCAIIAggCEgIDAsgCHgAC0AICAm0CBAIFAgYCBwIIAgkCkQILAgwCDQIIAggCCAIIAggCCAIIAggCCAIIAggCCAIIAggCCAIIAggCEgIDAsMCHgAC0AICAiUCBAIFAgYCBwIIAgkCOwILAgwCDQIIAggCCAIIAggCCAIIAggCCAIIAggCCAIIAggCCAIIAggCEgIDApYCHgAC0AICAkECBAIFAgYCBwIIAgkCCgILAgwCDQIIAggCCAIIAggCCAIIAggCCAIIAggCCAIIAggCCAIIAggCEgIDArUCHgAC0AICAjMCBAIFAgYCBwIIAgkCOwILAgwCDQIIAggCCAIIAggCCAIIAggCCAIIAggCCAIIAggCCAIIAggCEgIDArkCHgAC0AICAnACBAIFAgYCBwIIAgkCOwILAgwCDQIIAggCCAIIAggCCAIIAggCCAIIAggCCAIIAggCCAIIAggCEgIDAroCHgB6AAAEAALQAgICKQIEAgUCBgIHAggCCQIKAgsCDAINAggCCAIIAggCCAIIAggCCAIIAggCCAIIAggCCAIIAggCCAISAgMCKgIeAALQAgICNQIEAgUCBgIHAggCCQKRAgsCDAINAggCCAIIAggCCAIIAggCCAIIAggCCAIIAggCCAIIAggCCAISAgMCvgIeAALQAgICLwIEAgUCBgIHAggCCQKRAgsCDAINAggCCAIIAggCCAIIAggCCAIIAggCCAIIAggCCAIIAggCCAISAgMCxgIeAALQAgICSQIEAgUCBgIHAggCCQKRAgsCDAINAggCCAIIAggCCAIIAggCCAIIAggCCAIIAggCCAIIAggCCAISAgMCsAIeAALQAgICbQIEAgUCBgIHAggCCQI7AgsCDAINAggCCAIIAggCCAIIAggCCAIIAggCCAIIAggCCAIIAggCCAISAgMCvQIeAALQAgICWAIEAgUCBgIHAggCCQIKAgsCDAINAggCCAIIAggCCAIIAggCCAIIAggCCAIIAggCCAIIAggCCAISAgMCvwIeAALQAgICZQIEAgUCBgIHAggCCQI7AgsCDAINAggCCAIIAggCCAIIAggCCAIIAggCCAIIAggCCAIIAggCCAISAgMCxQIeAALQAgICYgIEAgUCBgIHAggCCQKRAgsCDAINAggCCAIIAggCCAIIAggCCAIIAggCCAIIAggCCAIIAggCCAISAgMCtwIeAALQAgICAwIEAgUCBgIHAggCCQKRAgsCDAINAggCCAIIAggCCAIIAggCCAIIAggCCAIIAggCCAIIAggCCAISAgMCQAIeAALQAgICJQIEAgUCBgIHAggCCQKRAgsCDAINAggCCAIIAggCCAIIAggCCAIIAggCCAIIAggCCAIIAggCCAISAgMCpwIeAALQAgICMQIEAgUCBgIHAggCCQI7AgsCDAINAggCCAIIAggCCAIIAggCCAIIAggCCAIIAggCCAIIAggCCAISAgMCrAIeAALQAgICXAIEAgUCBgIHAggCCQI7AgsCDAINAggCCAIIAggCCAIIAggCCAIIAggCCAIIAggCCAIIAggCCAISAgMCpgIeAALQAgICTwIEAgUCBgIHAggCCQKRAgsCDAINAggCCAIIAggCCAIIAggCCAIIAggCCAIIAggCCAIIAggCCAISAgMCvAIeAALQAgICHwIEAgUCBgIHAggCCQIKAgsCDAINAggCCAIIAggCCAIIAggCCAIIAggCCAIIAggCCAIIAggCCAISAgMCIAIeAALQAgICJwIEAgUCBgIHAggCCQI7AgsCDAINAggCCAIIAggCCAIIAggCCAIIAggCCAIIAggCCAIIAgh6AAAEAAIIAhICAwLEAh4AAtACAgJqAgQCBQIGAgcCCAIJAgoCCwIMAg0CCAIIAggCCAIIAggCCAIIAggCCAIIAggCCAIIAggCCAIIAhICAwKqAh4AAtACAgJwAgQCBQIGAgcCCAIJApECCwIMAg0CCAIIAggCCAIIAggCCAIIAggCCAIIAggCCAIIAggCCAIIAhICAwKvAh4AAtACAgIrAgQCBQIGAgcCCAIJApECCwIMAg0CCAIIAggCCAIIAggCCAIIAggCCAIIAggCCAIIAggCCAIIAhICAwKdAh4AAtACAgJPAgQCBQIGAgcCCAIJAjsCCwIMAg0CCAIIAggCCAIIAggCCAIIAggCCAIIAggCCAIIAggCCAIIAhICAwKyAh4AAtACAgIzAgQCBQIGAgcCCAIJApECCwIMAg0CCAIIAggCCAIIAggCCAIIAggCCAIIAggCCAIIAggCCAIIAhICAwKuAh4AAtACAgIxAgQCBQIGAgcCCAIJApECCwIMAg0CCAIIAggCCAIIAggCCAIIAggCCAIIAggCCAIIAggCCAIIAhICAwJAAh4AAtACAgJcAgQCBQIGAgcCCAIJApECCwIMAg0CCAIIAggCCAIIAggCCAIIAggCCAIIAggCCAIIAggCCAIIAhICAwK7Ah4AAtACAgI1AgQCBQIGAgcCCAIJAjsCCwIMAg0CCAIIAggCCAIIAggCCAIIAggCCAIIAggCCAIIAggCCAIIAhICAwKxAh4AAtACAgJiAgQCBQIGAgcCCAIJAgoCCwIMAg0CCAIIAggCCAIIAggCCAIIAggCCAIIAggCCAIIAggCCAIIAhICAwKkAh4AAtACAgJtAgQCBQIGAgcCCAIJAgoCCwIMAg0CCAIIAggCCAIIAggCCAIIAggCCAIIAggCCAIIAggCCAIIAhICAwKlAh4AAtACAgJFAgQCBQIGAgcCCAIJAgoCCwIMAg0CCAIIAggCCAIIAggCCAIIAggCCAIIAggCCAIIAggCCAIIAhICAwKtAh4AAtACAgIDAgQCBQIGAgcCCAIJAgoCCwIMAg0CCAIIAggCCAIIAggCCAIIAggCCAIIAggCCAIIAggCCAIIAhICAwIOAh4AAtACAgJqAgQCBQIGAgcCCAIJAjsCCwIMAg0CCAIIAggCCAIIAggCCAIIAggCCAIIAggCCAIIAggCCAIIAhICAwK0Ah4AAtACAgIdAgQCBQIGAgcCCAIJApECCwIMAg0CCAIIAggCCAIIAggCCAIIAggCCAIIAggCCAIIAggCCAIIAhICAwKSAh4AAtACAgIbAgQCBQIGAgcCCAIJAgoCCwIMAg0CCAIIAggCCAIIAggCCAIIAggCCAJ6AAAEAAgCCAIIAggCCAIIAggCEgIDAhwCHgAC0AICAicCBAIFAgYCBwIIAgkCCgILAgwCDQIIAggCCAIIAggCCAIIAggCCAIIAggCCAIIAggCCAIIAggCEgIDAigCHgAC0AICAi0CBAIFAgYCBwIIAgkCkQILAgwCDQIIAggCCAIIAggCCAIIAggCCAIIAggCCAIIAggCCAIIAggCEgIDAkACHgAC0AICAi8CBAIFAgYCBwIIAgkCOwILAgwCDQIIAggCCAIIAggCCAIIAggCCAIIAggCCAIIAggCCAIIAggCEgIDApkCHgAC0AICAh8CBAIFAgYCBwIIAgkCOwILAgwCDQIIAggCCAIIAggCCAIIAggCCAIIAggCCAIIAggCCAIIAggCEgIDArMCHgAC0AICAmUCBAIFAgYCBwIIAgkCCgILAgwCDQIIAggCCAIIAggCCAIIAggCCAIIAggCCAIIAggCCAIIAggCEgIDApgCHgAC0QAJNTY5NDgxNDg4AgICNQIEAgUCBgIHAggCCQI9AgsCOAINAggCCAIIAggCCAIIAggCCAIIAggCCAIIAggCCAIIAggCCAIVAgMCaQIeAALRAgICTwIEAgUCBgIHAggCCQI9AgsCOAINAggCCAIIAggCCAIIAggCCAIIAggCCAIIAggCCAIIAggCCAIVAgMCZAIeAALRAgICYgIEAgUCBgIHAggCCQI7AgsCOAINAggCCAIIAggCCAIIAggCCAIIAggCCAIIAggCCAIIAggCCAIVAgMCZwIeAALRAgICYgIEAgUCBgIHAggCCQI9AgsCOAINAggCCAIIAggCCAIIAggCCAIIAggCCAIIAggCCAIIAggCCAIVAgMCYwIeAALRAgICAwIEAgUCBgIHAggCCQI9AgsCOAINAggCCAIIAggCCAIIAggCCAIIAggCCAIIAggCCAIIAggCCAIVAgMCQAIeAALRAgICMwIEAgUCBgIHAggCCQIKAgsCOAINAggCCAIIAggCCAIIAggCCAIIAggCCAIIAggCCAIIAggCCAIVAgMCbwIeAALRAgICTwIEAgUCBgIHAggCCQI7AgsCOAINAggCCAIIAggCCAIIAggCCAIIAggCCAIIAggCCAIIAggCCAIVAgMCjgIeAALRAgICcAIEAgUCBgIHAggCCQIKAgsCOAINAggCCAIIAggCCAIIAggCCAIIAggCCAIIAggCCAIIAggCCAIVAgMCcQIeAALRAgICAwIEAgUCBgIHAggCCQI7AgsCOAINAggCCAIIAggCCAIIAggCCAIIAggCCAIIAggCCAIIAggCCAIVAgMCbAIeAALRAgICNQIEAgUCBgIHAggCCQI7AgsCOAJ6AAAEAA0CCAIIAggCCAIIAggCCAIIAggCCAIIAggCCAIIAggCCAIIAhUCAwKLAh4AAtECAgJtAgQCBQIGAgcCCAIJAgoCCwI4Ag0CCAIIAggCCAIIAggCCAIIAggCCAIIAggCCAIIAggCCAIIAhUCAwJuAh4AAtECAgJwAgQCBQIGAgcCCAIJAjsCCwI4Ag0CCAIIAggCCAIIAggCCAIIAggCCAIIAggCCAIIAggCCAIIAhUCAwJ1Ah4AAtECAgJcAgQCBQIGAgcCCAIJAj0CCwI4Ag0CCAIIAggCCAIIAggCCAIIAggCCAIIAggCCAIIAggCCAIIAhUCAwKJAh4AAtECAgJcAgQCBQIGAgcCCAIJAjsCCwI4Ag0CCAIIAggCCAIIAggCCAIIAggCCAIIAggCCAIIAggCCAIIAhUCAwJzAh4AAtECAgJlAgQCBQIGAgcCCAIJAj0CCwI4Ag0CCAIIAggCCAIIAggCCAIIAggCCAIIAggCCAIIAggCCAIIAhUCAwJ0Ah4AAtECAgIfAgQCBQIGAgcCCAIJAgoCCwI4Ag0CCAIIAggCCAIIAggCCAIIAggCCAIIAggCCAIIAggCCAIIAhUCAwJ6Ah4AAtECAgJqAgQCBQIGAgcCCAIJAgoCCwI4Ag0CCAIIAggCCAIIAggCCAIIAggCCAIIAggCCAIIAggCCAIIAhUCAwJrAh4AAtECAgJlAgQCBQIGAgcCCAIJAjsCCwI4Ag0CCAIIAggCCAIIAggCCAIIAggCCAIIAggCCAIIAggCCAIIAhUCAwJmAh4AAtECAgIxAgQCBQIGAgcCCAIJAjsCCwI4Ag0CCAIIAggCCAIIAggCCAIIAggCCAIIAggCCAIIAggCCAIIAhUCAwJ5Ah4AAtECAgIxAgQCBQIGAgcCCAIJAj0CCwI4Ag0CCAIIAggCCAIIAggCCAIIAggCCAIIAggCCAIIAggCCAIIAhUCAwJAAh4AAtECAgInAgQCBQIGAgcCCAIJAj0CCwI4Ag0CCAIIAggCCAIIAggCCAIIAggCCAIIAggCCAIIAggCCAIIAhUCAwJ2Ah4AAtECAgInAgQCBQIGAgcCCAIJAjsCCwI4Ag0CCAIIAggCCAIIAggCCAIIAggCCAIIAggCCAIIAggCCAIIAhUCAwJoAh4AAtECAgI1AgQCBQIGAgcCCAIJAgoCCwI4Ag0CCAIIAggCCAIIAggCCAIIAggCCAIIAggCCAIIAggCCAIIAhUCAwJUAh4AAtECAgIdAgQCBQIGAgcCCAIJAgoCCwI4Ag0CCAIIAggCCAIIAggCCAIIAggCCAIIAggCCAIIAggCCAIIAhUCAwJOAh4AAtECAgJwAgQCBQIGAgd6AAAEAAIIAgkCPQILAjgCDQIIAggCCAIIAggCCAIIAggCCAIIAggCCAIIAggCCAIIAggCFQIDAnsCHgAC0QICAjMCBAIFAgYCBwIIAgkCPQILAjgCDQIIAggCCAIIAggCCAIIAggCCAIIAggCCAIIAggCCAIIAggCFQIDAlECHgAC0QICAk8CBAIFAgYCBwIIAgkCCgILAjgCDQIIAggCCAIIAggCCAIIAggCCAIIAggCCAIIAggCCAIIAggCFQIDAlACHgAC0QICAjMCBAIFAgYCBwIIAgkCOwILAjgCDQIIAggCCAIIAggCCAIIAggCCAIIAggCCAIIAggCCAIIAggCFQIDAngCHgAC0QICAikCBAIFAgYCBwIIAgkCOwILAjgCDQIIAggCCAIIAggCCAIIAggCCAIIAggCCAIIAggCCAIIAggCFQIDAlsCHgAC0QICAkkCBAIFAgYCBwIIAgkCPQILAjgCDQIIAggCCAIIAggCCAIIAggCCAIIAggCCAIIAggCCAIIAggCFQIDAlYCHgAC0QICAjECBAIFAgYCBwIIAgkCCgILAjgCDQIIAggCCAIIAggCCAIIAggCCAIIAggCCAIIAggCCAIIAggCFQIDAlcCHgAC0QICAlgCBAIFAgYCBwIIAgkCOwILAjgCDQIIAggCCAIIAggCCAIIAggCCAIIAggCCAIIAggCCAIIAggCFQIDAlkCHgAC0QICAi0CBAIFAgYCBwIIAgkCCgILAjgCDQIIAggCCAIIAggCCAIIAggCCAIIAggCCAIIAggCCAIIAggCFQIDAmACHgAC0QICAisCBAIFAgYCBwIIAgkCCgILAjgCDQIIAggCCAIIAggCCAIIAggCCAIIAggCCAIIAggCCAIIAggCFQIDAmECHgAC0QICAkkCBAIFAgYCBwIIAgkCOwILAjgCDQIIAggCCAIIAggCCAIIAggCCAIIAggCCAIIAggCCAIIAggCFQIDAlMCHgAC0QICAkECBAIFAgYCBwIIAgkCCgILAjgCDQIIAggCCAIIAggCCAIIAggCCAIIAggCCAIIAggCCAIIAggCFQIDAlICHgAC0QICAiUCBAIFAgYCBwIIAgkCPQILAjgCDQIIAggCCAIIAggCCAIIAggCCAIIAggCCAIIAggCCAIIAggCFQIDAlUCHgAC0QICAiUCBAIFAgYCBwIIAgkCOwILAjgCDQIIAggCCAIIAggCCAIIAggCCAIIAggCCAIIAggCCAIIAggCFQIDAl4CHgAC0QICAlwCBAIFAgYCBwIIAgkCCgILAjgCDQIIAggCCAIIAggCCAIIAggCCAIIAggCCAIIAggCCAIIAggCFQIDAl0CHgAC0QJ6AAAEAAICGwIEAgUCBgIHAggCCQI7AgsCOAINAggCCAIIAggCCAIIAggCCAIIAggCCAIIAggCCAIIAggCCAIVAgMCPAIeAALRAgICIQIEAgUCBgIHAggCCQIKAgsCOAINAggCCAIIAggCCAIIAggCCAIIAggCCAIIAggCCAIIAggCCAIVAgMCOgIeAALRAgICQQIEAgUCBgIHAggCCQI7AgsCOAINAggCCAIIAggCCAIIAggCCAIIAggCCAIIAggCCAIIAggCCAIVAgMCQgIeAALRAgICQQIEAgUCBgIHAggCCQI9AgsCOAINAggCCAIIAggCCAIIAggCCAIIAggCCAIIAggCCAIIAggCCAIVAgMCQwIeAALRAgICGwIEAgUCBgIHAggCCQI9AgsCOAINAggCCAIIAggCCAIIAggCCAIIAggCCAIIAggCCAIIAggCCAIVAgMCQAIeAALRAgICKQIEAgUCBgIHAggCCQI9AgsCOAINAggCCAIIAggCCAIIAggCCAIIAggCCAIIAggCCAIIAggCCAIVAgMCWgIeAALRAgICWAIEAgUCBgIHAggCCQI9AgsCOAINAggCCAIIAggCCAIIAggCCAIIAggCCAIIAggCCAIIAggCCAIVAgMCXwIeAALRAgICRQIEAgUCBgIHAggCCQI7AgsCOAINAggCCAIIAggCCAIIAggCCAIIAggCCAIIAggCCAIIAggCCAIVAgMCTAIeAALRAgICRQIEAgUCBgIHAggCCQIKAgsCOAINAggCCAIIAggCCAIIAggCCAIIAggCCAIIAggCCAIIAggCCAIVAgMCigIeAALRAgICJQIEAgUCBgIHAggCCQIKAgsCOAINAggCCAIIAggCCAIIAggCCAIIAggCCAIIAggCCAIIAggCCAIVAgMCRAIeAALRAgICSQIEAgUCBgIHAggCCQIKAgsCOAINAggCCAIIAggCCAIIAggCCAIIAggCCAIIAggCCAIIAggCCAIVAgMCSgIeAALRAgICLQIEAgUCBgIHAggCCQI7AgsCOAINAggCCAIIAggCCAIIAggCCAIIAggCCAIIAggCCAIIAggCCAIVAgMCTQIeAALRAgICRQIEAgUCBgIHAggCCQI9AgsCOAINAggCCAIIAggCCAIIAggCCAIIAggCCAIIAggCCAIIAggCCAIVAgMCRgIeAALRAgICLQIEAgUCBgIHAggCCQI9AgsCOAINAggCCAIIAggCCAIIAggCCAIIAggCCAIIAggCCAIIAggCCAIVAgMCQAIeAALRAgICLwIEAgUCBgIHAggCCQIKAgsCOAINAggCCAIIAggCCAIIAggCCAIIAggCCAIIAggCCAIIAggCCAJ6AAAEABUCAwJLAh4AAtECAgIdAgQCBQIGAgcCCAIJAj0CCwI4Ag0CCAIIAggCCAIIAggCCAIIAggCCAIIAggCCAIIAggCCAIIAhUCAwI+Ah4AAtECAgIrAgQCBQIGAgcCCAIJAj0CCwI4Ag0CCAIIAggCCAIIAggCCAIIAggCCAIIAggCCAIIAggCCAIIAhUCAwJHAh4AAtECAgIdAgQCBQIGAgcCCAIJAjsCCwI4Ag0CCAIIAggCCAIIAggCCAIIAggCCAIIAggCCAIIAggCCAIIAhUCAwI/Ah4AAtECAgIrAgQCBQIGAgcCCAIJAjsCCwI4Ag0CCAIIAggCCAIIAggCCAIIAggCCAIIAggCCAIIAggCCAIIAhUCAwJIAh4AAtECAgJqAgQCBQIGAgcCCAIJAjsCCwI4Ag0CCAIIAggCCAIIAggCCAIIAggCCAIIAggCCAIIAggCCAIIAhUCAwJ/Ah4AAtECAgIbAgQCBQIGAgcCCAIJAgoCCwI4Ag0CCAIIAggCCAIIAggCCAIIAggCCAIIAggCCAIIAggCCAIIAhUCAwKIAh4AAtECAgJtAgQCBQIGAgcCCAIJAj0CCwI4Ag0CCAIIAggCCAIIAggCCAIIAggCCAIIAggCCAIIAggCCAIIAhUCAwJ+Ah4AAtECAgIpAgQCBQIGAgcCCAIJAgoCCwI4Ag0CCAIIAggCCAIIAggCCAIIAggCCAIIAggCCAIIAggCCAIIAhUCAwKHAh4AAtECAgJtAgQCBQIGAgcCCAIJAjsCCwI4Ag0CCAIIAggCCAIIAggCCAIIAggCCAIIAggCCAIIAggCCAIIAhUCAwJ8Ah4AAtECAgIDAgQCBQIGAgcCCAIJAgoCCwI4Ag0CCAIIAggCCAIIAggCCAIIAggCCAIIAggCCAIIAggCCAIIAhUCAwKGAh4AAtECAgIhAgQCBQIGAgcCCAIJAj0CCwI4Ag0CCAIIAggCCAIIAggCCAIIAggCCAIIAggCCAIIAggCCAIIAhUCAwKAAh4AAtECAgJYAgQCBQIGAgcCCAIJAgoCCwI4Ag0CCAIIAggCCAIIAggCCAIIAggCCAIIAggCCAIIAggCCAIIAhUCAwJ3Ah4AAtECAgIhAgQCBQIGAgcCCAIJAjsCCwI4Ag0CCAIIAggCCAIIAggCCAIIAggCCAIIAggCCAIIAggCCAIIAhUCAwKBAh4AAtECAgJiAgQCBQIGAgcCCAIJAgoCCwI4Ag0CCAIIAggCCAIIAggCCAIIAggCCAIIAggCCAIIAggCCAIIAhUCAwKCAh4AAtECAgInAgQCBQIGAgcCCAIJAgoCCwI4Ag0CCAIIAggCCAIIAggCCAIIAggCCAIIAgh6AAAEAAIIAggCCAIIAggCFQIDAo8CHgAC0QICAi8CBAIFAgYCBwIIAgkCPQILAjgCDQIIAggCCAIIAggCCAIIAggCCAIIAggCCAIIAggCCAIIAggCFQIDAnICHgAC0QICAh8CBAIFAgYCBwIIAgkCPQILAjgCDQIIAggCCAIIAggCCAIIAggCCAIIAggCCAIIAggCCAIIAggCFQIDAoMCHgAC0QICAmoCBAIFAgYCBwIIAgkCPQILAjgCDQIIAggCCAIIAggCCAIIAggCCAIIAggCCAIIAggCCAIIAggCFQIDAoQCHgAC0QICAmUCBAIFAgYCBwIIAgkCCgILAjgCDQIIAggCCAIIAggCCAIIAggCCAIIAggCCAIIAggCCAIIAggCFQIDAowCHgAC0QICAi8CBAIFAgYCBwIIAgkCOwILAjgCDQIIAggCCAIIAggCCAIIAggCCAIIAggCCAIIAggCCAIIAggCFQIDAo0CHgAC0QICAh8CBAIFAgYCBwIIAgkCOwILAjgCDQIIAggCCAIIAggCCAIIAggCCAIIAggCCAIIAggCCAIIAggCFQIDAn0CHgAC0gAJNDIwMTk5MDcyAgICTwIEAgUCBgIHAggCCQI9AgsCOAINAggCCAIIAggCCAIIAggCCAIIAggCCAIIAggCCAIIAggCCAACAwJkAh4AAtICAgI1AgQCBQIGAgcCCAIJAj0CCwI4Ag0CCAIIAggCCAIIAggCCAIIAggCCAIIAggCCAIIAggCCAIIAAIDAmkCHgAC0gICAm0CBAIFAgYCBwIIAgkCCgILAjgCDQIIAggCCAIIAggCCAIIAggCCAIIAggCCAIIAggCCAIIAggAAgMCbgIeAALSAgICAwIEAgUCBgIHAggCCQI7AgsCOAINAggCCAIIAggCCAIIAggCCAIIAggCCAIIAggCCAIIAggCCAACAwJsAh4AAtICAgJiAgQCBQIGAgcCCAIJAjsCCwI4Ag0CCAIIAggCCAIIAggCCAIIAggCCAIIAggCCAIIAggCCAIIAAIDAmcCHgAC0gICAmUCBAIFAgYCBwIIAgkCOwILAjgCDQIIAggCCAIIAggCCAIIAggCCAIIAggCCAIIAggCCAIIAggAAgMCZgIeAALSAgICAwIEAgUCBgIHAggCCQI9AgsCOAINAggCCAIIAggCCAIIAggCCAIIAggCCAIIAggCCAIIAggCCAACAwJAAh4AAtICAgIvAgQCBQIGAgcCCAIJAj0CCwI4Ag0CCAIIAggCCAIIAggCCAIIAggCCAIIAggCCAIIAggCCAIIAAIDAnICHgAC0gICAjUCBAIFAgYCBwIIAgkCOwILAjgCDQIIAggCCAIIAgh6AAAD1QIIAggCCAIIAggCCAIIAggCCAIIAggCCAACAwKLAh4AAtICAgJwAgQCBQIGAgcCCAIJAgoCCwI4Ag0CCAIIAggCCAIIAggCCAIIAggCCAIIAggCCAIIAggCCAIIAAIDAnECHgAC0gICAjMCBAIFAgYCBwIIAgkCCgILAjgCDQIIAggCCAIIAggCCAIIAggCCAIIAggCCAIIAggCCAIIAggAAgMCbwIeAALSAgICLwIEAgUCBgIHAggCCQI7AgsCOAINAggCCAIIAggCCAIIAggCCAIIAggCCAIIAggCCAIIAggCCAACAwKNAh4AAtICAgKUAgQCBQIGAgcCCAIJAj0CCwI4Ag0CCAIIAggCCAIIAggCCAIIAggCCAIIAggCCAIIAggCCAIIAAIDAkACHgAC0gICAkkCBAIFAgYCBwIIAgkCPQILAjgCDQIIAggCCAIIAggCCAIIAggCCAIIAggCCAIIAggCCAIIAggAAgMCVgIeAALSAgICZQIEAgUCBgIHAggCCQIKAgsCOAINAggCCAIIAggCCAIIAggCCAIIAggCCAIIAggCCAIIAggCCAACAwKMAh4AAtICAgJcAgQCBQIGAgcCCAIJAgoCCwI4Ag0CCAIIAggCCAIIAggCCAIIAggCCAIIAggCCAIIAggCCAIIAAIDAl0CHgAC0gICAiUCBAIFAgYCBwIIAgkCPQILAjgCDQIIAggCCAIIAggCCAIIAggCCAIIAggCCAIIAggCCAIIAggAAgMCVQIeAALSAgICTwIEAgUCBgIHAggCCQI7AgsCOAINAggCCAIIAggCCAIIAggCCAIIAggCCAIIAggCCAIIAggCCAACAwKOAh4AAtICAgIlAgQCBQIGAgcCCAIJAjsCCwI4Ag0CCAIIAggCCAIIAggCCAIIAggCCAIIAggCCAIIAggCCAIIAAIDAl4CHgAC0gICAmICBAIFAgYCBwIIAgkCPQILAjgCDQIIAggCCAIIAggCCAIIAggCCAIIAggCCAIIAggCCAIIAggAAgMCYwIeAALSAgICJwIEAgUCBgIHAggCCQIKAgsCOAINAggCCAIIAggCCAIIAggCCAIIAggCCAIIAggCCAIIAggCCAACAwKPAh4AAtICAgIxAgQCBQIGAgcCCAIJAgoCCwI4Ag0CCAIIAggCCAIIAggCCAIIAggCCAIIAggCCAIIAggCCAIIAAIDAlcCHgAC0gICApQCBAIFAgYCBwIIAgkCOwILAjgCDQIIAggCCAIIAggCCAIIAggCCAIIAggCCAIIAggCCAIIAggAAgMC03NxAH4AAAAAAAJzcQB+AAT///////////////7////+/////3VxAH4ABwAAAAQu9BT/eHh6AAAEAAIeAALSAgICTwIEAgUCBgIHAggCCQIKAgsCOAINAggCCAIIAggCCAIIAggCCAIIAggCCAIIAggCCAIIAggCCAACAwJQAh4AAtICAgIzAgQCBQIGAgcCCAIJAj0CCwI4Ag0CCAIIAggCCAIIAggCCAIIAggCCAIIAggCCAIIAggCCAIIAAIDAlECHgAC0gICAkECBAIFAgYCBwIIAgkCCgILAjgCDQIIAggCCAIIAggCCAIIAggCCAIIAggCCAIIAggCCAIIAggAAgMCUgIeAALSAgICSQIEAgUCBgIHAggCCQI7AgsCOAINAggCCAIIAggCCAIIAggCCAIIAggCCAIIAggCCAIIAggCCAACAwJTAh4AAtICAgJcAgQCBQIGAgcCCAIJAj0CCwI4Ag0CCAIIAggCCAIIAggCCAIIAggCCAIIAggCCAIIAggCCAIIAAIDAokCHgAC0gICAjUCBAIFAgYCBwIIAgkCCgILAjgCDQIIAggCCAIIAggCCAIIAggCCAIIAggCCAIIAggCCAIIAggAAgMCVAIeAALSAgICKwIEAgUCBgIHAggCCQI7AgsCOAINAggCCAIIAggCCAIIAggCCAIIAggCCAIIAggCCAIIAggCCAACAwJIAh4AAtICAgIzAgQCBQIGAgcCCAIJAjsCCwI4Ag0CCAIIAggCCAIIAggCCAIIAggCCAIIAggCCAIIAggCCAIIAAIDAngCHgAC0gICAlwCBAIFAgYCBwIIAgkCOwILAjgCDQIIAggCCAIIAggCCAIIAggCCAIIAggCCAIIAggCCAIIAggAAgMCcwIeAALSAgICMQIEAgUCBgIHAggCCQI7AgsCOAINAggCCAIIAggCCAIIAggCCAIIAggCCAIIAggCCAIIAggCCAACAwJ5Ah4AAtICAgJwAgQCBQIGAgcCCAIJAjsCCwI4Ag0CCAIIAggCCAIIAggCCAIIAggCCAIIAggCCAIIAggCCAIIAAIDAnUCHgAC0gICAisCBAIFAgYCBwIIAgkCPQILAjgCDQIIAggCCAIIAggCCAIIAggCCAIIAggCCAIIAggCCAIIAggAAgMCRwIeAALSAgICMQIEAgUCBgIHAggCCQI9AgsCOAINAggCCAIIAggCCAIIAggCCAIIAggCCAIIAggCCAIIAggCCAACAwJAAh4AAtICAgIfAgQCBQIGAgcCCAIJAgoCCwI4Ag0CCAIIAggCCAIIAggCCAIIAggCCAIIAggCCAIIAggCCAIIAAIDAnoCHgAC0gICAi8CBAIFAgYCBwIIAgkCCgILAjgCDQIIAggCCAIIAggCCAIIAggCCAIIAggCCAIIAggCCAIIAggAAgMCSwIeAAJ6AAAEANICAgJqAgQCBQIGAgcCCAIJAgoCCwI4Ag0CCAIIAggCCAIIAggCCAIIAggCCAIIAggCCAIIAggCCAIIAAIDAmsCHgAC0gICAi0CBAIFAgYCBwIIAgkCPQILAjgCDQIIAggCCAIIAggCCAIIAggCCAIIAggCCAIIAggCCAIIAggAAgMCQAIeAALSAgICcAIEAgUCBgIHAggCCQI9AgsCOAINAggCCAIIAggCCAIIAggCCAIIAggCCAIIAggCCAIIAggCCAACAwJ7Ah4AAtICAgItAgQCBQIGAgcCCAIJAjsCCwI4Ag0CCAIIAggCCAIIAggCCAIIAggCCAIIAggCCAIIAggCCAIIAAIDAk0CHgAC0gICAhsCBAIFAgYCBwIIAgkCOwILAjgCDQIIAggCCAIIAggCCAIIAggCCAIIAggCCAIIAggCCAIIAggAAgMCPAIeAALSAgICIwIEAgUCBgIHAggCCQIKAgsCOAINAggCCAIIAggCCAIIAggCCAIIAggCCAIIAggCCAIIAggCCAACAwI5Ah4AAtICAgIdAgQCBQIGAgcCCAIJAjsCCwI4Ag0CCAIIAggCCAIIAggCCAIIAggCCAIIAggCCAIIAggCCAIIAAIDAj8CHgAC0gICAkECBAIFAgYCBwIIAgkCOwILAjgCDQIIAggCCAIIAggCCAIIAggCCAIIAggCCAIIAggCCAIIAggAAgMCQgIeAALSAgICHQIEAgUCBgIHAggCCQI9AgsCOAINAggCCAIIAggCCAIIAggCCAIIAggCCAIIAggCCAIIAggCCAACAwI+Ah4AAtICAgIbAgQCBQIGAgcCCAIJAj0CCwI4Ag0CCAIIAggCCAIIAggCCAIIAggCCAIIAggCCAIIAggCCAIIAAIDAkACHgAC0gICAikCBAIFAgYCBwIIAgkCPQILAjgCDQIIAggCCAIIAggCCAIIAggCCAIIAggCCAIIAggCCAIIAggAAgMCWgIeAALSAgICQQIEAgUCBgIHAggCCQI9AgsCOAINAggCCAIIAggCCAIIAggCCAIIAggCCAIIAggCCAIIAggCCAACAwJDAh4AAtICAgIhAgQCBQIGAgcCCAIJAgoCCwI4Ag0CCAIIAggCCAIIAggCCAIIAggCCAIIAggCCAIIAggCCAIIAAIDAjoCHgAC0gICAikCBAIFAgYCBwIIAgkCOwILAjgCDQIIAggCCAIIAggCCAIIAggCCAIIAggCCAIIAggCCAIIAggAAgMCWwIeAALSAgICWAIEAgUCBgIHAggCCQI7AgsCOAINAggCCAIIAggCCAIIAggCCAIIAggCCAIIAggCCAIIAggCCAACAwJZAh4AAtICAgJ6AAAEAEUCBAIFAgYCBwIIAgkCCgILAjgCDQIIAggCCAIIAggCCAIIAggCCAIIAggCCAIIAggCCAIIAggAAgMCigIeAALSAgICHwIEAgUCBgIHAggCCQI9AgsCOAINAggCCAIIAggCCAIIAggCCAIIAggCCAIIAggCCAIIAggCCAACAwKDAh4AAtICAgJYAgQCBQIGAgcCCAIJAj0CCwI4Ag0CCAIIAggCCAIIAggCCAIIAggCCAIIAggCCAIIAggCCAIIAAIDAl8CHgAC0gICAi0CBAIFAgYCBwIIAgkCCgILAjgCDQIIAggCCAIIAggCCAIIAggCCAIIAggCCAIIAggCCAIIAggAAgMCYAIeAALSAgICHQIEAgUCBgIHAggCCQIKAgsCOAINAggCCAIIAggCCAIIAggCCAIIAggCCAIIAggCCAIIAggCCAACAwJOAh4AAtICAgIrAgQCBQIGAgcCCAIJAgoCCwI4Ag0CCAIIAggCCAIIAggCCAIIAggCCAIIAggCCAIIAggCCAIIAAIDAmECHgAC0gICAmoCBAIFAgYCBwIIAgkCOwILAjgCDQIIAggCCAIIAggCCAIIAggCCAIIAggCCAIIAggCCAIIAggAAgMCfwIeAALSAgICHwIEAgUCBgIHAggCCQI7AgsCOAINAggCCAIIAggCCAIIAggCCAIIAggCCAIIAggCCAIIAggCCAACAwJ9Ah4AAtICAgJtAgQCBQIGAgcCCAIJAj0CCwI4Ag0CCAIIAggCCAIIAggCCAIIAggCCAIIAggCCAIIAggCCAIIAAIDAn4CHgAC0gICAiECBAIFAgYCBwIIAgkCOwILAjgCDQIIAggCCAIIAggCCAIIAggCCAIIAggCCAIIAggCCAIIAggAAgMCgQIeAALSAgICIQIEAgUCBgIHAggCCQI9AgsCOAINAggCCAIIAggCCAIIAggCCAIIAggCCAIIAggCCAIIAggCCAACAwKAAh4AAtICAgJiAgQCBQIGAgcCCAIJAgoCCwI4Ag0CCAIIAggCCAIIAggCCAIIAggCCAIIAggCCAIIAggCCAIIAAIDAoICHgAC0gICAlgCBAIFAgYCBwIIAgkCCgILAjgCDQIIAggCCAIIAggCCAIIAggCCAIIAggCCAIIAggCCAIIAggAAgMCdwIeAALSAgICGwIEAgUCBgIHAggCCQIKAgsCOAINAggCCAIIAggCCAIIAggCCAIIAggCCAIIAggCCAIIAggCCAACAwKIAh4AAtICAgJqAgQCBQIGAgcCCAIJAj0CCwI4Ag0CCAIIAggCCAIIAggCCAIIAggCCAIIAggCCAIIAggCCAIIAAIDAoQCHgAC0gICAiMCBAJ6AAACWAUCBgIHAggCCQI9AgsCOAINAggCCAIIAggCCAIIAggCCAIIAggCCAIIAggCCAIIAggCCAACAwJAAh4AAtICAgIjAgQCBQIGAgcCCAIJAjsCCwI4Ag0CCAIIAggCCAIIAggCCAIIAggCCAIIAggCCAIIAggCCAIIAAIDAoUCHgAC0gICAgMCBAIFAgYCBwIIAgkCCgILAjgCDQIIAggCCAIIAggCCAIIAggCCAIIAggCCAIIAggCCAIIAggAAgMChgIeAALSAgICKQIEAgUCBgIHAggCCQIKAgsCOAINAggCCAIIAggCCAIIAggCCAIIAggCCAIIAggCCAIIAggCCAACAwKHAh4AAtICAgIlAgQCBQIGAgcCCAIJAgoCCwI4Ag0CCAIIAggCCAIIAggCCAIIAggCCAIIAggCCAIIAggCCAIIAAIDAkQCHgAC0gICAkkCBAIFAgYCBwIIAgkCCgILAjgCDQIIAggCCAIIAggCCAIIAggCCAIIAggCCAIIAggCCAIIAggAAgMCSgIeAALSAgICZQIEAgUCBgIHAggCCQI9AgsCOAINAggCCAIIAggCCAIIAggCCAIIAggCCAIIAggCCAIIAggCCAACAwJ0Ah4AAtICAgJFAgQCBQIGAgcCCAIJAj0CCwI4Ag0CCAIIAggCCAIIAggCCAIIAggCCAIIAggCCAIIAggCCAIIAAIDAkYCHgAC0gICApQCBAIFAgYCBwIIAgkCCgILAjgCDQIIAggCCAIIAggCCAIIAggCCAIIAggCCAIIAggCCAIIAggAAgMC1HNxAH4AAAAAAAJzcQB+AAT///////////////7////+/////3VxAH4ABwAAAAQBMmvPeHh6AAAEAAIeAALSAgICRQIEAgUCBgIHAggCCQI7AgsCOAINAggCCAIIAggCCAIIAggCCAIIAggCCAIIAggCCAIIAggCCAACAwJMAh4AAtICAgInAgQCBQIGAgcCCAIJAj0CCwI4Ag0CCAIIAggCCAIIAggCCAIIAggCCAIIAggCCAIIAggCCAIIAAIDAnYCHgAC0gICAicCBAIFAgYCBwIIAgkCOwILAjgCDQIIAggCCAIIAggCCAIIAggCCAIIAggCCAIIAggCCAIIAggAAgMCaAIeAALSAgICbQIEAgUCBgIHAggCCQI7AgsCOAINAggCCAIIAggCCAIIAggCCAIIAggCCAIIAggCCAIIAggCCAACAwJ8Ah4AAtUACTU1NzQ5NjA2NAICAhsCBAIFAgYCBwIIAgkCOwILAjgCDQIIAggCCAIIAggCCAIIAggCCAIIAggCCAIIAggCCAIIAggCIQIDAjwCHgAC1QICAh8CBAIFAgYCBwIIAgkCOwILAjgCDQIIAggCCAIIAggCCAIIAggCCAIIAggCCAIIAggCCAIIAggCIQIDAn0CHgAC1QICAgMCBAIFAgYCBwIIAgkCOwILAjgCDQIIAggCCAIIAggCCAIIAggCCAIIAggCCAIIAggCCAIIAggCIQIDAmwCHgAC1QICAiECBAIFAgYCBwIIAgkCOwILAjgCDQIIAggCCAIIAggCCAIIAggCCAIIAggCCAIIAggCCAIIAggCIQIDAoECHgAC1QICAicCBAIFAgYCBwIIAgkCOwILAjgCDQIIAggCCAIIAggCCAIIAggCCAIIAggCCAIIAggCCAIIAggCIQIDAmgCHgAC1QICAh0CBAIFAgYCBwIIAgkCOwILAjgCDQIIAggCCAIIAggCCAIIAggCCAIIAggCCAIIAggCCAIIAggCIQIDAj8CHgAC1QICAiUCBAIFAgYCBwIIAgkCOwILAjgCDQIIAggCCAIIAggCCAIIAggCCAIIAggCCAIIAggCCAIIAggCIQIDAl4CHgAC1QICAi0CBAIFAgYCBwIIAgkCOwILAjgCDQIIAggCCAIIAggCCAIIAggCCAIIAggCCAIIAggCCAIIAggCIQIDAk0CHgAC1QICAi8CBAIFAgYCBwIIAgkCOwILAjgCDQIIAggCCAIIAggCCAIIAggCCAIIAggCCAIIAggCCAIIAggCIQIDAo0CHgAC1QICAikCBAIFAgYCBwIIAgkCOwILAjgCDQIIAggCCAIIAggCCAIIAggCCAIIAggCCAIIAggCCAIIAggCIQIDAlsCHgAC1QICAjMCBAIFAgYCBwIIAgkCOwILAjgCDQIIAggCCAIIAggCCAIIAggCCAIIAgh6AAAEAAIIAggCCAIIAggCCAIhAgMCeAIeAALVAgICMQIEAgUCBgIHAggCCQI7AgsCOAINAggCCAIIAggCCAIIAggCCAIIAggCCAIIAggCCAIIAggCCAIhAgMCeQIeAALVAgICKwIEAgUCBgIHAggCCQI7AgsCOAINAggCCAIIAggCCAIIAggCCAIIAggCCAIIAggCCAIIAggCCAIhAgMCSAIeAALVAgICNQIEAgUCBgIHAggCCQI7AgsCOAINAggCCAIIAggCCAIIAggCCAIIAggCCAIIAggCCAIIAggCCAIhAgMCiwIeAALVAgICIwIEAgUCBgIHAggCCQI7AgsCOAINAggCCAIIAggCCAIIAggCCAIIAggCCAIIAggCCAIIAggCCAIhAgMChQIeAALWAAk2ODE0OTg4NjQCAgIfAgQCBQIGAgcCCAIJAgoCCwIMAg0CCAIIAggCCAIIAggCCAIIAggCCAIIAggCCAIIAggCCAIIAgECAwIgAh4AAtYCAgJJAgQCBQIGAgcCCAIJApECCwIMAg0CCAIIAggCCAIIAggCCAIIAggCCAIIAggCCAIIAggCCAIIAgECAwKwAh4AAtYCAgKUAgQCBQIGAgcCCAIJApECCwIMAg0CCAIIAggCCAIIAggCCAIIAggCCAIIAggCCAIIAggCCAIIAgECAwJAAh4AAtYCAgJlAgQCBQIGAgcCCAIJAjsCCwIMAg0CCAIIAggCCAIIAggCCAIIAggCCAIIAggCCAIIAggCCAIIAgECAwLFAh4AAtYCAgJcAgQCBQIGAgcCCAIJAjsCCwIMAg0CCAIIAggCCAIIAggCCAIIAggCCAIIAggCCAIIAggCCAIIAgECAwKmAh4AAtYCAgIlAgQCBQIGAgcCCAIJApECCwIMAg0CCAIIAggCCAIIAggCCAIIAggCCAIIAggCCAIIAggCCAIIAgECAwKnAh4AAtYCAgIvAgQCBQIGAgcCCAIJApECCwIMAg0CCAIIAggCCAIIAggCCAIIAggCCAIIAggCCAIIAggCCAIIAgECAwLGAh4AAtYCAgJwAgQCBQIGAgcCCAIJAjsCCwIMAg0CCAIIAggCCAIIAggCCAIIAggCCAIIAggCCAIIAggCCAIIAgECAwK6Ah4AAtYCAgJtAgQCBQIGAgcCCAIJAgoCCwIMAg0CCAIIAggCCAIIAggCCAIIAggCCAIIAggCCAIIAggCCAIIAgECAwKlAh4AAtYCAgIpAgQCBQIGAgcCCAIJAgoCCwIMAg0CCAIIAggCCAIIAggCCAIIAggCCAIIAggCCAIIAggCCAIIAgECAwIqAh4AAtYCAgJYAgQCBQIGAgcCCAIJAgoCCwIMAg16AAAEAAIIAggCCAIIAggCCAIIAggCCAIIAggCCAIIAggCCAIIAggCAQIDAr8CHgAC1gICAgMCBAIFAgYCBwIIAgkCOwILAgwCDQIIAggCCAIIAggCCAIIAggCCAIIAggCCAIIAggCCAIIAggCAQIDAssCHgAC1gICAjMCBAIFAgYCBwIIAgkCOwILAgwCDQIIAggCCAIIAggCCAIIAggCCAIIAggCCAIIAggCCAIIAggCAQIDArkCHgAC1gICAjMCBAIFAgYCBwIIAgkCCgILAgwCDQIIAggCCAIIAggCCAIIAggCCAIIAggCCAIIAggCCAIIAggCAQIDAjQCHgAC1gICAm0CBAIFAgYCBwIIAgkCOwILAgwCDQIIAggCCAIIAggCCAIIAggCCAIIAggCCAIIAggCCAIIAggCAQIDAr0CHgAC1gICAk8CBAIFAgYCBwIIAgkCkQILAgwCDQIIAggCCAIIAggCCAIIAggCCAIIAggCCAIIAggCCAIIAggCAQIDArwCHgAC1gICAgMCBAIFAgYCBwIIAgkCkQILAgwCDQIIAggCCAIIAggCCAIIAggCCAIIAggCCAIIAggCCAIIAggCAQIDAkACHgAC1gICAjUCBAIFAgYCBwIIAgkCkQILAgwCDQIIAggCCAIIAggCCAIIAggCCAIIAggCCAIIAggCCAIIAggCAQIDAr4CHgAC1gICAmICBAIFAgYCBwIIAgkCkQILAgwCDQIIAggCCAIIAggCCAIIAggCCAIIAggCCAIIAggCCAIIAggCAQIDArcCHgAC1gICAicCBAIFAgYCBwIIAgkCOwILAgwCDQIIAggCCAIIAggCCAIIAggCCAIIAggCCAIIAggCCAIIAggCAQIDAsQCHgAC1gICAjECBAIFAgYCBwIIAgkCOwILAgwCDQIIAggCCAIIAggCCAIIAggCCAIIAggCCAIIAggCCAIIAggCAQIDAqwCHgAC1gICAmoCBAIFAgYCBwIIAgkCCgILAgwCDQIIAggCCAIIAggCCAIIAggCCAIIAggCCAIIAggCCAIIAggCAQIDAqoCHgAC1gICApQCBAIFAgYCBwIIAgkCOwILAgwCDQIIAggCCAIIAggCCAIIAggCCAIIAggCCAIIAggCCAIIAggCAQIDApUCHgAC1gICAiUCBAIFAgYCBwIIAgkCOwILAgwCDQIIAggCCAIIAggCCAIIAggCCAIIAggCCAIIAggCCAIIAggCAQIDApYCHgAC1gICAkkCBAIFAgYCBwIIAgkCOwILAgwCDQIIAggCCAIIAggCCAIIAggCCAIIAggCCAIIAggCCAIIAggCAQIDApcCHgAC1gICAmUCBAIFAgYCBwJ6AAAEAAgCCQKRAgsCDAINAggCCAIIAggCCAIIAggCCAIIAggCCAIIAggCCAIIAggCCAIBAgMCtgIeAALWAgICRQIEAgUCBgIHAggCCQKRAgsCDAINAggCCAIIAggCCAIIAggCCAIIAggCCAIIAggCCAIIAggCCAIBAgMCyAIeAALWAgICWAIEAgUCBgIHAggCCQI7AgsCDAINAggCCAIIAggCCAIIAggCCAIIAggCCAIIAggCCAIIAggCCAIBAgMCzgIeAALWAgICJwIEAgUCBgIHAggCCQKRAgsCDAINAggCCAIIAggCCAIIAggCCAIIAggCCAIIAggCCAIIAggCCAIBAgMCuAIeAALWAgICGwIEAgUCBgIHAggCCQKRAgsCDAINAggCCAIIAggCCAIIAggCCAIIAggCCAIIAggCCAIIAggCCAIBAgMCQAIeAALWAgICTwIEAgUCBgIHAggCCQIKAgsCDAINAggCCAIIAggCCAIIAggCCAIIAggCCAIIAggCCAIIAggCCAIBAgMCowIeAALWAgICNQIEAgUCBgIHAggCCQIKAgsCDAINAggCCAIIAggCCAIIAggCCAIIAggCCAIIAggCCAIIAggCCAIBAgMCNgIeAALWAgICKQIEAgUCBgIHAggCCQI7AgsCDAINAggCCAIIAggCCAIIAggCCAIIAggCCAIIAggCCAIIAggCCAIBAgMCzQIeAALWAgICcAIEAgUCBgIHAggCCQIKAgsCDAINAggCCAIIAggCCAIIAggCCAIIAggCCAIIAggCCAIIAggCCAIBAgMCyQIeAALWAgICbQIEAgUCBgIHAggCCQKRAgsCDAINAggCCAIIAggCCAIIAggCCAIIAggCCAIIAggCCAIIAggCCAIBAgMCwwIeAALWAgICIwIEAgUCBgIHAggCCQKRAgsCDAINAggCCAIIAggCCAIIAggCCAIIAggCCAIIAggCCAIIAggCCAIBAgMCQAIeAALWAgICYgIEAgUCBgIHAggCCQI7AgsCDAINAggCCAIIAggCCAIIAggCCAIIAggCCAIIAggCCAIIAggCCAIBAgMCzAIeAALWAgICLQIEAgUCBgIHAggCCQIKAgsCDAINAggCCAIIAggCCAIIAggCCAIIAggCCAIIAggCCAIIAggCCAIBAgMCLgIeAALWAgICIQIEAgUCBgIHAggCCQKRAgsCDAINAggCCAIIAggCCAIIAggCCAIIAggCCAIIAggCCAIIAggCCAIBAgMCygIeAALWAgICMQIEAgUCBgIHAggCCQIKAgsCDAINAggCCAIIAggCCAIIAggCCAIIAggCCAIIAggCCAIIAggCCAIBAgMCMgIeAALWAgJ6AAAEAAJcAgQCBQIGAgcCCAIJAgoCCwIMAg0CCAIIAggCCAIIAggCCAIIAggCCAIIAggCCAIIAggCCAIIAgECAwLHAh4AAtYCAgIdAgQCBQIGAgcCCAIJAgoCCwIMAg0CCAIIAggCCAIIAggCCAIIAggCCAIIAggCCAIIAggCCAIIAgECAwIeAh4AAtYCAgIrAgQCBQIGAgcCCAIJAgoCCwIMAg0CCAIIAggCCAIIAggCCAIIAggCCAIIAggCCAIIAggCCAIIAgECAwIsAh4AAtYCAgJBAgQCBQIGAgcCCAIJAgoCCwIMAg0CCAIIAggCCAIIAggCCAIIAggCCAIIAggCCAIIAggCCAIIAgECAwK1Ah4AAtYCAgJFAgQCBQIGAgcCCAIJAjsCCwIMAg0CCAIIAggCCAIIAggCCAIIAggCCAIIAggCCAIIAggCCAIIAgECAwKiAh4AAtYCAgIfAgQCBQIGAgcCCAIJApECCwIMAg0CCAIIAggCCAIIAggCCAIIAggCCAIIAggCCAIIAggCCAIIAgECAwLAAh4AAtYCAgIjAgQCBQIGAgcCCAIJAgoCCwIMAg0CCAIIAggCCAIIAggCCAIIAggCCAIIAggCCAIIAggCCAIIAgECAwIkAh4AAtYCAgIpAgQCBQIGAgcCCAIJApECCwIMAg0CCAIIAggCCAIIAggCCAIIAggCCAIIAggCCAIIAggCCAIIAgECAwKbAh4AAtYCAgKUAgQCBQIGAgcCCAIJAgoCCwIMAg0CCAIIAggCCAIIAggCCAIIAggCCAIIAggCCAIIAggCCAIIAgECAwKaAh4AAtYCAgIhAgQCBQIGAgcCCAIJAgoCCwIMAg0CCAIIAggCCAIIAggCCAIIAggCCAIIAggCCAIIAggCCAIIAgECAwIiAh4AAtYCAgIbAgQCBQIGAgcCCAIJAjsCCwIMAg0CCAIIAggCCAIIAggCCAIIAggCCAIIAggCCAIIAggCCAIIAgECAwLCAh4AAtYCAgJqAgQCBQIGAgcCCAIJApECCwIMAg0CCAIIAggCCAIIAggCCAIIAggCCAIIAggCCAIIAggCCAIIAgECAwLBAh4AAtYCAgIvAgQCBQIGAgcCCAIJAgoCCwIMAg0CCAIIAggCCAIIAggCCAIIAggCCAIIAggCCAIIAggCCAIIAgECAwIwAh4AAtYCAgJBAgQCBQIGAgcCCAIJAjsCCwIMAg0CCAIIAggCCAIIAggCCAIIAggCCAIIAggCCAIIAggCCAIIAgECAwKrAh4AAtYCAgIlAgQCBQIGAgcCCAIJAgoCCwIMAg0CCAIIAggCCAIIAggCCAIIAggCCAIIAggCCAIIAggCCAIIAgF6AAAEAAIDAiYCHgAC1gICAlgCBAIFAgYCBwIIAgkCkQILAgwCDQIIAggCCAIIAggCCAIIAggCCAIIAggCCAIIAggCCAIIAggCAQIDAp8CHgAC1gICAisCBAIFAgYCBwIIAgkCOwILAgwCDQIIAggCCAIIAggCCAIIAggCCAIIAggCCAIIAggCCAIIAggCAQIDAqkCHgAC1gICAi0CBAIFAgYCBwIIAgkCOwILAgwCDQIIAggCCAIIAggCCAIIAggCCAIIAggCCAIIAggCCAIIAggCAQIDAp4CHgAC1gICAh0CBAIFAgYCBwIIAgkCOwILAgwCDQIIAggCCAIIAggCCAIIAggCCAIIAggCCAIIAggCCAIIAggCAQIDAqgCHgAC1gICAkkCBAIFAgYCBwIIAgkCCgILAgwCDQIIAggCCAIIAggCCAIIAggCCAIIAggCCAIIAggCCAIIAggCAQIDApwCHgAC1gICAicCBAIFAgYCBwIIAgkCCgILAgwCDQIIAggCCAIIAggCCAIIAggCCAIIAggCCAIIAggCCAIIAggCAQIDAigCHgAC1gICAjECBAIFAgYCBwIIAgkCkQILAgwCDQIIAggCCAIIAggCCAIIAggCCAIIAggCCAIIAggCCAIIAggCAQIDAkACHgAC1gICAhsCBAIFAgYCBwIIAgkCCgILAgwCDQIIAggCCAIIAggCCAIIAggCCAIIAggCCAIIAggCCAIIAggCAQIDAhwCHgAC1gICAisCBAIFAgYCBwIIAgkCkQILAgwCDQIIAggCCAIIAggCCAIIAggCCAIIAggCCAIIAggCCAIIAggCAQIDAp0CHgAC1gICAkUCBAIFAgYCBwIIAgkCCgILAgwCDQIIAggCCAIIAggCCAIIAggCCAIIAggCCAIIAggCCAIIAggCAQIDAq0CHgAC1gICAkECBAIFAgYCBwIIAgkCkQILAgwCDQIIAggCCAIIAggCCAIIAggCCAIIAggCCAIIAggCCAIIAggCAQIDApMCHgAC1gICAlwCBAIFAgYCBwIIAgkCkQILAgwCDQIIAggCCAIIAggCCAIIAggCCAIIAggCCAIIAggCCAIIAggCAQIDArsCHgAC1gICAgMCBAIFAgYCBwIIAgkCCgILAgwCDQIIAggCCAIIAggCCAIIAggCCAIIAggCCAIIAggCCAIIAggCAQIDAg4CHgAC1gICAmICBAIFAgYCBwIIAgkCCgILAgwCDQIIAggCCAIIAggCCAIIAggCCAIIAggCCAIIAggCCAIIAggCAQIDAqQCHgAC1gICAjUCBAIFAgYCBwIIAgkCOwILAgwCDQIIAggCCAIIAggCCAIIAggCCAIIAggCCAJ6AAAEAAgCCAIIAggCCAIBAgMCsQIeAALWAgICIQIEAgUCBgIHAggCCQI7AgsCDAINAggCCAIIAggCCAIIAggCCAIIAggCCAIIAggCCAIIAggCCAIBAgMCoQIeAALWAgICIwIEAgUCBgIHAggCCQI7AgsCDAINAggCCAIIAggCCAIIAggCCAIIAggCCAIIAggCCAIIAggCCAIBAgMCoAIeAALWAgICTwIEAgUCBgIHAggCCQI7AgsCDAINAggCCAIIAggCCAIIAggCCAIIAggCCAIIAggCCAIIAggCCAIBAgMCsgIeAALWAgICMwIEAgUCBgIHAggCCQKRAgsCDAINAggCCAIIAggCCAIIAggCCAIIAggCCAIIAggCCAIIAggCCAIBAgMCrgIeAALWAgICHQIEAgUCBgIHAggCCQKRAgsCDAINAggCCAIIAggCCAIIAggCCAIIAggCCAIIAggCCAIIAggCCAIBAgMCkgIeAALWAgICLwIEAgUCBgIHAggCCQI7AgsCDAINAggCCAIIAggCCAIIAggCCAIIAggCCAIIAggCCAIIAggCCAIBAgMCmQIeAALWAgICHwIEAgUCBgIHAggCCQI7AgsCDAINAggCCAIIAggCCAIIAggCCAIIAggCCAIIAggCCAIIAggCCAIBAgMCswIeAALWAgICagIEAgUCBgIHAggCCQI7AgsCDAINAggCCAIIAggCCAIIAggCCAIIAggCCAIIAggCCAIIAggCCAIBAgMCtAIeAALWAgICLQIEAgUCBgIHAggCCQKRAgsCDAINAggCCAIIAggCCAIIAggCCAIIAggCCAIIAggCCAIIAggCCAIBAgMCQAIeAALWAgICcAIEAgUCBgIHAggCCQKRAgsCDAINAggCCAIIAggCCAIIAggCCAIIAggCCAIIAggCCAIIAggCCAIBAgMCrwIeAALWAgICZQIEAgUCBgIHAggCCQIKAgsCDAINAggCCAIIAggCCAIIAggCCAIIAggCCAIIAggCCAIIAggCCAIBAgMCmAIeAALXAAk1Njk2MTI0OTYCAgInAgQCBQIGAgcCCAIJAj0CCwI4Ag0CCAIIAggCCAIIAggCCAIIAggCCAIIAggCCAIIAggCCAIIAhECAwJ2Ah4AAtcCAgJlAgQCBQIGAgcCCAIJAj0CCwI4Ag0CCAIIAggCCAIIAggCCAIIAggCCAIIAggCCAIIAggCCAIIAhECAwJ0Ah4AAtcCAgJcAgQCBQIGAgcCCAIJAjsCCwI4Ag0CCAIIAggCCAIIAggCCAIIAggCCAIIAggCCAIIAggCCAIIAhECAwJzAh4AAtcCAgIzAgQCBQIGAgcCCAIJAjsCCwI4Ag0CCAJ6AAAEAAgCCAIIAggCCAIIAggCCAIIAggCCAIIAggCCAIIAggCEQIDAngCHgAC1wICAmoCBAIFAgYCBwIIAgkCCgILAjgCDQIIAggCCAIIAggCCAIIAggCCAIIAggCCAIIAggCCAIIAggCEQIDAmsCHgAC1wICAjECBAIFAgYCBwIIAgkCOwILAjgCDQIIAggCCAIIAggCCAIIAggCCAIIAggCCAIIAggCCAIIAggCEQIDAnkCHgAC1wICAmUCBAIFAgYCBwIIAgkCOwILAjgCDQIIAggCCAIIAggCCAIIAggCCAIIAggCCAIIAggCCAIIAggCEQIDAmYCHgAC1wICAlgCBAIFAgYCBwIIAgkCCgILAjgCDQIIAggCCAIIAggCCAIIAggCCAIIAggCCAIIAggCCAIIAggCEQIDAncCHgAC1wICAikCBAIFAgYCBwIIAgkCCgILAjgCDQIIAggCCAIIAggCCAIIAggCCAIIAggCCAIIAggCCAIIAggCEQIDAocCHgAC1wICAjECBAIFAgYCBwIIAgkCPQILAjgCDQIIAggCCAIIAggCCAIIAggCCAIIAggCCAIIAggCCAIIAggCEQIDAkACHgAC1wICAlwCBAIFAgYCBwIIAgkCPQILAjgCDQIIAggCCAIIAggCCAIIAggCCAIIAggCCAIIAggCCAIIAggCEQIDAokCHgAC1wICAk8CBAIFAgYCBwIIAgkCPQILAjgCDQIIAggCCAIIAggCCAIIAggCCAIIAggCCAIIAggCCAIIAggCEQIDAmQCHgAC1wICAmICBAIFAgYCBwIIAgkCOwILAjgCDQIIAggCCAIIAggCCAIIAggCCAIIAggCCAIIAggCCAIIAggCEQIDAmcCHgAC1wICAh8CBAIFAgYCBwIIAgkCOwILAjgCDQIIAggCCAIIAggCCAIIAggCCAIIAggCCAIIAggCCAIIAggCEQIDAn0CHgAC1wICAmoCBAIFAgYCBwIIAgkCOwILAjgCDQIIAggCCAIIAggCCAIIAggCCAIIAggCCAIIAggCCAIIAggCEQIDAn8CHgAC1wICAnACBAIFAgYCBwIIAgkCCgILAjgCDQIIAggCCAIIAggCCAIIAggCCAIIAggCCAIIAggCCAIIAggCEQIDAnECHgAC1wICAm0CBAIFAgYCBwIIAgkCCgILAjgCDQIIAggCCAIIAggCCAIIAggCCAIIAggCCAIIAggCCAIIAggCEQIDAm4CHgAC1wICAi8CBAIFAgYCBwIIAgkCPQILAjgCDQIIAggCCAIIAggCCAIIAggCCAIIAggCCAIIAggCCAIIAggCEQIDAnICHgAC1wICAjUCBAIFAgYCBwIIAgl6AAAEAAI9AgsCOAINAggCCAIIAggCCAIIAggCCAIIAggCCAIIAggCCAIIAggCCAIRAgMCaQIeAALXAgICNQIEAgUCBgIHAggCCQI7AgsCOAINAggCCAIIAggCCAIIAggCCAIIAggCCAIIAggCCAIIAggCCAIRAgMCiwIeAALXAgICQQIEAgUCBgIHAggCCQIKAgsCOAINAggCCAIIAggCCAIIAggCCAIIAggCCAIIAggCCAIIAggCCAIRAgMCUgIeAALXAgICAwIEAgUCBgIHAggCCQI7AgsCOAINAggCCAIIAggCCAIIAggCCAIIAggCCAIIAggCCAIIAggCCAIRAgMCbAIeAALXAgICAwIEAgUCBgIHAggCCQI9AgsCOAINAggCCAIIAggCCAIIAggCCAIIAggCCAIIAggCCAIIAggCCAIRAgMCQAIeAALXAgICHQIEAgUCBgIHAggCCQIKAgsCOAINAggCCAIIAggCCAIIAggCCAIIAggCCAIIAggCCAIIAggCCAIRAgMCTgIeAALXAgICYgIEAgUCBgIHAggCCQI9AgsCOAINAggCCAIIAggCCAIIAggCCAIIAggCCAIIAggCCAIIAggCCAIRAgMCYwIeAALXAgICMQIEAgUCBgIHAggCCQIKAgsCOAINAggCCAIIAggCCAIIAggCCAIIAggCCAIIAggCCAIIAggCCAIRAgMCVwIeAALXAgICTwIEAgUCBgIHAggCCQI7AgsCOAINAggCCAIIAggCCAIIAggCCAIIAggCCAIIAggCCAIIAggCCAIRAgMCjgIeAALXAgIClAIEAgUCBgIHAggCCQI9AgsCOAINAggCCAIIAggCCAIIAggCCAIIAggCCAIIAggCCAIIAggCCAIRAgMCQAIeAALXAgICJQIEAgUCBgIHAggCCQI9AgsCOAINAggCCAIIAggCCAIIAggCCAIIAggCCAIIAggCCAIIAggCCAIRAgMCVQIeAALXAgICJQIEAgUCBgIHAggCCQI7AgsCOAINAggCCAIIAggCCAIIAggCCAIIAggCCAIIAggCCAIIAggCCAIRAgMCXgIeAALXAgICSQIEAgUCBgIHAggCCQI7AgsCOAINAggCCAIIAggCCAIIAggCCAIIAggCCAIIAggCCAIIAggCCAIRAgMCUwIeAALXAgICRQIEAgUCBgIHAggCCQIKAgsCOAINAggCCAIIAggCCAIIAggCCAIIAggCCAIIAggCCAIIAggCCAIRAgMCigIeAALXAgICXAIEAgUCBgIHAggCCQIKAgsCOAINAggCCAIIAggCCAIIAggCCAIIAggCCAIIAggCCAIIAggCCAIRAgMCXQIeAALXAgICSQJ6AAAEAAQCBQIGAgcCCAIJAj0CCwI4Ag0CCAIIAggCCAIIAggCCAIIAggCCAIIAggCCAIIAggCCAIIAhECAwJWAh4AAtcCAgIdAgQCBQIGAgcCCAIJAjsCCwI4Ag0CCAIIAggCCAIIAggCCAIIAggCCAIIAggCCAIIAggCCAIIAhECAwI/Ah4AAtcCAgJPAgQCBQIGAgcCCAIJAgoCCwI4Ag0CCAIIAggCCAIIAggCCAIIAggCCAIIAggCCAIIAggCCAIIAhECAwJQAh4AAtcCAgJBAgQCBQIGAgcCCAIJAjsCCwI4Ag0CCAIIAggCCAIIAggCCAIIAggCCAIIAggCCAIIAggCCAIIAhECAwJCAh4AAtcCAgI1AgQCBQIGAgcCCAIJAgoCCwI4Ag0CCAIIAggCCAIIAggCCAIIAggCCAIIAggCCAIIAggCCAIIAhECAwJUAh4AAtcCAgJwAgQCBQIGAgcCCAIJAj0CCwI4Ag0CCAIIAggCCAIIAggCCAIIAggCCAIIAggCCAIIAggCCAIIAhECAwJ7Ah4AAtcCAgIzAgQCBQIGAgcCCAIJAj0CCwI4Ag0CCAIIAggCCAIIAggCCAIIAggCCAIIAggCCAIIAggCCAIIAhECAwJRAh4AAtcCAgIvAgQCBQIGAgcCCAIJAgoCCwI4Ag0CCAIIAggCCAIIAggCCAIIAggCCAIIAggCCAIIAggCCAIIAhECAwJLAh4AAtcCAgJwAgQCBQIGAgcCCAIJAjsCCwI4Ag0CCAIIAggCCAIIAggCCAIIAggCCAIIAggCCAIIAggCCAIIAhECAwJ1Ah4AAtcCAgItAgQCBQIGAgcCCAIJAj0CCwI4Ag0CCAIIAggCCAIIAggCCAIIAggCCAIIAggCCAIIAggCCAIIAhECAwJAAh4AAtcCAgIfAgQCBQIGAgcCCAIJAgoCCwI4Ag0CCAIIAggCCAIIAggCCAIIAggCCAIIAggCCAIIAggCCAIIAhECAwJ6Ah4AAtcCAgItAgQCBQIGAgcCCAIJAjsCCwI4Ag0CCAIIAggCCAIIAggCCAIIAggCCAIIAggCCAIIAggCCAIIAhECAwJNAh4AAtcCAgIrAgQCBQIGAgcCCAIJAjsCCwI4Ag0CCAIIAggCCAIIAggCCAIIAggCCAIIAggCCAIIAggCCAIIAhECAwJIAh4AAtcCAgJFAgQCBQIGAgcCCAIJAjsCCwI4Ag0CCAIIAggCCAIIAggCCAIIAggCCAIIAggCCAIIAggCCAIIAhECAwJMAh4AAtcCAgJJAgQCBQIGAgcCCAIJAgoCCwI4Ag0CCAIIAggCCAIIAggCCAIIAggCCAIIAggCCAIIAggCCAIIAhECAwJ6AAAEAEoCHgAC1wICAh0CBAIFAgYCBwIIAgkCPQILAjgCDQIIAggCCAIIAggCCAIIAggCCAIIAggCCAIIAggCCAIIAggCEQIDAj4CHgAC1wICAisCBAIFAgYCBwIIAgkCPQILAjgCDQIIAggCCAIIAggCCAIIAggCCAIIAggCCAIIAggCCAIIAggCEQIDAkcCHgAC1wICAkECBAIFAgYCBwIIAgkCPQILAjgCDQIIAggCCAIIAggCCAIIAggCCAIIAggCCAIIAggCCAIIAggCEQIDAkMCHgAC1wICAhsCBAIFAgYCBwIIAgkCPQILAjgCDQIIAggCCAIIAggCCAIIAggCCAIIAggCCAIIAggCCAIIAggCEQIDAkACHgAC1wICAiMCBAIFAgYCBwIIAgkCCgILAjgCDQIIAggCCAIIAggCCAIIAggCCAIIAggCCAIIAggCCAIIAggCEQIDAjkCHgAC1wICAiECBAIFAgYCBwIIAgkCCgILAjgCDQIIAggCCAIIAggCCAIIAggCCAIIAggCCAIIAggCCAIIAggCEQIDAjoCHgAC1wICAhsCBAIFAgYCBwIIAgkCOwILAjgCDQIIAggCCAIIAggCCAIIAggCCAIIAggCCAIIAggCCAIIAggCEQIDAjwCHgAC1wICAikCBAIFAgYCBwIIAgkCPQILAjgCDQIIAggCCAIIAggCCAIIAggCCAIIAggCCAIIAggCCAIIAggCEQIDAloCHgAC1wICAi0CBAIFAgYCBwIIAgkCCgILAjgCDQIIAggCCAIIAggCCAIIAggCCAIIAggCCAIIAggCCAIIAggCEQIDAmACHgAC1wICAisCBAIFAgYCBwIIAgkCCgILAjgCDQIIAggCCAIIAggCCAIIAggCCAIIAggCCAIIAggCCAIIAggCEQIDAmECHgAC1wICAlgCBAIFAgYCBwIIAgkCPQILAjgCDQIIAggCCAIIAggCCAIIAggCCAIIAggCCAIIAggCCAIIAggCEQIDAl8CHgAC1wICApQCBAIFAgYCBwIIAgkCOwILAjgCDQIIAggCCAIIAggCCAIIAggCCAIIAggCCAIIAggCCAIIAggCEQIDAtMCHgAC1wICAicCBAIFAgYCBwIIAgkCCgILAjgCDQIIAggCCAIIAggCCAIIAggCCAIIAggCCAIIAggCCAIIAggCEQIDAo8CHgAC1wICAlgCBAIFAgYCBwIIAgkCOwILAjgCDQIIAggCCAIIAggCCAIIAggCCAIIAggCCAIIAggCCAIIAggCEQIDAlkCHgAC1wICAh8CBAIFAgYCBwIIAgkCPQILAjgCDQIIAggCCAIIAggCCAIIAggCCAIIAggCCAIIAgh6AAAEAAIIAggCCAIRAgMCgwIeAALXAgICKQIEAgUCBgIHAggCCQI7AgsCOAINAggCCAIIAggCCAIIAggCCAIIAggCCAIIAggCCAIIAggCCAIRAgMCWwIeAALXAgICZQIEAgUCBgIHAggCCQIKAgsCOAINAggCCAIIAggCCAIIAggCCAIIAggCCAIIAggCCAIIAggCCAIRAgMCjAIeAALXAgICLwIEAgUCBgIHAggCCQI7AgsCOAINAggCCAIIAggCCAIIAggCCAIIAggCCAIIAggCCAIIAggCCAIRAgMCjQIeAALXAgICAwIEAgUCBgIHAggCCQIKAgsCOAINAggCCAIIAggCCAIIAggCCAIIAggCCAIIAggCCAIIAggCCAIRAgMChgIeAALXAgICYgIEAgUCBgIHAggCCQIKAgsCOAINAggCCAIIAggCCAIIAggCCAIIAggCCAIIAggCCAIIAggCCAIRAgMCggIeAALXAgICGwIEAgUCBgIHAggCCQIKAgsCOAINAggCCAIIAggCCAIIAggCCAIIAggCCAIIAggCCAIIAggCCAIRAgMCiAIeAALXAgICIwIEAgUCBgIHAggCCQI9AgsCOAINAggCCAIIAggCCAIIAggCCAIIAggCCAIIAggCCAIIAggCCAIRAgMCQAIeAALXAgICagIEAgUCBgIHAggCCQI9AgsCOAINAggCCAIIAggCCAIIAggCCAIIAggCCAIIAggCCAIIAggCCAIRAgMChAIeAALXAgICMwIEAgUCBgIHAggCCQIKAgsCOAINAggCCAIIAggCCAIIAggCCAIIAggCCAIIAggCCAIIAggCCAIRAgMCbwIeAALXAgICIwIEAgUCBgIHAggCCQI7AgsCOAINAggCCAIIAggCCAIIAggCCAIIAggCCAIIAggCCAIIAggCCAIRAgMChQIeAALXAgICbQIEAgUCBgIHAggCCQI7AgsCOAINAggCCAIIAggCCAIIAggCCAIIAggCCAIIAggCCAIIAggCCAIRAgMCfAIeAALXAgICIQIEAgUCBgIHAggCCQI9AgsCOAINAggCCAIIAggCCAIIAggCCAIIAggCCAIIAggCCAIIAggCCAIRAgMCgAIeAALXAgICIQIEAgUCBgIHAggCCQI7AgsCOAINAggCCAIIAggCCAIIAggCCAIIAggCCAIIAggCCAIIAggCCAIRAgMCgQIeAALXAgICJwIEAgUCBgIHAggCCQI7AgsCOAINAggCCAIIAggCCAIIAggCCAIIAggCCAIIAggCCAIIAggCCAIRAgMCaAIeAALXAgICRQIEAgUCBgIHAggCCQI9AgsCOAINAggCCAIIAggCCAIIAggCCAJ6AAABPggCCAIIAggCCAIIAggCCAIIAhECAwJGAh4AAtcCAgKUAgQCBQIGAgcCCAIJAgoCCwI4Ag0CCAIIAggCCAIIAggCCAIIAggCCAIIAggCCAIIAggCCAIIAhECAwLUAh4AAtcCAgIlAgQCBQIGAgcCCAIJAgoCCwI4Ag0CCAIIAggCCAIIAggCCAIIAggCCAIIAggCCAIIAggCCAIIAhECAwJEAh4AAtcCAgJtAgQCBQIGAgcCCAIJAj0CCwI4Ag0CCAIIAggCCAIIAggCCAIIAggCCAIIAggCCAIIAggCCAIIAhECAwJ+Ah4AAtgACTU2OTQ5MTkyOAICAtkABjIwMTMxMgIEAgUCBgIHAggCCQKRAgsCDAINAggCCAIIAggCCAIIAggCCAIIAggCCAIIAggCCAIIAggCCAIeAgMC2nNxAH4AAAAAAAJzcQB+AAT///////////////7////+/////3VxAH4ABwAAAAMU5eR4eHoAAAQAAh4AAtsACTU2OTQ4MDMyOAICAi8CBAIFAgYCBwIIAgkCCgILAgwCDQIIAggCCAIIAggCCAIIAggCCAIIAggCCAIIAggCCAIIAggCFAIDAjACHgAC2wICAkkCBAIFAgYCBwIIAgkCCgILAgwCDQIIAggCCAIIAggCCAIIAggCCAIIAggCCAIIAggCCAIIAggCFAIDApwCHgAC2wICAiECBAIFAgYCBwIIAgkCOwILAgwCDQIIAggCCAIIAggCCAIIAggCCAIIAggCCAIIAggCCAIIAggCFAIDAqECHgAC2wICAjUCBAIFAgYCBwIIAgkCCgILAgwCDQIIAggCCAIIAggCCAIIAggCCAIIAggCCAIIAggCCAIIAggCFAIDAjYCHgAC2wICAk8CBAIFAgYCBwIIAgkCCgILAgwCDQIIAggCCAIIAggCCAIIAggCCAIIAggCCAIIAggCCAIIAggCFAIDAqMCHgAC2wICAkECBAIFAgYCBwIIAgkCkQILAgwCDQIIAggCCAIIAggCCAIIAggCCAIIAggCCAIIAggCCAIIAggCFAIDApMCHgAC2wICAh0CBAIFAgYCBwIIAgkCkQILAgwCDQIIAggCCAIIAggCCAIIAggCCAIIAggCCAIIAggCCAIIAggCFAIDApICHgAC2wICAiUCBAIFAgYCBwIIAgkCOwILAgwCDQIIAggCCAIIAggCCAIIAggCCAIIAggCCAIIAggCCAIIAggCFAIDApYCHgAC2wICAkkCBAIFAgYCBwIIAgkCOwILAgwCDQIIAggCCAIIAggCCAIIAggCCAIIAggCCAIIAggCCAIIAggCFAIDApcCHgAC2wICAicCBAIFAgYCBwIIAgkCCgILAgwCDQIIAggCCAIIAggCCAIIAggCCAIIAggCCAIIAggCCAIIAggCFAIDAigCHgAC2wICAkUCBAIFAgYCBwIIAgkCkQILAgwCDQIIAggCCAIIAggCCAIIAggCCAIIAggCCAIIAggCCAIIAggCFAIDAsgCHgAC2wICAm0CBAIFAgYCBwIIAgkCkQILAgwCDQIIAggCCAIIAggCCAIIAggCCAIIAggCCAIIAggCCAIIAggCFAIDAsMCHgAC2wICAmUCBAIFAgYCBwIIAgkCCgILAgwCDQIIAggCCAIIAggCCAIIAggCCAIIAggCCAIIAggCCAIIAggCFAIDApgCHgAC2wICAjMCBAIFAgYCBwIIAgkCkQILAgwCDQIIAggCCAIIAggCCAIIAggCCAIIAggCCAIIAggCCAIIAggCFAIDAq4CHgAC2wICAisCBAIFAgYCBwIIAgkCCgILAgwCDQIIAggCCAIIAggCCAIIAggCCHoAAAQAAggCCAIIAggCCAIIAggCCAIUAgMCLAIeAALbAgICMQIEAgUCBgIHAggCCQIKAgsCDAINAggCCAIIAggCCAIIAggCCAIIAggCCAIIAggCCAIIAggCCAIUAgMCMgIeAALbAgICTwIEAgUCBgIHAggCCQI7AgsCDAINAggCCAIIAggCCAIIAggCCAIIAggCCAIIAggCCAIIAggCCAIUAgMCsgIeAALbAgICRQIEAgUCBgIHAggCCQIKAgsCDAINAggCCAIIAggCCAIIAggCCAIIAggCCAIIAggCCAIIAggCCAIUAgMCrQIeAALbAgICNQIEAgUCBgIHAggCCQI7AgsCDAINAggCCAIIAggCCAIIAggCCAIIAggCCAIIAggCCAIIAggCCAIUAgMCsQIeAALbAgICXAIEAgUCBgIHAggCCQIKAgsCDAINAggCCAIIAggCCAIIAggCCAIIAggCCAIIAggCCAIIAggCCAIUAgMCxwIeAALbAgICQQIEAgUCBgIHAggCCQI7AgsCDAINAggCCAIIAggCCAIIAggCCAIIAggCCAIIAggCCAIIAggCCAIUAgMCqwIeAALbAgICIQIEAgUCBgIHAggCCQIKAgsCDAINAggCCAIIAggCCAIIAggCCAIIAggCCAIIAggCCAIIAggCCAIUAgMCIgIeAALbAgICZQIEAgUCBgIHAggCCQKRAgsCDAINAggCCAIIAggCCAIIAggCCAIIAggCCAIIAggCCAIIAggCCAIUAgMCtgIeAALbAgICGwIEAgUCBgIHAggCCQKRAgsCDAINAggCCAIIAggCCAIIAggCCAIIAggCCAIIAggCCAIIAggCCAIUAgMCQAIeAALbAgICagIEAgUCBgIHAggCCQIKAgsCDAINAggCCAIIAggCCAIIAggCCAIIAggCCAIIAggCCAIIAggCCAIUAgMCqgIeAALbAgICMQIEAgUCBgIHAggCCQI7AgsCDAINAggCCAIIAggCCAIIAggCCAIIAggCCAIIAggCCAIIAggCCAIUAgMCrAIeAALbAgICHQIEAgUCBgIHAggCCQI7AgsCDAINAggCCAIIAggCCAIIAggCCAIIAggCCAIIAggCCAIIAggCCAIUAgMCqAIeAALbAgICKwIEAgUCBgIHAggCCQI7AgsCDAINAggCCAIIAggCCAIIAggCCAIIAggCCAIIAggCCAIIAggCCAIUAgMCqQIeAALbAgICLQIEAgUCBgIHAggCCQI7AgsCDAINAggCCAIIAggCCAIIAggCCAIIAggCCAIIAggCCAIIAggCCAIUAgMCngIeAALbAgICKQIEAgUCBgIHAggCCQKRAgsCDAINAggCCAIIAnoAAAQACAIIAggCCAIIAggCCAIIAggCCAIIAggCCAIIAhQCAwKbAh4AAtsCAgIDAgQCBQIGAgcCCAIJApECCwIMAg0CCAIIAggCCAIIAggCCAIIAggCCAIIAggCCAIIAggCCAIIAhQCAwJAAh4AAtsCAgIfAgQCBQIGAgcCCAIJAgoCCwIMAg0CCAIIAggCCAIIAggCCAIIAggCCAIIAggCCAIIAggCCAIIAhQCAwIgAh4AAtsCAgJiAgQCBQIGAgcCCAIJApECCwIMAg0CCAIIAggCCAIIAggCCAIIAggCCAIIAggCCAIIAggCCAIIAhQCAwK3Ah4AAtsCAgJYAgQCBQIGAgcCCAIJApECCwIMAg0CCAIIAggCCAIIAggCCAIIAggCCAIIAggCCAIIAggCCAIIAhQCAwKfAh4AAtsCAgIpAgQCBQIGAgcCCAIJAgoCCwIMAg0CCAIIAggCCAIIAggCCAIIAggCCAIIAggCCAIIAggCCAIIAhQCAwIqAh4AAtsCAgJYAgQCBQIGAgcCCAIJAgoCCwIMAg0CCAIIAggCCAIIAggCCAIIAggCCAIIAggCCAIIAggCCAIIAhQCAwK/Ah4AAtsCAgJwAgQCBQIGAgcCCAIJAjsCCwIMAg0CCAIIAggCCAIIAggCCAIIAggCCAIIAggCCAIIAggCCAIIAhQCAwK6Ah4AAtsCAgIzAgQCBQIGAgcCCAIJAjsCCwIMAg0CCAIIAggCCAIIAggCCAIIAggCCAIIAggCCAIIAggCCAIIAhQCAwK5Ah4AAtsCAgIlAgQCBQIGAgcCCAIJApECCwIMAg0CCAIIAggCCAIIAggCCAIIAggCCAIIAggCCAIIAggCCAIIAhQCAwKnAh4AAtsCAgJcAgQCBQIGAgcCCAIJAjsCCwIMAg0CCAIIAggCCAIIAggCCAIIAggCCAIIAggCCAIIAggCCAIIAhQCAwKmAh4AAtsCAgIvAgQCBQIGAgcCCAIJApECCwIMAg0CCAIIAggCCAIIAggCCAIIAggCCAIIAggCCAIIAggCCAIIAhQCAwLGAh4AAtsCAgJJAgQCBQIGAgcCCAIJApECCwIMAg0CCAIIAggCCAIIAggCCAIIAggCCAIIAggCCAIIAggCCAIIAhQCAwKwAh4AAtsCAgIdAgQCBQIGAgcCCAIJAgoCCwIMAg0CCAIIAggCCAIIAggCCAIIAggCCAIIAggCCAIIAggCCAIIAhQCAwIeAh4AAtsCAgJBAgQCBQIGAgcCCAIJAgoCCwIMAg0CCAIIAggCCAIIAggCCAIIAggCCAIIAggCCAIIAggCCAIIAhQCAwK1Ah4AAtsCAgInAgQCBQIGAgcCCAIJApECC3oAAAQAAgwCDQIIAggCCAIIAggCCAIIAggCCAIIAggCCAIIAggCCAIIAggCFAIDArgCHgAC2wICAhsCBAIFAgYCBwIIAgkCCgILAgwCDQIIAggCCAIIAggCCAIIAggCCAIIAggCCAIIAggCCAIIAggCFAIDAhwCHgAC2wICAh8CBAIFAgYCBwIIAgkCOwILAgwCDQIIAggCCAIIAggCCAIIAggCCAIIAggCCAIIAggCCAIIAggCFAIDArMCHgAC2wICAmoCBAIFAgYCBwIIAgkCOwILAgwCDQIIAggCCAIIAggCCAIIAggCCAIIAggCCAIIAggCCAIIAggCFAIDArQCHgAC2wICAm0CBAIFAgYCBwIIAgkCCgILAgwCDQIIAggCCAIIAggCCAIIAggCCAIIAggCCAIIAggCCAIIAggCFAIDAqUCHgAC2wICAgMCBAIFAgYCBwIIAgkCOwILAgwCDQIIAggCCAIIAggCCAIIAggCCAIIAggCCAIIAggCCAIIAggCFAIDAssCHgAC2wICAiECBAIFAgYCBwIIAgkCkQILAgwCDQIIAggCCAIIAggCCAIIAggCCAIIAggCCAIIAggCCAIIAggCFAIDAsoCHgAC2wICAlgCBAIFAgYCBwIIAgkCOwILAgwCDQIIAggCCAIIAggCCAIIAggCCAIIAggCCAIIAggCCAIIAggCFAIDAs4CHgAC2wICAmICBAIFAgYCBwIIAgkCOwILAgwCDQIIAggCCAIIAggCCAIIAggCCAIIAggCCAIIAggCCAIIAggCFAIDAswCHgAC2wICAi0CBAIFAgYCBwIIAgkCCgILAgwCDQIIAggCCAIIAggCCAIIAggCCAIIAggCCAIIAggCCAIIAggCFAIDAi4CHgAC2wICAnACBAIFAgYCBwIIAgkCkQILAgwCDQIIAggCCAIIAggCCAIIAggCCAIIAggCCAIIAggCCAIIAggCFAIDAq8CHgAC2wICAi8CBAIFAgYCBwIIAgkCOwILAgwCDQIIAggCCAIIAggCCAIIAggCCAIIAggCCAIIAggCCAIIAggCFAIDApkCHgAC2wICAnACBAIFAgYCBwIIAgkCCgILAgwCDQIIAggCCAIIAggCCAIIAggCCAIIAggCCAIIAggCCAIIAggCFAIDAskCHgAC2wICAi0CBAIFAgYCBwIIAgkCkQILAgwCDQIIAggCCAIIAggCCAIIAggCCAIIAggCCAIIAggCCAIIAggCFAIDAkACHgAC2wICAikCBAIFAgYCBwIIAgkCOwILAgwCDQIIAggCCAIIAggCCAIIAggCCAIIAggCCAIIAggCCAIIAggCFAIDAs0CHgAC2wICAjECBAIFAnoAAAQABgIHAggCCQKRAgsCDAINAggCCAIIAggCCAIIAggCCAIIAggCCAIIAggCCAIIAggCCAIUAgMCQAIeAALbAgICXAIEAgUCBgIHAggCCQKRAgsCDAINAggCCAIIAggCCAIIAggCCAIIAggCCAIIAggCCAIIAggCCAIUAgMCuwIeAALbAgICKwIEAgUCBgIHAggCCQKRAgsCDAINAggCCAIIAggCCAIIAggCCAIIAggCCAIIAggCCAIIAggCCAIUAgMCnQIeAALbAgICGwIEAgUCBgIHAggCCQI7AgsCDAINAggCCAIIAggCCAIIAggCCAIIAggCCAIIAggCCAIIAggCCAIUAgMCwgIeAALbAgICMwIEAgUCBgIHAggCCQIKAgsCDAINAggCCAIIAggCCAIIAggCCAIIAggCCAIIAggCCAIIAggCCAIUAgMCNAIeAALbAgICagIEAgUCBgIHAggCCQKRAgsCDAINAggCCAIIAggCCAIIAggCCAIIAggCCAIIAggCCAIIAggCCAIUAgMCwQIeAALbAgICJwIEAgUCBgIHAggCCQI7AgsCDAINAggCCAIIAggCCAIIAggCCAIIAggCCAIIAggCCAIIAggCCAIUAgMCxAIeAALbAgICAwIEAgUCBgIHAggCCQIKAgsCDAINAggCCAIIAggCCAIIAggCCAIIAggCCAIIAggCCAIIAggCCAIUAgMCDgIeAALbAgICZQIEAgUCBgIHAggCCQI7AgsCDAINAggCCAIIAggCCAIIAggCCAIIAggCCAIIAggCCAIIAggCCAIUAgMCxQIeAALbAgICYgIEAgUCBgIHAggCCQIKAgsCDAINAggCCAIIAggCCAIIAggCCAIIAggCCAIIAggCCAIIAggCCAIUAgMCpAIeAALbAgICHwIEAgUCBgIHAggCCQKRAgsCDAINAggCCAIIAggCCAIIAggCCAIIAggCCAIIAggCCAIIAggCCAIUAgMCwAIeAALbAgICRQIEAgUCBgIHAggCCQI7AgsCDAINAggCCAIIAggCCAIIAggCCAIIAggCCAIIAggCCAIIAggCCAIUAgMCogIeAALbAgICbQIEAgUCBgIHAggCCQI7AgsCDAINAggCCAIIAggCCAIIAggCCAIIAggCCAIIAggCCAIIAggCCAIUAgMCvQIeAALbAgICNQIEAgUCBgIHAggCCQKRAgsCDAINAggCCAIIAggCCAIIAggCCAIIAggCCAIIAggCCAIIAggCCAIUAgMCvgIeAALbAgICTwIEAgUCBgIHAggCCQKRAgsCDAINAggCCAIIAggCCAIIAggCCAIIAggCCAIIAggCCAIIAggCCAIUAgMCvAIeAHoAAAQAAtsCAgIlAgQCBQIGAgcCCAIJAgoCCwIMAg0CCAIIAggCCAIIAggCCAIIAggCCAIIAggCCAIIAggCCAIIAhQCAwImAh4AAtwACTU1NzQ5NDkwNAICAjECBAIFAgYCBwIIAgkCOwILAgwCDQIIAggCCAIIAggCCAIIAggCCAIIAggCCAIIAggCCAIIAggCDgIDAqwCHgAC3AICAiUCBAIFAgYCBwIIAgkCOwILAgwCDQIIAggCCAIIAggCCAIIAggCCAIIAggCCAIIAggCCAIIAggCDgIDApYCHgAC3AICAisCBAIFAgYCBwIIAgkCOwILAgwCDQIIAggCCAIIAggCCAIIAggCCAIIAggCCAIIAggCCAIIAggCDgIDAqkCHgAC3AICAi0CBAIFAgYCBwIIAgkCOwILAgwCDQIIAggCCAIIAggCCAIIAggCCAIIAggCCAIIAggCCAIIAggCDgIDAp4CHgAC3AICAjMCBAIFAgYCBwIIAgkCOwILAgwCDQIIAggCCAIIAggCCAIIAggCCAIIAggCCAIIAggCCAIIAggCDgIDArkCHgAC3AICAikCBAIFAgYCBwIIAgkCOwILAgwCDQIIAggCCAIIAggCCAIIAggCCAIIAggCCAIIAggCCAIIAggCDgIDAs0CHgAC3AICAgMCBAIFAgYCBwIIAgkCOwILAgwCDQIIAggCCAIIAggCCAIIAggCCAIIAggCCAIIAggCCAIIAggCDgIDAssCHgAC3AICAiECBAIFAgYCBwIIAgkCOwILAgwCDQIIAggCCAIIAggCCAIIAggCCAIIAggCCAIIAggCCAIIAggCDgIDAqECHgAC3AICAjUCBAIFAgYCBwIIAgkCOwILAgwCDQIIAggCCAIIAggCCAIIAggCCAIIAggCCAIIAggCCAIIAggCDgIDArECHgAC3AICAh0CBAIFAgYCBwIIAgkCOwILAgwCDQIIAggCCAIIAggCCAIIAggCCAIIAggCCAIIAggCCAIIAggCDgIDAqgCHgAC3AICAiMCBAIFAgYCBwIIAgkCOwILAgwCDQIIAggCCAIIAggCCAIIAggCCAIIAggCCAIIAggCCAIIAggCDgIDAqACHgAC3AICAhsCBAIFAgYCBwIIAgkCOwILAgwCDQIIAggCCAIIAggCCAIIAggCCAIIAggCCAIIAggCCAIIAggCDgIDAsICHgAC3AICAi8CBAIFAgYCBwIIAgkCOwILAgwCDQIIAggCCAIIAggCCAIIAggCCAIIAggCCAIIAggCCAIIAggCDgIDApkCHgAC3AICAh8CBAIFAgYCBwIIAgkCOwILAgwCDQIIAggCCAIIAggCCAIIAggCCAIIAnoAAAQACAIIAggCCAIIAggCCAIOAgMCswIeAALcAgICJwIEAgUCBgIHAggCCQI7AgsCDAINAggCCAIIAggCCAIIAggCCAIIAggCCAIIAggCCAIIAggCCAIOAgMCxAIeAALdAAk1Njk0ODI2NDgCAgJqAgQCBQIGAgcCCAIJApECCwIMAg0CCAIIAggCCAIIAggCCAIIAggCCAIIAggCCAIIAggCCAIIAhYCAwLBAh4AAt0CAgIhAgQCBQIGAgcCCAIJAgoCCwIMAg0CCAIIAggCCAIIAggCCAIIAggCCAIIAggCCAIIAggCCAIIAhYCAwIiAh4AAt0CAgIlAgQCBQIGAgcCCAIJAgoCCwIMAg0CCAIIAggCCAIIAggCCAIIAggCCAIIAggCCAIIAggCCAIIAhYCAwImAh4AAt0CAgJtAgQCBQIGAgcCCAIJApECCwIMAg0CCAIIAggCCAIIAggCCAIIAggCCAIIAggCCAIIAggCCAIIAhYCAwLDAh4AAt0CAgJYAgQCBQIGAgcCCAIJApECCwIMAg0CCAIIAggCCAIIAggCCAIIAggCCAIIAggCCAIIAggCCAIIAhYCAwKfAh4AAt0CAgJFAgQCBQIGAgcCCAIJAjsCCwIMAg0CCAIIAggCCAIIAggCCAIIAggCCAIIAggCCAIIAggCCAIIAhYCAwKiAh4AAt0CAgIpAgQCBQIGAgcCCAIJApECCwIMAg0CCAIIAggCCAIIAggCCAIIAggCCAIIAggCCAIIAggCCAIIAhYCAwKbAh4AAt0CAgIrAgQCBQIGAgcCCAIJAgoCCwIMAg0CCAIIAggCCAIIAggCCAIIAggCCAIIAggCCAIIAggCCAIIAhYCAwIsAh4AAt0CAgJwAgQCBQIGAgcCCAIJApECCwIMAg0CCAIIAggCCAIIAggCCAIIAggCCAIIAggCCAIIAggCCAIIAhYCAwKvAh4AAt0CAgIhAgQCBQIGAgcCCAIJAjsCCwIMAg0CCAIIAggCCAIIAggCCAIIAggCCAIIAggCCAIIAggCCAIIAhYCAwKhAh4AAt0CAgIxAgQCBQIGAgcCCAIJApECCwIMAg0CCAIIAggCCAIIAggCCAIIAggCCAIIAggCCAIIAggCCAIIAhYCAwJAAh4AAt0CAgI1AgQCBQIGAgcCCAIJAgoCCwIMAg0CCAIIAggCCAIIAggCCAIIAggCCAIIAggCCAIIAggCCAIIAhYCAwI2Ah4AAt0CAgJcAgQCBQIGAgcCCAIJApECCwIMAg0CCAIIAggCCAIIAggCCAIIAggCCAIIAggCCAIIAggCCAIIAhYCAwK7Ah4AAt0CAgJBAgQCBQIGAgcCCAIJApECCwIMAnoAAAQADQIIAggCCAIIAggCCAIIAggCCAIIAggCCAIIAggCCAIIAggCFgIDApMCHgAC3QICAicCBAIFAgYCBwIIAgkCkQILAgwCDQIIAggCCAIIAggCCAIIAggCCAIIAggCCAIIAggCCAIIAggCFgIDArgCHgAC3QICAh0CBAIFAgYCBwIIAgkCkQILAgwCDQIIAggCCAIIAggCCAIIAggCCAIIAggCCAIIAggCCAIIAggCFgIDApICHgAC3QICAhsCBAIFAgYCBwIIAgkCCgILAgwCDQIIAggCCAIIAggCCAIIAggCCAIIAggCCAIIAggCCAIIAggCFgIDAhwCHgAC3QICAgMCBAIFAgYCBwIIAgkCCgILAgwCDQIIAggCCAIIAggCCAIIAggCCAIIAggCCAIIAggCCAIIAggCFgIDAg4CHgAC3QICAmICBAIFAgYCBwIIAgkCCgILAgwCDQIIAggCCAIIAggCCAIIAggCCAIIAggCCAIIAggCCAIIAggCFgIDAqQCHgAC3QICAh0CBAIFAgYCBwIIAgkCCgILAgwCDQIIAggCCAIIAggCCAIIAggCCAIIAggCCAIIAggCCAIIAggCFgIDAh4CHgAC3QICAiUCBAIFAgYCBwIIAgkCOwILAgwCDQIIAggCCAIIAggCCAIIAggCCAIIAggCCAIIAggCCAIIAggCFgIDApYCHgAC3QICAkECBAIFAgYCBwIIAgkCCgILAgwCDQIIAggCCAIIAggCCAIIAggCCAIIAggCCAIIAggCCAIIAggCFgIDArUCHgAC3QICAlgCBAIFAgYCBwIIAgkCOwILAgwCDQIIAggCCAIIAggCCAIIAggCCAIIAggCCAIIAggCCAIIAggCFgIDAs4CHgAC3QICAkUCBAIFAgYCBwIIAgkCkQILAgwCDQIIAggCCAIIAggCCAIIAggCCAIIAggCCAIIAggCCAIIAggCFgIDAsgCHgAC3QICAm0CBAIFAgYCBwIIAgkCOwILAgwCDQIIAggCCAIIAggCCAIIAggCCAIIAggCCAIIAggCCAIIAggCFgIDAr0CHgAC3QICAjUCBAIFAgYCBwIIAgkCkQILAgwCDQIIAggCCAIIAggCCAIIAggCCAIIAggCCAIIAggCCAIIAggCFgIDAr4CHgAC3QICAk8CBAIFAgYCBwIIAgkCkQILAgwCDQIIAggCCAIIAggCCAIIAggCCAIIAggCCAIIAggCCAIIAggCFgIDArwCHgAC3QICAjMCBAIFAgYCBwIIAgkCCgILAgwCDQIIAggCCAIIAggCCAIIAggCCAIIAggCCAIIAggCCAIIAggCFgIDAjQCHgAC3QICAnACBAIFAgYCB3oAAAQAAggCCQIKAgsCDAINAggCCAIIAggCCAIIAggCCAIIAggCCAIIAggCCAIIAggCCAIWAgMCyQIeAALdAgICKQIEAgUCBgIHAggCCQI7AgsCDAINAggCCAIIAggCCAIIAggCCAIIAggCCAIIAggCCAIIAggCCAIWAgMCzQIeAALdAgICSQIEAgUCBgIHAggCCQIKAgsCDAINAggCCAIIAggCCAIIAggCCAIIAggCCAIIAggCCAIIAggCCAIWAgMCnAIeAALdAgICGwIEAgUCBgIHAggCCQI7AgsCDAINAggCCAIIAggCCAIIAggCCAIIAggCCAIIAggCCAIIAggCCAIWAgMCwgIeAALdAgICLwIEAgUCBgIHAggCCQKRAgsCDAINAggCCAIIAggCCAIIAggCCAIIAggCCAIIAggCCAIIAggCCAIWAgMCxgIeAALdAgICHwIEAgUCBgIHAggCCQKRAgsCDAINAggCCAIIAggCCAIIAggCCAIIAggCCAIIAggCCAIIAggCCAIWAgMCwAIeAALdAgICJwIEAgUCBgIHAggCCQI7AgsCDAINAggCCAIIAggCCAIIAggCCAIIAggCCAIIAggCCAIIAggCCAIWAgMCxAIeAALdAgICZQIEAgUCBgIHAggCCQI7AgsCDAINAggCCAIIAggCCAIIAggCCAIIAggCCAIIAggCCAIIAggCCAIWAgMCxQIeAALdAgICHwIEAgUCBgIHAggCCQIKAgsCDAINAggCCAIIAggCCAIIAggCCAIIAggCCAIIAggCCAIIAggCCAIWAgMCIAIeAALdAgICbQIEAgUCBgIHAggCCQIKAgsCDAINAggCCAIIAggCCAIIAggCCAIIAggCCAIIAggCCAIIAggCCAIWAgMCpQIeAALdAgICagIEAgUCBgIHAggCCQIKAgsCDAINAggCCAIIAggCCAIIAggCCAIIAggCCAIIAggCCAIIAggCCAIWAgMCqgIeAALdAgICAwIEAgUCBgIHAggCCQI7AgsCDAINAggCCAIIAggCCAIIAggCCAIIAggCCAIIAggCCAIIAggCCAIWAgMCywIeAALdAgICYgIEAgUCBgIHAggCCQI7AgsCDAINAggCCAIIAggCCAIIAggCCAIIAggCCAIIAggCCAIIAggCCAIWAgMCzAIeAALdAgICcAIEAgUCBgIHAggCCQI7AgsCDAINAggCCAIIAggCCAIIAggCCAIIAggCCAIIAggCCAIIAggCCAIWAgMCugIeAALdAgICIQIEAgUCBgIHAggCCQKRAgsCDAINAggCCAIIAggCCAIIAggCCAIIAggCCAIIAggCCAIIAggCCAIWAgMCygIeAALdAnoAAAQAAgIpAgQCBQIGAgcCCAIJAgoCCwIMAg0CCAIIAggCCAIIAggCCAIIAggCCAIIAggCCAIIAggCCAIIAhYCAwIqAh4AAt0CAgJYAgQCBQIGAgcCCAIJAgoCCwIMAg0CCAIIAggCCAIIAggCCAIIAggCCAIIAggCCAIIAggCCAIIAhYCAwK/Ah4AAt0CAgIxAgQCBQIGAgcCCAIJAgoCCwIMAg0CCAIIAggCCAIIAggCCAIIAggCCAIIAggCCAIIAggCCAIIAhYCAwIyAh4AAt0CAgIvAgQCBQIGAgcCCAIJAjsCCwIMAg0CCAIIAggCCAIIAggCCAIIAggCCAIIAggCCAIIAggCCAIIAhYCAwKZAh4AAt0CAgJcAgQCBQIGAgcCCAIJAgoCCwIMAg0CCAIIAggCCAIIAggCCAIIAggCCAIIAggCCAIIAggCCAIIAhYCAwLHAh4AAt0CAgIzAgQCBQIGAgcCCAIJAjsCCwIMAg0CCAIIAggCCAIIAggCCAIIAggCCAIIAggCCAIIAggCCAIIAhYCAwK5Ah4AAt0CAgJJAgQCBQIGAgcCCAIJAjsCCwIMAg0CCAIIAggCCAIIAggCCAIIAggCCAIIAggCCAIIAggCCAIIAhYCAwKXAh4AAt0CAgJqAgQCBQIGAgcCCAIJAjsCCwIMAg0CCAIIAggCCAIIAggCCAIIAggCCAIIAggCCAIIAggCCAIIAhYCAwK0Ah4AAt0CAgIrAgQCBQIGAgcCCAIJApECCwIMAg0CCAIIAggCCAIIAggCCAIIAggCCAIIAggCCAIIAggCCAIIAhYCAwKdAh4AAt0CAgJlAgQCBQIGAgcCCAIJApECCwIMAg0CCAIIAggCCAIIAggCCAIIAggCCAIIAggCCAIIAggCCAIIAhYCAwK2Ah4AAt0CAgIfAgQCBQIGAgcCCAIJAjsCCwIMAg0CCAIIAggCCAIIAggCCAIIAggCCAIIAggCCAIIAggCCAIIAhYCAwKzAh4AAt0CAgIbAgQCBQIGAgcCCAIJApECCwIMAg0CCAIIAggCCAIIAggCCAIIAggCCAIIAggCCAIIAggCCAIIAhYCAwJAAh4AAt0CAgJlAgQCBQIGAgcCCAIJAgoCCwIMAg0CCAIIAggCCAIIAggCCAIIAggCCAIIAggCCAIIAggCCAIIAhYCAwKYAh4AAt0CAgJPAgQCBQIGAgcCCAIJAgoCCwIMAg0CCAIIAggCCAIIAggCCAIIAggCCAIIAggCCAIIAggCCAIIAhYCAwKjAh4AAt0CAgInAgQCBQIGAgcCCAIJAgoCCwIMAg0CCAIIAggCCAIIAggCCAIIAggCCAIIAggCCAIIAggCCAIIAnoAAAQAFgIDAigCHgAC3QICAmICBAIFAgYCBwIIAgkCkQILAgwCDQIIAggCCAIIAggCCAIIAggCCAIIAggCCAIIAggCCAIIAggCFgIDArcCHgAC3QICAgMCBAIFAgYCBwIIAgkCkQILAgwCDQIIAggCCAIIAggCCAIIAggCCAIIAggCCAIIAggCCAIIAggCFgIDAkACHgAC3QICAjMCBAIFAgYCBwIIAgkCkQILAgwCDQIIAggCCAIIAggCCAIIAggCCAIIAggCCAIIAggCCAIIAggCFgIDAq4CHgAC3QICAk8CBAIFAgYCBwIIAgkCOwILAgwCDQIIAggCCAIIAggCCAIIAggCCAIIAggCCAIIAggCCAIIAggCFgIDArICHgAC3QICAi8CBAIFAgYCBwIIAgkCCgILAgwCDQIIAggCCAIIAggCCAIIAggCCAIIAggCCAIIAggCCAIIAggCFgIDAjACHgAC3QICAkUCBAIFAgYCBwIIAgkCCgILAgwCDQIIAggCCAIIAggCCAIIAggCCAIIAggCCAIIAggCCAIIAggCFgIDAq0CHgAC3QICAjUCBAIFAgYCBwIIAgkCOwILAgwCDQIIAggCCAIIAggCCAIIAggCCAIIAggCCAIIAggCCAIIAggCFgIDArECHgAC3QICAisCBAIFAgYCBwIIAgkCOwILAgwCDQIIAggCCAIIAggCCAIIAggCCAIIAggCCAIIAggCCAIIAggCFgIDAqkCHgAC3QICAjECBAIFAgYCBwIIAgkCOwILAgwCDQIIAggCCAIIAggCCAIIAggCCAIIAggCCAIIAggCCAIIAggCFgIDAqwCHgAC3QICAh0CBAIFAgYCBwIIAgkCOwILAgwCDQIIAggCCAIIAggCCAIIAggCCAIIAggCCAIIAggCCAIIAggCFgIDAqgCHgAC3QICAkECBAIFAgYCBwIIAgkCOwILAgwCDQIIAggCCAIIAggCCAIIAggCCAIIAggCCAIIAggCCAIIAggCFgIDAqsCHgAC3QICAlwCBAIFAgYCBwIIAgkCOwILAgwCDQIIAggCCAIIAggCCAIIAggCCAIIAggCCAIIAggCCAIIAggCFgIDAqYCHgAC3QICAkkCBAIFAgYCBwIIAgkCkQILAgwCDQIIAggCCAIIAggCCAIIAggCCAIIAggCCAIIAggCCAIIAggCFgIDArACHgAC3QICAiUCBAIFAgYCBwIIAgkCkQILAgwCDQIIAggCCAIIAggCCAIIAggCCAIIAggCCAIIAggCCAIIAggCFgIDAqcCHgAC3gAJNTY5NDgzODA4AgICKwIEAgUCBgIHAggCCQIKAgsCOAINAggCCAIIAggCCAIIAnoAAAQACAIIAggCCAIIAggCCAIIAggCCAIIAhcCAwJhAh4AAt4CAgJYAgQCBQIGAgcCCAIJAj0CCwI4Ag0CCAIIAggCCAIIAggCCAIIAggCCAIIAggCCAIIAggCCAIIAhcCAwJfAh4AAt4CAgJYAgQCBQIGAgcCCAIJAjsCCwI4Ag0CCAIIAggCCAIIAggCCAIIAggCCAIIAggCCAIIAggCCAIIAhcCAwJZAh4AAt4CAgIpAgQCBQIGAgcCCAIJAj0CCwI4Ag0CCAIIAggCCAIIAggCCAIIAggCCAIIAggCCAIIAggCCAIIAhcCAwJaAh4AAt4CAgIpAgQCBQIGAgcCCAIJAjsCCwI4Ag0CCAIIAggCCAIIAggCCAIIAggCCAIIAggCCAIIAggCCAIIAhcCAwJbAh4AAt4CAgJFAgQCBQIGAgcCCAIJAgoCCwI4Ag0CCAIIAggCCAIIAggCCAIIAggCCAIIAggCCAIIAggCCAIIAhcCAwKKAh4AAt4CAgIdAgQCBQIGAgcCCAIJAgoCCwI4Ag0CCAIIAggCCAIIAggCCAIIAggCCAIIAggCCAIIAggCCAIIAhcCAwJOAh4AAt4CAgJqAgQCBQIGAgcCCAIJAjsCCwI4Ag0CCAIIAggCCAIIAggCCAIIAggCCAIIAggCCAIIAggCCAIIAhcCAwJ/Ah4AAt4CAgJqAgQCBQIGAgcCCAIJAj0CCwI4Ag0CCAIIAggCCAIIAggCCAIIAggCCAIIAggCCAIIAggCCAIIAhcCAwKEAh4AAt4CAgIbAgQCBQIGAgcCCAIJAgoCCwI4Ag0CCAIIAggCCAIIAggCCAIIAggCCAIIAggCCAIIAggCCAIIAhcCAwKIAh4AAt4CAgIfAgQCBQIGAgcCCAIJAj0CCwI4Ag0CCAIIAggCCAIIAggCCAIIAggCCAIIAggCCAIIAggCCAIIAhcCAwKDAh4AAt4CAgIfAgQCBQIGAgcCCAIJAjsCCwI4Ag0CCAIIAggCCAIIAggCCAIIAggCCAIIAggCCAIIAggCCAIIAhcCAwJ9Ah4AAt4CAgJBAgQCBQIGAgcCCAIJAgoCCwI4Ag0CCAIIAggCCAIIAggCCAIIAggCCAIIAggCCAIIAggCCAIIAhcCAwJSAh4AAt4CAgJFAgQCBQIGAgcCCAIJAj0CCwI4Ag0CCAIIAggCCAIIAggCCAIIAggCCAIIAggCCAIIAggCCAIIAhcCAwJGAh4AAt4CAgIpAgQCBQIGAgcCCAIJAgoCCwI4Ag0CCAIIAggCCAIIAggCCAIIAggCCAIIAggCCAIIAggCCAIIAhcCAwKHAh4AAt4CAgIlAgQCBQIGAgcCCAIJAgoCCwI4Ag0CCHoAAAQAAggCCAIIAggCCAIIAggCCAIIAggCCAIIAggCCAIIAggCFwIDAkQCHgAC3gICAm0CBAIFAgYCBwIIAgkCOwILAjgCDQIIAggCCAIIAggCCAIIAggCCAIIAggCCAIIAggCCAIIAggCFwIDAnwCHgAC3gICAkUCBAIFAgYCBwIIAgkCOwILAjgCDQIIAggCCAIIAggCCAIIAggCCAIIAggCCAIIAggCCAIIAggCFwIDAkwCHgAC3gICAhsCBAIFAgYCBwIIAgkCPQILAjgCDQIIAggCCAIIAggCCAIIAggCCAIIAggCCAIIAggCCAIIAggCFwIDAkACHgAC3gICAgMCBAIFAgYCBwIIAgkCPQILAjgCDQIIAggCCAIIAggCCAIIAggCCAIIAggCCAIIAggCCAIIAggCFwIDAkACHgAC3gICAiECBAIFAgYCBwIIAgkCOwILAjgCDQIIAggCCAIIAggCCAIIAggCCAIIAggCCAIIAggCCAIIAggCFwIDAoECHgAC3gICAlgCBAIFAgYCBwIIAgkCCgILAjgCDQIIAggCCAIIAggCCAIIAggCCAIIAggCCAIIAggCCAIIAggCFwIDAncCHgAC3gICAiECBAIFAgYCBwIIAgkCPQILAjgCDQIIAggCCAIIAggCCAIIAggCCAIIAggCCAIIAggCCAIIAggCFwIDAoACHgAC3gICAmUCBAIFAgYCBwIIAgkCOwILAjgCDQIIAggCCAIIAggCCAIIAggCCAIIAggCCAIIAggCCAIIAggCFwIDAmYCHgAC3gICAhsCBAIFAgYCBwIIAgkCOwILAjgCDQIIAggCCAIIAggCCAIIAggCCAIIAggCCAIIAggCCAIIAggCFwIDAjwCHgAC3gICAm0CBAIFAgYCBwIIAgkCPQILAjgCDQIIAggCCAIIAggCCAIIAggCCAIIAggCCAIIAggCCAIIAggCFwIDAn4CHgAC3gICAicCBAIFAgYCBwIIAgkCPQILAjgCDQIIAggCCAIIAggCCAIIAggCCAIIAggCCAIIAggCCAIIAggCFwIDAnYCHgAC3gICAmUCBAIFAgYCBwIIAgkCPQILAjgCDQIIAggCCAIIAggCCAIIAggCCAIIAggCCAIIAggCCAIIAggCFwIDAnQCHgAC3gICAkkCBAIFAgYCBwIIAgkCCgILAjgCDQIIAggCCAIIAggCCAIIAggCCAIIAggCCAIIAggCCAIIAggCFwIDAkoCHgAC3gICAicCBAIFAgYCBwIIAgkCOwILAjgCDQIIAggCCAIIAggCCAIIAggCCAIIAggCCAIIAggCCAIIAggCFwIDAmgCHgAC3gICAjECBAIFAgYCBwIIAnoAAAQACQIKAgsCOAINAggCCAIIAggCCAIIAggCCAIIAggCCAIIAggCCAIIAggCCAIXAgMCVwIeAALeAgICTwIEAgUCBgIHAggCCQI7AgsCOAINAggCCAIIAggCCAIIAggCCAIIAggCCAIIAggCCAIIAggCCAIXAgMCjgIeAALeAgICSQIEAgUCBgIHAggCCQI9AgsCOAINAggCCAIIAggCCAIIAggCCAIIAggCCAIIAggCCAIIAggCCAIXAgMCVgIeAALeAgICMwIEAgUCBgIHAggCCQIKAgsCOAINAggCCAIIAggCCAIIAggCCAIIAggCCAIIAggCCAIIAggCCAIXAgMCbwIeAALeAgICYgIEAgUCBgIHAggCCQI7AgsCOAINAggCCAIIAggCCAIIAggCCAIIAggCCAIIAggCCAIIAggCCAIXAgMCZwIeAALeAgICNQIEAgUCBgIHAggCCQI9AgsCOAINAggCCAIIAggCCAIIAggCCAIIAggCCAIIAggCCAIIAggCCAIXAgMCaQIeAALeAgICAwIEAgUCBgIHAggCCQI7AgsCOAINAggCCAIIAggCCAIIAggCCAIIAggCCAIIAggCCAIIAggCCAIXAgMCbAIeAALeAgICNQIEAgUCBgIHAggCCQI7AgsCOAINAggCCAIIAggCCAIIAggCCAIIAggCCAIIAggCCAIIAggCCAIXAgMCiwIeAALeAgICcAIEAgUCBgIHAggCCQIKAgsCOAINAggCCAIIAggCCAIIAggCCAIIAggCCAIIAggCCAIIAggCCAIXAgMCcQIeAALeAgICYgIEAgUCBgIHAggCCQIKAgsCOAINAggCCAIIAggCCAIIAggCCAIIAggCCAIIAggCCAIIAggCCAIXAgMCggIeAALeAgICbQIEAgUCBgIHAggCCQIKAgsCOAINAggCCAIIAggCCAIIAggCCAIIAggCCAIIAggCCAIIAggCCAIXAgMCbgIeAALeAgICAwIEAgUCBgIHAggCCQIKAgsCOAINAggCCAIIAggCCAIIAggCCAIIAggCCAIIAggCCAIIAggCCAIXAgMChgIeAALeAgICTwIEAgUCBgIHAggCCQI9AgsCOAINAggCCAIIAggCCAIIAggCCAIIAggCCAIIAggCCAIIAggCCAIXAgMCZAIeAALeAgICYgIEAgUCBgIHAggCCQI9AgsCOAINAggCCAIIAggCCAIIAggCCAIIAggCCAIIAggCCAIIAggCCAIXAgMCYwIeAALeAgICJwIEAgUCBgIHAggCCQIKAgsCOAINAggCCAIIAggCCAIIAggCCAIIAggCCAIIAggCCAIIAggCCAIXAgMCjwIeAALeAgICZXoAAAQAAgQCBQIGAgcCCAIJAgoCCwI4Ag0CCAIIAggCCAIIAggCCAIIAggCCAIIAggCCAIIAggCCAIIAhcCAwKMAh4AAt4CAgJJAgQCBQIGAgcCCAIJAjsCCwI4Ag0CCAIIAggCCAIIAggCCAIIAggCCAIIAggCCAIIAggCCAIIAhcCAwJTAh4AAt4CAgIvAgQCBQIGAgcCCAIJAjsCCwI4Ag0CCAIIAggCCAIIAggCCAIIAggCCAIIAggCCAIIAggCCAIIAhcCAwKNAh4AAt4CAgIvAgQCBQIGAgcCCAIJAj0CCwI4Ag0CCAIIAggCCAIIAggCCAIIAggCCAIIAggCCAIIAggCCAIIAhcCAwJyAh4AAt4CAgIlAgQCBQIGAgcCCAIJAj0CCwI4Ag0CCAIIAggCCAIIAggCCAIIAggCCAIIAggCCAIIAggCCAIIAhcCAwJVAh4AAt4CAgIlAgQCBQIGAgcCCAIJAjsCCwI4Ag0CCAIIAggCCAIIAggCCAIIAggCCAIIAggCCAIIAggCCAIIAhcCAwJeAh4AAt4CAgJcAgQCBQIGAgcCCAIJAgoCCwI4Ag0CCAIIAggCCAIIAggCCAIIAggCCAIIAggCCAIIAggCCAIIAhcCAwJdAh4AAt4CAgIxAgQCBQIGAgcCCAIJAj0CCwI4Ag0CCAIIAggCCAIIAggCCAIIAggCCAIIAggCCAIIAggCCAIIAhcCAwJAAh4AAt4CAgJcAgQCBQIGAgcCCAIJAj0CCwI4Ag0CCAIIAggCCAIIAggCCAIIAggCCAIIAggCCAIIAggCCAIIAhcCAwKJAh4AAt4CAgIrAgQCBQIGAgcCCAIJAj0CCwI4Ag0CCAIIAggCCAIIAggCCAIIAggCCAIIAggCCAIIAggCCAIIAhcCAwJHAh4AAt4CAgIvAgQCBQIGAgcCCAIJAgoCCwI4Ag0CCAIIAggCCAIIAggCCAIIAggCCAIIAggCCAIIAggCCAIIAhcCAwJLAh4AAt4CAgJwAgQCBQIGAgcCCAIJAjsCCwI4Ag0CCAIIAggCCAIIAggCCAIIAggCCAIIAggCCAIIAggCCAIIAhcCAwJ1Ah4AAt4CAgIzAgQCBQIGAgcCCAIJAj0CCwI4Ag0CCAIIAggCCAIIAggCCAIIAggCCAIIAggCCAIIAggCCAIIAhcCAwJRAh4AAt4CAgJwAgQCBQIGAgcCCAIJAj0CCwI4Ag0CCAIIAggCCAIIAggCCAIIAggCCAIIAggCCAIIAggCCAIIAhcCAwJ7Ah4AAt4CAgI1AgQCBQIGAgcCCAIJAgoCCwI4Ag0CCAIIAggCCAIIAggCCAIIAggCCAIIAggCCAIIAggCCAIIAhcCA3oAAAM+AlQCHgAC3gICAk8CBAIFAgYCBwIIAgkCCgILAjgCDQIIAggCCAIIAggCCAIIAggCCAIIAggCCAIIAggCCAIIAggCFwIDAlACHgAC3gICAjMCBAIFAgYCBwIIAgkCOwILAjgCDQIIAggCCAIIAggCCAIIAggCCAIIAggCCAIIAggCCAIIAggCFwIDAngCHgAC3gICAh0CBAIFAgYCBwIIAgkCPQILAjgCDQIIAggCCAIIAggCCAIIAggCCAIIAggCCAIIAggCCAIIAggCFwIDAj4CHgAC3gICAkECBAIFAgYCBwIIAgkCPQILAjgCDQIIAggCCAIIAggCCAIIAggCCAIIAggCCAIIAggCCAIIAggCFwIDAkMCHgAC3gICAiECBAIFAgYCBwIIAgkCCgILAjgCDQIIAggCCAIIAggCCAIIAggCCAIIAggCCAIIAggCCAIIAggCFwIDAjoCHgAC3gICAh8CBAIFAgYCBwIIAgkCCgILAjgCDQIIAggCCAIIAggCCAIIAggCCAIIAggCCAIIAggCCAIIAggCFwIDAnoCHgAC3gICAjECBAIFAgYCBwIIAgkCOwILAjgCDQIIAggCCAIIAggCCAIIAggCCAIIAggCCAIIAggCCAIIAggCFwIDAnkCHgAC3gICAlwCBAIFAgYCBwIIAgkCOwILAjgCDQIIAggCCAIIAggCCAIIAggCCAIIAggCCAIIAggCCAIIAggCFwIDAnMCHgAC3gICAkECBAIFAgYCBwIIAgkCOwILAjgCDQIIAggCCAIIAggCCAIIAggCCAIIAggCCAIIAggCCAIIAggCFwIDAkICHgAC3gICAh0CBAIFAgYCBwIIAgkCOwILAjgCDQIIAggCCAIIAggCCAIIAggCCAIIAggCCAIIAggCCAIIAggCFwIDAj8CHgAC3gICAisCBAIFAgYCBwIIAgkCOwILAjgCDQIIAggCCAIIAggCCAIIAggCCAIIAggCCAIIAggCCAIIAggCFwIDAkgCHgAC3gICAmoCBAIFAgYCBwIIAgkCCgILAjgCDQIIAggCCAIIAggCCAIIAggCCAIIAggCCAIIAggCCAIIAggCFwIDAms=]]></xxe4awand>
</file>

<file path=customXml/item5.xml><?xml version="1.0" encoding="utf-8"?>
<xxe4awand xmlns="http://www.excel4apps.com"><![CDATA[rO0ABXfZCMCtii8CJgKZAh4AAERjb20uZXhjZWw0YXBwcy53YW5kLm9yYWNsZS5n
bHdhbmQuY2FsY3VsYXRpb25zLmdldGJhbGFuY2UuR2V0QmFsYW5jZQIBAAk1MjE3
OTc5MjgCAgABMAIDAAYyMDE2MTACBAADWVREAgUAA1VTRAIGAAVUb3RhbAIHAAFB
AggAAAIJAAMwMDECCgAGMTkxMDEwAgsAAkdEAgwAAklEAg0AAkRMAggCCAIIAggC
CAIIAggCCAIIAggCCAIIAggCCAIIAggCCAITAgMCDnNyAg8AFGphdmEubWF0aC5C
aWdEZWNpbWFsVMcVV/mBKE8DAAJJAhAABXNjYWxlTAIRAAZpbnRWYWx0ABZMamF2
YS9tYXRoL0JpZ0ludGVnZXI7eHICEgAQamF2YS5sYW5nLk51bWJlcoaslR0LlOCL
AgAAeHAAAAACc3ICEwAUamF2YS5tYXRoLkJpZ0ludGVnZXKM/J8fqTv7HQMABkkC
FAAIYml0Q291bnRJAhUACWJpdExlbmd0aEkCFgATZmlyc3ROb256ZXJvQnl0ZU51
bUkCFwAMbG93ZXN0U2V0Qml0SQIYAAZzaWdudW1bAhkACW1hZ25pdHVkZXQAAltC
eHEAfgAC///////////////+/////v////91cgIaAAJbQqzzF/gGCFTgAgAAeHAA
AAAENJhHI3h4d00CHgACAQICAhsABjIwMTcxMQIEAgUCBgIHAggCCQIKAgsCDAIN
AggCCAIIAggCCAIIAggCCAIIAggCCAIIAggCCAIIAggCCAITAgMCHHNxAH4AAAAA
AAJzcQB+AAT///////////////7////+/////3VxAH4ABwAAAAQcI3yQeHh3VQIeAAIBAgICHQAGMjAxNjAzAgQCBQIGAgcCCAIJAh4ABjE5MTAxNQILAgwCDQIIAggCCAIIAggCCAIIAggCCAIIAggCCAIIAggCCAIIAggCEwIDAh9zcQB+AAAAAAACc3EAfgAE///////////////+/////v////91cQB+AAcAAAADElupeHh3VQIeAAIBAgICIAAGMjAxNjA1AgQCBQIGAgcCCAIJAiEABjE5MTAwMAILAgwCDQIIAggCCAIIAggCCAIIAggCCAIIAggCCAIIAggCCAIIAggCEwIDAiJzcQB+AAAAAAACc3EAfgAE///////////////+/////v////91cQB+AAcAAAAEAc1Kd3h4d00CHgACAQICAiMABjIwMTgwNQIEAgUCBgIHAggCCQIeAgsCDAINAggCCAIIAggCCAIIAggCCAIIAggCCAIIAggCCAIIAggCCAITAgMCJHNxAH4AAAAAAAJzcQB+AAT///////////////7////+AAAAAHVxAH4ABwAAAAB4eHdFAh4AAgECAgIjAgQCBQIGAgcCCAIJAgoCCwIMAg0CCAIIAggCCAIIAggCCAIIAggCCAIIAggCCAIIAggCCAIIAhMCAwIlc3EAfgAAAAAAAnNxAH4ABP///////////////v////7/////dXEAfgAHAAAABC/+xlx4eHdNAh4AAgECAgImAAYyMDE3MDYCBAIFAgYCBwIIAgkCIQILAgwCDQIIAggCCAIIAggCCAIIAggCCAIIAggCCAIIAggCCAIIAggCEwIDAidzcQB+AAAAAAACc3EAfgAE///////////////+/////v////91cQB+AAcAAAAEAW1K0nh4d00CHgACAQICAigABjIwMTYwNAIEAgUCBgIHAggCCQIKAgsCDAINAggCCAIIAggCCAIIAggCCAIIAggCCAIIAggCCAIIAggCCAITAgMCKXNxAH4AAAAAAAJzcQB+AAT///////////////7////+/////3VxAH4ABwAAAAQjxnj9eHh3TQIeAAIBAgICKgAGMjAxNzA1AgQCBQIGAgcCCAIJAgoCCwIMAg0CCAIIAggCCAIIAggCCAIIAggCCAIIAggCCAIIAggCCAIIAhMCAwIrc3EAfgAAAAAAAnNxAH4ABP///////////////v////7/////dXEAfgAHAAAABComTwt4eHdNAh4AAgECAgIsAAYyMDE2MTECBAIFAgYCBwIIAgkCIQILAgwCDQIIAggCCAIIAggCCAIIAggCCAIIAggCCAIIAggCCAIIAggCEwIDAi1zcQB+AAAAAAACc3EAfgAE///////////////+/////v////91cQB+AAcAAAAEJZDR+3h4d00CHgACAQICAi4ABjIwMTYwNgIEAgUCBgIHAggCCQIhAgsCDAINAggCCAIIAggCCAIIAggCCAIIAggCCAIIAggCCAIIAggCCAITAgMCL3NxAH4AAAAAAAJzcQB+AAT///////////////7////+/////3VxAH4ABwAAAAQBZMryeHh3TQIeAAIBAgICMAAGMjAxNzEwAgQCBQIGAgcCCAIJAgoCCwIMAg0CCAIIAggCCAIIAggCCAIIAggCCAIIAggCCAIIAggCCAIIAhMCAwIxc3EAfgAAAAAAAnNxAH4ABP///////////////v////7/////dXEAfgAHAAAABENETeB4eHdFAh4AAgECAgIwAgQCBQIGAgcCCAIJAh4CCwIMAg0CCAIIAggCCAIIAggCCAIIAggCCAIIAggCCAIIAggCCAIIAhMCAwIyc3EAfgAAAAAAAnNxAH4ABP///////////////v////7/////dXEAfgAHAAAAAxKmonh4d00CHgACAQICAjMABjIwMTcwMwIEAgUCBgIHAggCCQIeAgsCDAINAggCCAIIAggCCAIIAggCCAIIAggCCAIIAggCCAIIAggCCAITAgMCNHNxAH4AAAAAAAJzcQB+AAT///////////////7////+/////3VxAH4ABwAAAAMSit94eHdNAh4AAgECAgI1AAYyMDE3MTICBAIFAgYCBwIIAgkCCgILAgwCDQIIAggCCAIIAggCCAIIAggCCAIIAggCCAIIAggCCAIIAggCEwIDAjZzcQB+AAAAAAACc3EAfgAE///////////////+/////v////91cQB+AAcAAAAEJDRt9Hh4d0UCHgACAQICAioCBAIFAgYCBwIIAgkCHgILAgwCDQIIAggCCAIIAggCCAIIAggCCAIIAggCCAIIAggCCAIIAggCEwIDAjdzcQB+AAAAAAACc3EAfgAE///////////////+/////v////91cQB+AAcAAAADEpLKeHh3mgIeAAIBAgICOAAGMjAxODA2AgQCBQIGAgcCCAIJAh4CCwIMAg0CCAIIAggCCAIIAggCCAIIAggCCAIIAggCCAIIAggCCAIIAhMCAwIkAh4AAgECAgI5AAYyMDE3MDcCBAIFAgYCBwIIAgkCIQILAgwCDQIIAggCCAIIAggCCAIIAggCCAIIAggCCAIIAggCCAIIAggCEwIDAjpzcQB+AAAAAAACc3EAfgAE///////////////+/////v////91cQB+AAcAAAADTrgKeHh3igIeAAIBAgICOAIEAgUCBgIHAggCCQIKAgsCDAINAggCCAIIAggCCAIIAggCCAIIAggCCAIIAggCCAIIAggCCAITAgMCJQIeAAIBAgICGwIEAgUCBgIHAggCCQIhAgsCDAINAggCCAIIAggCCAIIAggCCAIIAggCCAIIAggCCAIIAggCCAITAgMCO3NxAH4AAAAAAAJzcQB+AAT///////////////7////+/////3VxAH4ABwAAAAQewHRseHh3RQIeAAIBAgICAwIEAgUCBgIHAggCCQIhAgsCDAINAggCCAIIAggCCAIIAggCCAIIAggCCAIIAggCCAIIAggCCAITAgMCPHNxAH4AAAAAAAJzcQB+AAT///////////////7////+AAAAAXVxAH4ABwAAAAO5cnx4eHdFAh4AAgECAgImAgQCBQIGAgcCCAIJAgoCCwIMAg0CCAIIAggCCAIIAggCCAIIAggCCAIIAggCCAIIAggCCAIIAhMCAwI9c3EAfgAAAAAAAnNxAH4ABP///////////////v////7/////dXEAfgAHAAAABCoLRiF4eHdNAh4AAgECAgI+AAYyMDE2MDcCBAIFAgYCBwIIAgkCIQILAgwCDQIIAggCCAIIAggCCAIIAggCCAIIAggCCAIIAggCCAIIAggCEwIDAj9zcQB+AAAAAAACc3EAfgAE///////////////+/////v////91cQB+AAcAAAAEAQaUYHh4d00CHgACAQICAkAABjIwMTYxMgIEAgUCBgIHAggCCQIKAgsCDAINAggCCAIIAggCCAIIAggCCAIIAggCCAIIAggCCAIIAggCCAITAgMCQXNxAH4AAAAAAAJzcQB+AAT///////////////7////+/////3VxAH4ABwAAAAQVrLWfeHh3RQIeAAIBAgICIAIEAgUCBgIHAggCCQIKAgsCDAINAggCCAIIAggCCAIIAggCCAIIAggCCAIIAggCCAIIAggCCAITAgMCQnNxAH4AAAAAAAJzcQB+AAT///////////////7////+/////3VxAH4ABwAAAAQmLzLCeHh3RQIeAAIBAgICJgIEAgUCBgIHAggCCQIeAgsCDAINAggCCAIIAggCCAIIAggCCAIIAggCCAIIAggCCAIIAggCCAITAgMCQ3NxAH4AAAAAAAJzcQB+AAT///////////////7////+/////3VxAH4ABwAAAAMSlsB4eHdFAh4AAgECAgIjAgQCBQIGAgcCCAIJAiECCwIMAg0CCAIIAggCCAIIAggCCAIIAggCCAIIAggCCAIIAggCCAIIAhMCAwJEc3EAfgAAAAAAAnNxAH4ABP///////////////v////4AAAABdXEAfgAHAAAAAzaltnh4d0UCHgACAQICAh0CBAIFAgYCBwIIAgkCIQILAgwCDQIIAggCCAIIAggCCAIIAggCCAIIAggCCAIIAggCCAIIAggCEwIDAkVzcQB+AAAAAAACc3EAfgAE///////////////+/////v////91cQB+AAcAAAAEAvtLi3h4d00CHgACAQICAkYABjIwMTcwOQIEAgUCBgIHAggCCQIhAgsCDAINAggCCAIIAggCCAIIAggCCAIIAggCCAIIAggCCAIIAggCCAITAgMCR3NxAH4AAAAAAAJzcQB+AAT///////////////7////+AAAAAXVxAH4ABwAAAAQCWhLSeHh3TQIeAAIBAgICSAAGMjAxNzA0AgQCBQIGAgcCCAIJAiECCwIMAg0CCAIIAggCCAIIAggCCAIIAggCCAIIAggCCAIIAggCCAIIAhMCAwJJc3EAfgAAAAAAAnNxAH4ABP///////////////v////7/////dXEAfgAHAAAABAUEo0F4eHdNAh4AAgECAgJKAAYyMDE2MDgCBAIFAgYCBwIIAgkCIQILAgwCDQIIAggCCAIIAggCCAIIAggCCAIIAggCCAIIAggCCAIIAggCEwIDAktzcQB+AAAAAAACc3EAfgAE///////////////+/////v////91cQB+AAcAAAADnrKqeHh3RQIeAAIBAgICMwIEAgUCBgIHAggCCQIKAgsCDAINAggCCAIIAggCCAIIAggCCAIIAggCCAIIAggCCAIIAggCCAITAgMCTHNxAH4AAAAAAAJzcQB+AAT///////////////7////+/////3VxAH4ABwAAAAQmeB9xeHh3RQIeAAIBAgICKAIEAgUCBgIHAggCCQIeAgsCDAINAggCCAIIAggCCAIIAggCCAIIAggCCAIIAggCCAIIAggCCAITAgMCTXNxAH4AAAAAAAJzcQB+AAT///////////////7////+/////3VxAH4ABwAAAAMSX5R4eHdNAh4AAgECAgJOAAYyMDE3MDgCBAIFAgYCBwIIAgkCCgILAgwCDQIIAggCCAIIAggCCAIIAggCCAIIAggCCAIIAggCCAIIAggCEwIDAk9zcQB+AAAAAAACc3EAfgAE///////////////+/////v////91cQB+AAcAAAAENDlU6Hh4d0UCHgACAQICAjUCBAIFAgYCBwIIAgkCIQILAgwCDQIIAggCCAIIAggCCAIIAggCCAIIAggCCAIIAggCCAIIAggCEwIDAlBzcQB+AAAAAAACc3EAfgAE///////////////+/////v////91cQB+AAcAAAAEFreoonh4d0UCHgACAQICAj4CBAIFAgYCBwIIAgkCHgILAgwCDQIIAggCCAIIAggCCAIIAggCCAIIAggCCAIIAggCCAIIAggCEwIDAlFzcQB+AAAAAAACc3EAfgAE///////////////+/////v////91cQB+AAcAAAADEmtYeHh3RQIeAAIBAgICAwIEAgUCBgIHAggCCQIeAgsCDAINAggCCAIIAggCCAIIAggCCAIIAggCCAIIAggCCAIIAggCCAITAgMCUnNxAH4AAAAAAAJzcQB+AAT///////////////7////+/////3VxAH4ABwAAAAMSdyV4eHdFAh4AAgECAgJOAgQCBQIGAgcCCAIJAh4CCwIMAg0CCAIIAggCCAIIAggCCAIIAggCCAIIAggCCAIIAggCCAIIAhMCAwJTc3EAfgAAAAAAAnNxAH4ABP///////////////v////7/////dXEAfgAHAAAAAxKer3h4d4oCHgACAQICAhsCBAIFAgYCBwIIAgkCHgILAgwCDQIIAggCCAIIAggCCAIIAggCCAIIAggCCAIIAggCCAIIAggCEwIDAiQCHgACAQICAj4CBAIFAgYCBwIIAgkCCgILAgwCDQIIAggCCAIIAggCCAIIAggCCAIIAggCCAIIAggCCAIIAggCEwIDAlRzcQB+AAAAAAACc3EAfgAE///////////////+/////v////91cQB+AAcAAAAELv3gknh4d0UCHgACAQICAkYCBAIFAgYCBwIIAgkCCgILAgwCDQIIAggCCAIIAggCCAIIAggCCAIIAggCCAIIAggCCAIIAggCEwIDAlVzcQB+AAAAAAACc3EAfgAE///////////////+/////v////91cQB+AAcAAAAEOUUu/nh4d0UCHgACAQICAkoCBAIFAgYCBwIIAgkCCgILAgwCDQIIAggCCAIIAggCCAIIAggCCAIIAggCCAIIAggCCAIIAggCEwIDAlZzcQB+AAAAAAACc3EAfgAE///////////////+/////v////91cQB+AAcAAAAEMe+1GXh4d0UCHgACAQICAkoCBAIFAgYCBwIIAgkCHgILAgwCDQIIAggCCAIIAggCCAIIAggCCAIIAggCCAIIAggCCAIIAggCEwIDAldzcQB+AAAAAAACc3EAfgAE///////////////+/////v////91cQB+AAcAAAADEm9GeHh3RQIeAAIBAgICRgIEAgUCBgIHAggCCQIeAgsCDAINAggCCAIIAggCCAIIAggCCAIIAggCCAIIAggCCAIIAggCCAITAgMCWHNxAH4AAAAAAAJzcQB+AAT///////////////7////+/////3VxAH4ABwAAAAMSoqh4eHdFAh4AAgECAgIzAgQCBQIGAgcCCAIJAiECCwIMAg0CCAIIAggCCAIIAggCCAIIAggCCAIIAggCCAIIAggCCAIIAhMCAwJZc3EAfgAAAAAAAnNxAH4ABP///////////////v////7/////dXEAfgAHAAAABAi9SCF4eHdNAh4AAgECAgJaAAYyMDE2MDkCBAIFAgYCBwIIAgkCHgILAgwCDQIIAggCCAIIAggCCAIIAggCCAIIAggCCAIIAggCCAIIAggCEwIDAltzcQB+AAAAAAACc3EAfgAE///////////////+/////v////91cQB+AAcAAAADEnM1eHh3RQIeAAIBAgICQAIEAgUCBgIHAggCCQIeAgsCDAINAggCCAIIAggCCAIIAggCCAIIAggCCAIIAggCCAIIAggCCAITAgMCXHNxAH4AAAAAAAJzcQB+AAT///////////////7////+/////3VxAH4ABwAAAAMSfwZ4eHdFAh4AAgECAgJaAgQCBQIGAgcCCAIJAgoCCwIMAg0CCAIIAggCCAIIAggCCAIIAggCCAIIAggCCAIIAggCCAIIAhMCAwJdc3EAfgAAAAAAAnNxAH4ABP///////////////v////7/////dXEAfgAHAAAABDO8lpJ4eHdFAh4AAgECAgIgAgQCBQIGAgcCCAIJAh4CCwIMAg0CCAIIAggCCAIIAggCCAIIAggCCAIIAggCCAIIAggCCAIIAhMCAwJec3EAfgAAAAAAAnNxAH4ABP///////////////v////7/////dXEAfgAHAAAAAxJjf3h4d0UCHgACAQICAjACBAIFAgYCBwIIAgkCIQILAgwCDQIIAggCCAIIAggCCAIIAggCCAIIAggCCAIIAggCCAIIAggCEwIDAl9zcQB+AAAAAAACc3EAfgAE///////////////+/////gAAAAF1cQB+AAcAAAAEBhtaanh4d0UCHgACAQICAk4CBAIFAgYCBwIIAgkCIQILAgwCDQIIAggCCAIIAggCCAIIAggCCAIIAggCCAIIAggCCAIIAggCEwIDAmBzcQB+AAAAAAACc3EAfgAE///////////////+/////gAAAAF1cQB+AAcAAAAD/4leeHh3igIeAAIBAgICNQIEAgUCBgIHAggCCQIeAgsCDAINAggCCAIIAggCCAIIAggCCAIIAggCCAIIAggCCAIIAggCCAITAgMCJAIeAAIBAgICLAIEAgUCBgIHAggCCQIeAgsCDAINAggCCAIIAggCCAIIAggCCAIIAggCCAIIAggCCAIIAggCCAITAgMCYXNxAH4AAAAAAAJzcQB+AAT///////////////7////+/////3VxAH4ABwAAAAMSexV4eHdFAh4AAgECAgIuAgQCBQIGAgcCCAIJAh4CCwIMAg0CCAIIAggCCAIIAggCCAIIAggCCAIIAggCCAIIAggCCAIIAhMCAwJic3EAfgAAAAAAAnNxAH4ABP///////////////v////7/////dXEAfgAHAAAAAxJna3h4d0UCHgACAQICAjkCBAIFAgYCBwIIAgkCCgILAgwCDQIIAggCCAIIAggCCAIIAggCCAIIAggCCAIIAggCCAIIAggCEwIDAmNzcQB+AAAAAAACc3EAfgAE///////////////+/////v////91cQB+AAcAAAAELpGFK3h4d0UCHgACAQICAi4CBAIFAgYCBwIIAgkCCgILAgwCDQIIAggCCAIIAggCCAIIAggCCAIIAggCCAIIAggCCAIIAggCEwIDAmRzcQB+AAAAAAACc3EAfgAE///////////////+/////v////91cQB+AAcAAAAEKxALUXh4d0UCHgACAQICAjkCBAIFAgYCBwIIAgkCHgILAgwCDQIIAggCCAIIAggCCAIIAggCCAIIAggCCAIIAggCCAIIAggCEwIDAmVzcQB+AAAAAAACc3EAfgAE///////////////+/////v////91cQB+AAcAAAADEpq3eHh3RQIeAAIBAgICLAIEAgUCBgIHAggCCQIKAgsCDAINAggCCAIIAggCCAIIAggCCAIIAggCCAIIAggCCAIIAggCCAITAgMCZnNxAH4AAAAAAAJzcQB+AAT///////////////7////+/////3VxAH4ABwAAAAQL0RJ0eHh3RQIeAAIBAgICKAIEAgUCBgIHAggCCQIhAgsCDAINAggCCAIIAggCCAIIAggCCAIIAggCCAIIAggCCAIIAggCCAITAgMCZ3NxAH4AAAAAAAJzcQB+AAT///////////////7////+/////3VxAH4ABwAAAAQCUB7peHh3igIeAAIBAgICOAIEAgUCBgIHAggCCQIhAgsCDAINAggCCAIIAggCCAIIAggCCAIIAggCCAIIAggCCAIIAggCCAITAgMCRAIeAAIBAgICKgIEAgUCBgIHAggCCQIhAgsCDAINAggCCAIIAggCCAIIAggCCAIIAggCCAIIAggCCAIIAggCCAITAgMCaHNxAH4AAAAAAAJzcQB+AAT///////////////7////+/////3VxAH4ABwAAAAQC12dUeHh3RQIeAAIBAgICSAIEAgUCBgIHAggCCQIKAgsCDAINAggCCAIIAggCCAIIAggCCAIIAggCCAIIAggCCAIIAggCCAITAgMCaXNxAH4AAAAAAAJzcQB+AAT///////////////7////+/////3VxAH4ABwAAAAQp4OUTeHh3RQIeAAIBAgICWgIEAgUCBgIHAggCCQIhAgsCDAINAggCCAIIAggCCAIIAggCCAIIAggCCAIIAggCCAIIAggCCAITAgMCanNxAH4AAAAAAAJzcQB+AAT///////////////7////+/////3VxAH4ABwAAAAMy9xF4eHdFAh4AAgECAgJAAgQCBQIGAgcCCAIJAiECCwIMAg0CCAIIAggCCAIIAggCCAIIAggCCAIIAggCCAIIAggCCAIIAhMCAwJrc3EAfgAAAAAAAnNxAH4ABP///////////////v////7/////dXEAfgAHAAAABB0QqXR4eHdFAh4AAgECAgJIAgQCBQIGAgcCCAIJAh4CCwIMAg0CCAIIAggCCAIIAggCCAIIAggCCAIIAggCCAIIAggCCAIIAhMCAwJsc3EAfgAAAAAAAnNxAH4ABP///////////////v////7/////dXEAfgAHAAAAAxKO1Hh4d0UCHgACAQICAh0CBAIFAgYCBwIIAgkCCgILAgwCDQIIAggCCAIIAggCCAIIAggCCAIIAggCCAIIAggCCAIIAggCEwIDAm1zcQB+AAAAAAACc3EAfgAE///////////////+/////v////91cQB+AAcAAAAEHq4JT3h4d1QCHgACbgAJNTIxNzk2NzY4AgICLAIEAgUCBgIHAggCCQIKAgsCbwACV0ECDQIIAggCCAIIAggCCAIIAggCCAIIAggCCAIIAggCCAIIAggCEgIDAnBzcQB+AAAAAAACc3EAfgAE///////////////+/////v////91cQB+AAcAAAAEElQVqnh4d0UCHgACbgICAiACBAIFAgYCBwIIAgkCCgILAm8CDQIIAggCCAIIAggCCAIIAggCCAIIAggCCAIIAggCCAIIAggCEgIDAnFzcQB+AAAAAAACc3EAfgAE///////////////+/////v////91cQB+AAcAAAAETCsLgHh4d0UCHgACbgICAiYCBAIFAgYCBwIIAgkCCgILAm8CDQIIAggCCAIIAggCCAIIAggCCAIIAggCCAIIAggCCAIIAggCEgIDAnJzcQB+AAAAAAACc3EAfgAE///////////////+/////v////91cQB+AAcAAAAEWAsHLHh4d0UCHgACbgICAjUCBAIFAgYCBwIIAgkCCgILAm8CDQIIAggCCAIIAggCCAIIAggCCAIIAggCCAIIAggCCAIIAggCEgIDAnNzcQB+AAAAAAACc3EAfgAE///////////////+/////v////91cQB+AAcAAAAEQjS8fHh4d5oCHgACbgICAnQABjIwMTgwNAIEAgUCBgIHAggCCQJ1AAYxOTEwMjUCCwJvAg0CCAIIAggCCAIIAggCCAIIAggCCAIIAggCCAIIAggCCAIIAhICAwIkAh4AAm4CAgJOAgQCBQIGAgcCCAIJAiECCwJvAg0CCAIIAggCCAIIAggCCAIIAggCCAIIAggCCAIIAggCCAIIAhICAwJ2c3EAfgAAAAAAAnNxAH4ABP///////////////v////7/////dXEAfgAHAAAAAzKU1nh4d0UCHgACbgICAigCBAIFAgYCBwIIAgkCCgILAm8CDQIIAggCCAIIAggCCAIIAggCCAIIAggCCAIIAggCCAIIAggCEgIDAndzcQB+AAAAAAACc3EAfgAE///////////////+/////v////91cQB+AAcAAAAESHB4r3h4d0UCHgACbgICAj4CBAIFAgYCBwIIAgkCIQILAm8CDQIIAggCCAIIAggCCAIIAggCCAIIAggCCAIIAggCCAIIAggCEgIDAnhzcQB+AAAAAAACc3EAfgAE///////////////+/////v////91cQB+AAcAAAAEAzaSmXh4d00CHgACbgICAnkABjIwMTYwMgIEAgUCBgIHAggCCQJ1AgsCbwINAggCCAIIAggCCAIIAggCCAIIAggCCAIIAggCCAIIAggCCAISAgMCenNxAH4AAAAAAAJzcQB+AAT///////////////7////+/////3VxAH4ABwAAAAMSFct4eHdFAh4AAm4CAgIzAgQCBQIGAgcCCAIJAnUCCwJvAg0CCAIIAggCCAIIAggCCAIIAggCCAIIAggCCAIIAggCCAIIAhICAwJ7c3EAfgAAAAAAAnNxAH4ABP///////////////v////7/////dXEAfgAHAAAAAwSrl3h4d0UCHgACbgICAjACBAIFAgYCBwIIAgkCdQILAm8CDQIIAggCCAIIAggCCAIIAggCCAIIAggCCAIIAggCCAIIAggCEgIDAnxzcQB+AAAAAAACc3EAfgAE///////////////+/////v////91cQB+AAcAAAADA9yreHh3RQIeAAJuAgICAwIEAgUCBgIHAggCCQJ1AgsCbwINAggCCAIIAggCCAIIAggCCAIIAggCCAIIAggCCAIIAggCCAISAgMCfXNxAH4AAAAAAAJzcQB+AAT///////////////7////+/////3VxAH4ABwAAAAMFP694eHeKAh4AAm4CAgIbAgQCBQIGAgcCCAIJAnUCCwJvAg0CCAIIAggCCAIIAggCCAIIAggCCAIIAggCCAIIAggCCAIIAhICAwIkAh4AAm4CAgJAAgQCBQIGAgcCCAIJAgoCCwJvAg0CCAIIAggCCAIIAggCCAIIAggCCAIIAggCCAIIAggCCAIIAhICAwJ+c3EAfgAAAAAAAnNxAH4ABP///////////////v////7/////dXEAfgAHAAAABCij2ll4eHeKAh4AAm4CAgIjAgQCBQIGAgcCCAIJAnUCCwJvAg0CCAIIAggCCAIIAggCCAIIAggCCAIIAggCCAIIAggCCAIIAhICAwIkAh4AAm4CAgI4AgQCBQIGAgcCCAIJAgoCCwJvAg0CCAIIAggCCAIIAggCCAIIAggCCAIIAggCCAIIAggCCAIIAhICAwJ/c3EAfgAAAAAAAnNxAH4ABP///////////////v////7/////dXEAfgAHAAAABFzlwLB4eHdFAh4AAm4CAgIuAgQCBQIGAgcCCAIJAiECCwJvAg0CCAIIAggCCAIIAggCCAIIAggCCAIIAggCCAIIAggCCAIIAhICAwKAc3EAfgAAAAAAAnNxAH4ABP///////////////v////7/////dXEAfgAHAAAABAOri614eHdFAh4AAm4CAgIqAgQCBQIGAgcCCAIJAgoCCwJvAg0CCAIIAggCCAIIAggCCAIIAggCCAIIAggCCAIIAggCCAIIAhICAwKBc3EAfgAAAAAAAnNxAH4ABP///////////////v////7/////dXEAfgAHAAAABFn95fJ4eHdFAh4AAm4CAgJIAgQCBQIGAgcCCAIJAnUCCwJvAg0CCAIIAggCCAIIAggCCAIIAggCCAIIAggCCAIIAggCCAIIAhICAwKCc3EAfgAAAAAAAnNxAH4ABP///////////////v////7/////dXEAfgAHAAAAAwR0jXh4d0UCHgACbgICAh0CBAIFAgYCBwIIAgkCdQILAm8CDQIIAggCCAIIAggCCAIIAggCCAIIAggCCAIIAggCCAIIAggCEgIDAoNzcQB+AAAAAAACc3EAfgAE///////////////+/////v////91cQB+AAcAAAADDoPdeHh3RQIeAAJuAgICOQIEAgUCBgIHAggCCQIhAgsCbwINAggCCAIIAggCCAIIAggCCAIIAggCCAIIAggCCAIIAggCCAISAgMChHNxAH4AAAAAAAJzcQB+AAT///////////////7////+/////3VxAH4ABwAAAAQCCvb0eHh3RQIeAAJuAgICPgIEAgUCBgIHAggCCQIKAgsCbwINAggCCAIIAggCCAIIAggCCAIIAggCCAIIAggCCAIIAggCCAISAgMChXNxAH4AAAAAAAJzcQB+AAT///////////////7////+/////3VxAH4ABwAAAARaL7WteHh3RQIeAAJuAgICTgIEAgUCBgIHAggCCQIKAgsCbwINAggCCAIIAggCCAIIAggCCAIIAggCCAIIAggCCAIIAggCCAISAgMChnNxAH4AAAAAAAJzcQB+AAT///////////////7////+/////3VxAH4ABwAAAARlMUGreHh3RQIeAAJuAgICeQIEAgUCBgIHAggCCQIKAgsCbwINAggCCAIIAggCCAIIAggCCAIIAggCCAIIAggCCAIIAggCCAISAgMCh3NxAH4AAAAAAAJzcQB+AAT///////////////7////+/////3VxAH4ABwAAAAQ3OPVPeHh3RQIeAAJuAgICLAIEAgUCBgIHAggCCQIhAgsCbwINAggCCAIIAggCCAIIAggCCAIIAggCCAIIAggCCAIIAggCCAISAgMCiHNxAH4AAAAAAAJzcQB+AAT///////////////7////+/////3VxAH4ABwAAAARMQw4VeHh3RQIeAAJuAgICMwIEAgUCBgIHAggCCQIKAgsCbwINAggCCAIIAggCCAIIAggCCAIIAggCCAIIAggCCAIIAggCCAISAgMCiXNxAH4AAAAAAAJzcQB+AAT///////////////7////+/////3VxAH4ABwAAAARTY5smeHh3igIeAAJuAgICOAIEAgUCBgIHAggCCQJ1AgsCbwINAggCCAIIAggCCAIIAggCCAIIAggCCAIIAggCCAIIAggCCAISAgMCJAIeAAJuAgICKAIEAgUCBgIHAggCCQJ1AgsCbwINAggCCAIIAggCCAIIAggCCAIIAggCCAIIAggCCAIIAggCCAISAgMCinNxAH4AAAAAAAJzcQB+AAT///////////////7////+/////3VxAH4ABwAAAAMMxv54eHdFAh4AAm4CAgIqAgQCBQIGAgcCCAIJAnUCCwJvAg0CCAIIAggCCAIIAggCCAIIAggCCAIIAggCCAIIAggCCAIIAhICAwKLc3EAfgAAAAAAAnNxAH4ABP///////////////v////7/////dXEAfgAHAAAAAwRWK3h4d0UCHgACbgICAiYCBAIFAgYCBwIIAgkCIQILAm8CDQIIAggCCAIIAggCCAIIAggCCAIIAggCCAIIAggCCAIIAggCEgIDAoxzcQB+AAAAAAACc3EAfgAE///////////////+/////v////91cQB+AAcAAAAEA91NIHh4d0UCHgACbgICAiMCBAIFAgYCBwIIAgkCIQILAm8CDQIIAggCCAIIAggCCAIIAggCCAIIAggCCAIIAggCCAIIAggCEgIDAo1zcQB+AAAAAAACc3EAfgAE///////////////+/////v////91cQB+AAcAAAAEBEpBlXh4d0UCHgACbgICAgMCBAIFAgYCBwIIAgkCCgILAm8CDQIIAggCCAIIAggCCAIIAggCCAIIAggCCAIIAggCCAIIAggCEgIDAo5zcQB+AAAAAAACc3EAfgAE///////////////+/////v////91cQB+AAcAAAAEYo3LFnh4d0UCHgACbgICAhsCBAIFAgYCBwIIAgkCCgILAm8CDQIIAggCCAIIAggCCAIIAggCCAIIAggCCAIIAggCCAIIAggCEgIDAo9zcQB+AAAAAAACc3EAfgAE///////////////+/////v////91cQB+AAcAAAAEMNCqs3h4d00CHgACbgICApAABjIwMTgwMQIEAgUCBgIHAggCCQIKAgsCbwINAggCCAIIAggCCAIIAggCCAIIAggCCAIIAggCCAIIAggCCAISAgMCkXNxAH4AAAAAAAJzcQB+AAT///////////////7////+/////3VxAH4ABwAAAARO7ujaeHh3TQIeAAJuAgICkgAGMjAxNzAyAgQCBQIGAgcCCAIJAnUCCwJvAg0CCAIIAggCCAIIAggCCAIIAggCCAIIAggCCAIIAggCCAIIAhICAwKTc3EAfgAAAAAAAnNxAH4ABP///////////////v////7/////dXEAfgAHAAAAAwT7aHh4d0UCHgACbgICAiACBAIFAgYCBwIIAgkCIQILAm8CDQIIAggCCAIIAggCCAIIAggCCAIIAggCCAIIAggCCAIIAggCEgIDApRzcQB+AAAAAAACc3EAfgAE///////////////+/////v////91cQB+AAcAAAAEBDaJ43h4d0UCHgACbgICAkoCBAIFAgYCBwIIAgkCIQILAm8CDQIIAggCCAIIAggCCAIIAggCCAIIAggCCAIIAggCCAIIAggCEgIDApVzcQB+AAAAAAACc3EAfgAE///////////////+/////v////91cQB+AAcAAAAEAr0/pHh4d5oCHgACbgICApYABjIwMTgwMwIEAgUCBgIHAggCCQJ1AgsCbwINAggCCAIIAggCCAIIAggCCAIIAggCCAIIAggCCAIIAggCCAISAgMCJAIeAAJuAgIClwAGMjAxODAyAgQCBQIGAgcCCAIJAiECCwJvAg0CCAIIAggCCAIIAggCCAIIAggCCAIIAggCCAIIAggCCAIIAhICAwKYc3EAfgAAAAAAAnNxAH4ABP///////////////v////7/////dXEAfgAHAAAABBli52V4eHdFAh4AAm4CAgJ0AgQCBQIGAgcCCAIJAgoCCwJvAg0CCAIIAggCCAIIAggCCAIIAggCCAIIAggCCAIIAggCCAIIAhICAwKZc3EAfgAAAAAAAnNxAH4ABP///////////////v////7/////dXEAfgAHAAAABFqpyF94eHdFAh4AAm4CAgJAAgQCBQIGAgcCCAIJAnUCCwJvAg0CCAIIAggCCAIIAggCCAIIAggCCAIIAggCCAIIAggCCAIIAhICAwKac3EAfgAAAAAAAnNxAH4ABP///////////////v////7/////dXEAfgAHAAAAAwbck3h4d0UCHgACbgICAkYCBAIFAgYCBwIIAgkCIQILAm8CDQIIAggCCAIIAggCCAIIAggCCAIIAggCCAIIAggCCAIIAggCEgIDAptzcQB+AAAAAAACc3EAfgAE///////////////+/////gAAAAF1cQB+AAcAAAAEAo6woHh4d0UCHgACbgICAjUCBAIFAgYCBwIIAgkCIQILAm8CDQIIAggCCAIIAggCCAIIAggCCAIIAggCCAIIAggCCAIIAggCEgIDApxzcQB+AAAAAAACc3EAfgAE///////////////+/////v////91cQB+AAcAAAAENEm+I3h4d00CHgACbgICAp0ABjIwMTcwMQIEAgUCBgIHAggCCQIhAgsCbwINAggCCAIIAggCCAIIAggCCAIIAggCCAIIAggCCAIIAggCCAISAgMCnnNxAH4AAAAAAAJzcQB+AAT///////////////7////+/////3VxAH4ABwAAAAQo6Ya2eHh3RQIeAAJuAgICWgIEAgUCBgIHAggCCQJ1AgsCbwINAggCCAIIAggCCAIIAggCCAIIAggCCAIIAggCCAIIAggCCAISAgMCn3NxAH4AAAAAAAJzcQB+AAT///////////////7////+/////3VxAH4ABwAAAAMHjdR4eHdFAh4AAm4CAgKXAgQCBQIGAgcCCAIJAgoCCwJvAg0CCAIIAggCCAIIAggCCAIIAggCCAIIAggCCAIIAggCCAIIAhICAwKgc3EAfgAAAAAAAnNxAH4ABP///////////////v////7/////dXEAfgAHAAAABE8qcfl4eHdFAh4AAm4CAgKdAgQCBQIGAgcCCAIJAgoCCwJvAg0CCAIIAggCCAIIAggCCAIIAggCCAIIAggCCAIIAggCCAIIAhICAwKhc3EAfgAAAAAAAnNxAH4ABP///////////////v////7/////dXEAfgAHAAAABD0VO3Z4eHdFAh4AAm4CAgJ5AgQCBQIGAgcCCAIJAiECCwJvAg0CCAIIAggCCAIIAggCCAIIAggCCAIIAggCCAIIAggCCAIIAhICAwKic3EAfgAAAAAAAnNxAH4ABP///////////////v////7/////dXEAfgAHAAAABAgl/7F4eHdFAh4AAm4CAgJ0AgQCBQIGAgcCCAIJAiECCwJvAg0CCAIIAggCCAIIAggCCAIIAggCCAIIAggCCAIIAggCCAIIAhICAwKjc3EAfgAAAAAAAnNxAH4ABP///////////////v////7/////dXEAfgAHAAAABAcZP5l4eHdFAh4AAm4CAgJOAgQCBQIGAgcCCAIJAnUCCwJvAg0CCAIIAggCCAIIAggCCAIIAggCCAIIAggCCAIIAggCCAIIAhICAwKkc3EAfgAAAAAAAnNxAH4ABP///////////////v////7/////dXEAfgAHAAAAAwQlCXh4d0UCHgACbgICAloCBAIFAgYCBwIIAgkCCgILAm8CDQIIAggCCAIIAggCCAIIAggCCAIIAggCCAIIAggCCAIIAggCEgIDAqVzcQB+AAAAAAACc3EAfgAE///////////////+/////v////91cQB+AAcAAAAEYTEIFHh4d0UCHgACbgICApYCBAIFAgYCBwIIAgkCIQILAm8CDQIIAggCCAIIAggCCAIIAggCCAIIAggCCAIIAggCCAIIAggCEgIDAqZzcQB+AAAAAAACc3EAfgAE///////////////+/////v////91cQB+AAcAAAAEDlPJjHh4d0UCHgACbgICAi4CBAIFAgYCBwIIAgkCdQILAm8CDQIIAggCCAIIAggCCAIIAggCCAIIAggCCAIIAggCCAIIAggCEgIDAqdzcQB+AAAAAAACc3EAfgAE///////////////+/////v////91cQB+AAcAAAADCoBUeHh3RQIeAAJuAgICkgIEAgUCBgIHAggCCQIhAgsCbwINAggCCAIIAggCCAIIAggCCAIIAggCCAIIAggCCAIIAggCCAISAgMCqHNxAH4AAAAAAAJzcQB+AAT///////////////7////+/////3VxAH4ABwAAAAQbRzHTeHh3RQIeAAJuAgICOQIEAgUCBgIHAggCCQJ1AgsCbwINAggCCAIIAggCCAIIAggCCAIIAggCCAIIAggCCAIIAggCCAISAgMCqXNxAH4AAAAAAAJzcQB+AAT///////////////7////+/////3VxAH4ABwAAAAMENDh4eHdFAh4AAm4CAgKWAgQCBQIGAgcCCAIJAgoCCwJvAg0CCAIIAggCCAIIAggCCAIIAggCCAIIAggCCAIIAggCCAIIAhICAwKqc3EAfgAAAAAAAnNxAH4ABP///////////////v////7/////dXEAfgAHAAAABFJ+oxp4eHdFAh4AAm4CAgJKAgQCBQIGAgcCCAIJAnUCCwJvAg0CCAIIAggCCAIIAggCCAIIAggCCAIIAggCCAIIAggCCAIIAhICAwKrc3EAfgAAAAAAAnNxAH4ABP///////////////v////7/////dXEAfgAHAAAAAwi2nHh4d0UCHgACbgICAkgCBAIFAgYCBwIIAgkCIQILAm8CDQIIAggCCAIIAggCCAIIAggCCAIIAggCCAIIAggCCAIIAggCEgIDAqxzcQB+AAAAAAACc3EAfgAE///////////////+/////v////91cQB+AAcAAAAECfBqRnh4d0UCHgACbgICAh0CBAIFAgYCBwIIAgkCIQILAm8CDQIIAggCCAIIAggCCAIIAggCCAIIAggCCAIIAggCCAIIAggCEgIDAq1zcQB+AAAAAAACc3EAfgAE///////////////+/////v////91cQB+AAcAAAAEBeiObnh4d0UCHgACbgICAkYCBAIFAgYCBwIIAgkCCgILAm8CDQIIAggCCAIIAggCCAIIAggCCAIIAggCCAIIAggCCAIIAggCEgIDAq5zcQB+AAAAAAACc3EAfgAE///////////////+/////v////91cQB+AAcAAAAEcQZZSXh4d0UCHgACbgICAkoCBAIFAgYCBwIIAgkCCgILAm8CDQIIAggCCAIIAggCCAIIAggCCAIIAggCCAIIAggCCAIIAggCEgIDAq9zcQB+AAAAAAACc3EAfgAE///////////////+/////v////91cQB+AAcAAAAEXVdQyXh4d0UCHgACbgICApICBAIFAgYCBwIIAgkCCgILAm8CDQIIAggCCAIIAggCCAIIAggCCAIIAggCCAIIAggCCAIIAggCEgIDArBzcQB+AAAAAAACc3EAfgAE///////////////+/////v////91cQB+AAcAAAAESYtTyXh4d4oCHgACbgICApACBAIFAgYCBwIIAgkCdQILAm8CDQIIAggCCAIIAggCCAIIAggCCAIIAggCCAIIAggCCAIIAggCEgIDAiQCHgACbgICAjACBAIFAgYCBwIIAgkCIQILAm8CDQIIAggCCAIIAggCCAIIAggCCAIIAggCCAIIAggCCAIIAggCEgIDArFzcQB+AAAAAAACc3EAfgAE///////////////+/////gAAAAF1cQB+AAcAAAAECQ0V/Xh4d0UCHgACbgICAj4CBAIFAgYCBwIIAgkCdQILAm8CDQIIAggCCAIIAggCCAIIAggCCAIIAggCCAIIAggCCAIIAggCEgIDArJzcQB+AAAAAAACc3EAfgAE///////////////+/////v////91cQB+AAcAAAADCZ5/eHh3RQIeAAJuAgICMwIEAgUCBgIHAggCCQIhAgsCbwINAggCCAIIAggCCAIIAggCCAIIAggCCAIIAggCCAIIAggCCAISAgMCs3NxAH4AAAAAAAJzcQB+AAT///////////////7////+/////3VxAH4ABwAAAAQQ/fIjeHh3RQIeAAJuAgICnQIEAgUCBgIHAggCCQJ1AgsCbwINAggCCAIIAggCCAIIAggCCAIIAggCCAIIAggCCAIIAggCCAISAgMCtHNxAH4AAAAAAAJzcQB+AAT///////////////7////+/////3VxAH4ABwAAAAMFZP94eHeKAh4AAm4CAgI1AgQCBQIGAgcCCAIJAnUCCwJvAg0CCAIIAggCCAIIAggCCAIIAggCCAIIAggCCAIIAggCCAIIAhICAwIkAh4AAm4CAgIsAgQCBQIGAgcCCAIJAnUCCwJvAg0CCAIIAggCCAIIAggCCAIIAggCCAIIAggCCAIIAggCCAIIAhICAwK1c3EAfgAAAAAAAnNxAH4ABP///////////////v////7/////dXEAfgAHAAAAAwZoK3h4d4oCHgACbgICAjgCBAIFAgYCBwIIAgkCIQILAm8CDQIIAggCCAIIAggCCAIIAggCCAIIAggCCAIIAggCCAIIAggCEgIDAo0CHgACbgICAigCBAIFAgYCBwIIAgkCIQILAm8CDQIIAggCCAIIAggCCAIIAggCCAIIAggCCAIIAggCCAIIAggCEgIDArZzcQB+AAAAAAACc3EAfgAE///////////////+/////v////91cQB+AAcAAAAEBOQwD3h4d0UCHgACbgICAloCBAIFAgYCBwIIAgkCIQILAm8CDQIIAggCCAIIAggCCAIIAggCCAIIAggCCAIIAggCCAIIAggCEgIDArdzcQB+AAAAAAACc3EAfgAE///////////////+/////v////91cQB+AAcAAAAEAhunbnh4d0UCHgACbgICAjACBAIFAgYCBwIIAgkCCgILAm8CDQIIAggCCAIIAggCCAIIAggCCAIIAggCCAIIAggCCAIIAggCEgIDArhzcQB+AAAAAAACc3EAfgAE///////////////+/////v////91cQB+AAcAAAAEgtyI8Xh4d4oCHgACbgICApcCBAIFAgYCBwIIAgkCdQILAm8CDQIIAggCCAIIAggCCAIIAggCCAIIAggCCAIIAggCCAIIAggCEgIDAiQCHgACbgICApACBAIFAgYCBwIIAgkCIQILAm8CDQIIAggCCAIIAggCCAIIAggCCAIIAggCCAIIAggCCAIIAggCEgIDArlzcQB+AAAAAAACc3EAfgAE///////////////+/////v////91cQB+AAcAAAAEJnGjV3h4d4oCHgACbgICAiMCBAIFAgYCBwIIAgkCCgILAm8CDQIIAggCCAIIAggCCAIIAggCCAIIAggCCAIIAggCCAIIAggCEgIDAn8CHgACbgICAgMCBAIFAgYCBwIIAgkCIQILAm8CDQIIAggCCAIIAggCCAIIAggCCAIIAggCCAIIAggCCAIIAggCEgIDArpzcQB+AAAAAAACc3EAfgAE///////////////+/////v////91cQB+AAcAAAADvFyyeHh3RQIeAAJuAgICSAIEAgUCBgIHAggCCQIKAgsCbwINAggCCAIIAggCCAIIAggCCAIIAggCCAIIAggCCAIIAggCCAISAgMCu3NxAH4AAAAAAAJzcQB+AAT///////////////7////+/////3VxAH4ABwAAAARacNl3eHh3RQIeAAJuAgICGwIEAgUCBgIHAggCCQIhAgsCbwINAggCCAIIAggCCAIIAggCCAIIAggCCAIIAggCCAIIAggCCAISAgMCvHNxAH4AAAAAAAJzcQB+AAT///////////////7////+/////3VxAH4ABwAAAAREule8eHh3RQIeAAJuAgICRgIEAgUCBgIHAggCCQJ1AgsCbwINAggCCAIIAggCCAIIAggCCAIIAggCCAIIAggCCAIIAggCCAISAgMCvXNxAH4AAAAAAAJzcQB+AAT///////////////7////+/////3VxAH4ABwAAAAMEDq54eHdFAh4AAm4CAgIuAgQCBQIGAgcCCAIJAgoCCwJvAg0CCAIIAggCCAIIAggCCAIIAggCCAIIAggCCAIIAggCCAIIAhICAwK+c3EAfgAAAAAAAnNxAH4ABP///////////////v////7/////dXEAfgAHAAAABFSIS5t4eHdFAh4AAm4CAgI5AgQCBQIGAgcCCAIJAgoCCwJvAg0CCAIIAggCCAIIAggCCAIIAggCCAIIAggCCAIIAggCCAIIAhICAwK/c3EAfgAAAAAAAnNxAH4ABP///////////////v////7/////dXEAfgAHAAAABF7UYvh4eHdFAh4AAm4CAgJAAgQCBQIGAgcCCAIJAiECCwJvAg0CCAIIAggCCAIIAggCCAIIAggCCAIIAggCCAIIAggCCAIIAhICAwLAc3EAfgAAAAAAAnNxAH4ABP///////////////v////7/////dXEAfgAHAAAABDuLiL14eHdFAh4AAm4CAgIdAgQCBQIGAgcCCAIJAgoCCwJvAg0CCAIIAggCCAIIAggCCAIIAggCCAIIAggCCAIIAggCCAIIAhICAwLBc3EAfgAAAAAAAnNxAH4ABP///////////////v////7/////dXEAfgAHAAAABD37VuJ4eHdFAh4AAm4CAgImAgQCBQIGAgcCCAIJAnUCCwJvAg0CCAIIAggCCAIIAggCCAIIAggCCAIIAggCCAIIAggCCAIIAhICAwLCc3EAfgAAAAAAAnNxAH4ABP///////////////v////7/////dXEAfgAHAAAAAwRDenh4d0UCHgACbgICAiACBAIFAgYCBwIIAgkCdQILAm8CDQIIAggCCAIIAggCCAIIAggCCAIIAggCCAIIAggCCAIIAggCEgIDAsNzcQB+AAAAAAACc3EAfgAE///////////////+/////v////91cQB+AAcAAAADC4KteHh3RQIeAAJuAgICKgIEAgUCBgIHAggCCQIhAgsCbwINAggCCAIIAggCCAIIAggCCAIIAggCCAIIAggCCAIIAggCCAISAgMCxHNxAH4AAAAAAAJzcQB+AAT///////////////7////+/////3VxAH4ABwAAAAQGIRiFeHg=]]></xxe4awand>
</file>

<file path=customXml/item6.xml><?xml version="1.0" encoding="utf-8"?>
<xxe4awand xmlns="http://www.excel4apps.com"><![CDATA[rO0ABXfZCMCtii8CJAKoAh4AAERjb20uZXhjZWw0YXBwcy53YW5kLm9yYWNsZS5n
bHdhbmQuY2FsY3VsYXRpb25zLmdldGJhbGFuY2UuR2V0QmFsYW5jZQIBAAkxNjIz
OTUyMDACAgABMAIDAAYyMDE2MDQCBAADWVREAgUAA1VTRAIGAAVUb3RhbAIHAAFB
AggAAAIJAAMwMDECCgAGMTkxMDAwAgsAAkdEAgwAAldBAg0AAkRMAggCCAIIAggC
CAIIAggCCAIIAggCCAIIAggCCAIIAggCCAISAgMCDnNyAg8AFGphdmEubWF0aC5C
aWdEZWNpbWFsVMcVV/mBKE8DAAJJAhAABXNjYWxlTAIRAAZpbnRWYWx0ABZMamF2
YS9tYXRoL0JpZ0ludGVnZXI7eHICEgAQamF2YS5sYW5nLk51bWJlcoaslR0LlOCL
AgAAeHAAAAACc3ICEwAUamF2YS5tYXRoLkJpZ0ludGVnZXKM/J8fqTv7HQMABkkC
FAAIYml0Q291bnRJAhUACWJpdExlbmd0aEkCFgATZmlyc3ROb256ZXJvQnl0ZU51
bUkCFwAMbG93ZXN0U2V0Qml0SQIYAAZzaWdudW1bAhkACW1hZ25pdHVkZXQAAltC
eHEAfgAC///////////////+/////v////91cgIaAAJbQqzzF/gGCFTgAgAAeHAA
AAAEBOQwD3h4d00CHgACAQICAhsABjIwMTcwNQIEAgUCBgIHAggCCQIKAgsCDAIN
AggCCAIIAggCCAIIAggCCAIIAggCCAIIAggCCAIIAggCCAISAgMCHHNxAH4AAAAA
AAJzcQB+AAT///////////////7////+/////3VxAH4ABwAAAAQGIRiFeHh3VQIeAAIBAgICHQAGMjAxNjA5AgQCBQIGAgcCCAIJAh4ABjE5MTAyNQILAgwCDQIIAggCCAIIAggCCAIIAggCCAIIAggCCAIIAggCCAIIAggCEgIDAh9zcQB+AAAAAAACc3EAfgAE///////////////+/////v////91cQB+AAcAAAADB43UeHh3VQIeAAIBAgICIAAGMjAxODA0AgQCBQIGAgcCCAIJAiEABjE5MTAxMAILAgwCDQIIAggCCAIIAggCCAIIAggCCAIIAggCCAIIAggCCAIIAggCEgIDAiJzcQB+AAAAAAACc3EAfgAE///////////////+/////v////91cQB+AAcAAAAEWqnIX3h4d00CHgACAQICAiMABjIwMTYwMgIEAgUCBgIHAggCCQIhAgsCDAINAggCCAIIAggCCAIIAggCCAIIAggCCAIIAggCCAIIAggCCAISAgMCJHNxAH4AAAAAAAJzcQB+AAT///////////////7////+/////3VxAH4ABwAAAAQ3OPVPeHh3TQIeAAIBAgICJQAGMjAxNzAxAgQCBQIGAgcCCAIJAh4CCwIMAg0CCAIIAggCCAIIAggCCAIIAggCCAIIAggCCAIIAggCCAIIAhICAwImc3EAfgAAAAAAAnNxAH4ABP///////////////v////7/////dXEAfgAHAAAAAwVk/3h4d00CHgACAQICAicABjIwMTYwMwIEAgUCBgIHAggCCQIhAgsCDAINAggCCAIIAggCCAIIAggCCAIIAggCCAIIAggCCAIIAggCCAISAgMCKHNxAH4AAAAAAAJzcQB+AAT///////////////7////+/////3VxAH4ABwAAAAQ9+1bieHh3TQIeAAIBAgICKQAGMjAxNzExAgQCBQIGAgcCCAIJAgoCCwIMAg0CCAIIAggCCAIIAggCCAIIAggCCAIIAggCCAIIAggCCAIIAhICAwIqc3EAfgAAAAAAAnNxAH4ABP///////////////v////7/////dXEAfgAHAAAABES6V7x4eHdNAh4AAgECAgIrAAYyMDE3MDQCBAIFAgYCBwIIAgkCIQILAgwCDQIIAggCCAIIAggCCAIIAggCCAIIAggCCAIIAggCCAIIAggCEgIDAixzcQB+AAAAAAACc3EAfgAE///////////////+/////v////91cQB+AAcAAAAEWnDZd3h4d00CHgACAQICAi0ABjIwMTgwMQIEAgUCBgIHAggCCQIeAgsCDAINAggCCAIIAggCCAIIAggCCAIIAggCCAIIAggCCAIIAggCCAISAgMCLnNxAH4AAAAAAAJzcQB+AAT///////////////7////+AAAAAHVxAH4ABwAAAAB4eHdFAh4AAgECAgInAgQCBQIGAgcCCAIJAgoCCwIMAg0CCAIIAggCCAIIAggCCAIIAggCCAIIAggCCAIIAggCCAIIAhICAwIvc3EAfgAAAAAAAnNxAH4ABP///////////////v////7/////dXEAfgAHAAAABAXojm54eHdNAh4AAgECAgIwAAYyMDE2MDUCBAIFAgYCBwIIAgkCCgILAgwCDQIIAggCCAIIAggCCAIIAggCCAIIAggCCAIIAggCCAIIAggCEgIDAjFzcQB+AAAAAAACc3EAfgAE///////////////+/////v////91cQB+AAcAAAAEBDaJ43h4d00CHgACAQICAjIABjIwMTYxMAIEAgUCBgIHAggCCQIKAgsCDAINAggCCAIIAggCCAIIAggCCAIIAggCCAIIAggCCAIIAggCCAISAgMCM3NxAH4AAAAAAAJzcQB+AAT///////////////7////+/////3VxAH4ABwAAAAO8XLJ4eHdNAh4AAgECAgI0AAYyMDE4MDMCBAIFAgYCBwIIAgkCIQILAgwCDQIIAggCCAIIAggCCAIIAggCCAIIAggCCAIIAggCCAIIAggCEgIDAjVzcQB+AAAAAAACc3EAfgAE///////////////+/////v////91cQB+AAcAAAAEUn6jGnh4d00CHgACAQICAjYABjIwMTcwMgIEAgUCBgIHAggCCQIhAgsCDAINAggCCAIIAggCCAIIAggCCAIIAggCCAIIAggCCAIIAggCCAISAgMCN3NxAH4AAAAAAAJzcQB+AAT///////////////7////+/////3VxAH4ABwAAAARJi1PJeHh3igIeAAIBAgICNAIEAgUCBgIHAggCCQIeAgsCDAINAggCCAIIAggCCAIIAggCCAIIAggCCAIIAggCCAIIAggCCAISAgMCLgIeAAIBAgICNgIEAgUCBgIHAggCCQIeAgsCDAINAggCCAIIAggCCAIIAggCCAIIAggCCAIIAggCCAIIAggCCAISAgMCOHNxAH4AAAAAAAJzcQB+AAT///////////////7////+/////3VxAH4ABwAAAAME+2h4eHdFAh4AAgECAgIyAgQCBQIGAgcCCAIJAiECCwIMAg0CCAIIAggCCAIIAggCCAIIAggCCAIIAggCCAIIAggCCAIIAhICAwI5c3EAfgAAAAAAAnNxAH4ABP///////////////v////7/////dXEAfgAHAAAABGKNyxZ4eHdFAh4AAgECAgIrAgQCBQIGAgcCCAIJAgoCCwIMAg0CCAIIAggCCAIIAggCCAIIAggCCAIIAggCCAIIAggCCAIIAhICAwI6c3EAfgAAAAAAAnNxAH4ABP///////////////v////7/////dXEAfgAHAAAABAnwakZ4eHdNAh4AAgECAgI7AAYyMDE4MDUCBAIFAgYCBwIIAgkCCgILAgwCDQIIAggCCAIIAggCCAIIAggCCAIIAggCCAIIAggCCAIIAggCEgIDAjxzcQB+AAAAAAACc3EAfgAE///////////////+/////v////91cQB+AAcAAAAEBEpBlXh4d00CHgACAQICAj0ABjIwMTYwOAIEAgUCBgIHAggCCQIeAgsCDAINAggCCAIIAggCCAIIAggCCAIIAggCCAIIAggCCAIIAggCCAISAgMCPnNxAH4AAAAAAAJzcQB+AAT///////////////7////+/////3VxAH4ABwAAAAMItpx4eHdNAh4AAgECAgI/AAYyMDE3MDkCBAIFAgYCBwIIAgkCHgILAgwCDQIIAggCCAIIAggCCAIIAggCCAIIAggCCAIIAggCCAIIAggCEgIDAkBzcQB+AAAAAAACc3EAfgAE///////////////+/////v////91cQB+AAcAAAADBA6ueHh3TQIeAAIBAgICQQAGMjAxNzEyAgQCBQIGAgcCCAIJAgoCCwIMAg0CCAIIAggCCAIIAggCCAIIAggCCAIIAggCCAIIAggCCAIIAhICAwJCc3EAfgAAAAAAAnNxAH4ABP///////////////v////7/////dXEAfgAHAAAABDRJviN4eHeaAh4AAgECAgJDAAYyMDE4MDICBAIFAgYCBwIIAgkCHgILAgwCDQIIAggCCAIIAggCCAIIAggCCAIIAggCCAIIAggCCAIIAggCEgIDAi4CHgACAQICAkQABjIwMTcwMwIEAgUCBgIHAggCCQIhAgsCDAINAggCCAIIAggCCAIIAggCCAIIAggCCAIIAggCCAIIAggCCAISAgMCRXNxAH4AAAAAAAJzcQB+AAT///////////////7////+/////3VxAH4ABwAAAARTY5smeHh3TQIeAAIBAgICRgAGMjAxNjExAgQCBQIGAgcCCAIJAgoCCwIMAg0CCAIIAggCCAIIAggCCAIIAggCCAIIAggCCAIIAggCCAIIAhICAwJHc3EAfgAAAAAAAnNxAH4ABP///////////////v////7/////dXEAfgAHAAAABExDDhV4eHdNAh4AAgECAgJIAAYyMDE3MTACBAIFAgYCBwIIAgkCIQILAgwCDQIIAggCCAIIAggCCAIIAggCCAIIAggCCAIIAggCCAIIAggCEgIDAklzcQB+AAAAAAACc3EAfgAE///////////////+/////v////91cQB+AAcAAAAEgtyI8Xh4d0UCHgACAQICAh0CBAIFAgYCBwIIAgkCIQILAgwCDQIIAggCCAIIAggCCAIIAggCCAIIAggCCAIIAggCCAIIAggCEgIDAkpzcQB+AAAAAAACc3EAfgAE///////////////+/////v////91cQB+AAcAAAAEYTEIFHh4d0UCHgACAQICAkQCBAIFAgYCBwIIAgkCCgILAgwCDQIIAggCCAIIAggCCAIIAggCCAIIAggCCAIIAggCCAIIAggCEgIDAktzcQB+AAAAAAACc3EAfgAE///////////////+/////v////91cQB+AAcAAAAEEP3yI3h4d0UCHgACAQICAiACBAIFAgYCBwIIAgkCCgILAgwCDQIIAggCCAIIAggCCAIIAggCCAIIAggCCAIIAggCCAIIAggCEgIDAkxzcQB+AAAAAAACc3EAfgAE///////////////+/////v////91cQB+AAcAAAAEBxk/mXh4d0UCHgACAQICAkgCBAIFAgYCBwIIAgkCHgILAgwCDQIIAggCCAIIAggCCAIIAggCCAIIAggCCAIIAggCCAIIAggCEgIDAk1zcQB+AAAAAAACc3EAfgAE///////////////+/////v////91cQB+AAcAAAADA9yreHh3TQIeAAIBAgICTgAGMjAxNjA2AgQCBQIGAgcCCAIJAh4CCwIMAg0CCAIIAggCCAIIAggCCAIIAggCCAIIAggCCAIIAggCCAIIAhICAwJPc3EAfgAAAAAAAnNxAH4ABP///////////////v////7/////dXEAfgAHAAAAAwqAVHh4d00CHgACAQICAlAABjIwMTcwOAIEAgUCBgIHAggCCQIKAgsCDAINAggCCAIIAggCCAIIAggCCAIIAggCCAIIAggCCAIIAggCCAISAgMCUXNxAH4AAAAAAAJzcQB+AAT///////////////7////+/////3VxAH4ABwAAAAMylNZ4eHeSAh4AAgECAgI7AgQCBQIGAgcCCAIJAh4CCwIMAg0CCAIIAggCCAIIAggCCAIIAggCCAIIAggCCAIIAggCCAIIAhICAwIuAh4AAgECAgJSAAYyMDE2MDcCBAIFAgYCBwIIAgkCCgILAgwCDQIIAggCCAIIAggCCAIIAggCCAIIAggCCAIIAggCCAIIAggCEgIDAlNzcQB+AAAAAAACc3EAfgAE///////////////+/////v////91cQB+AAcAAAAEAzaSmXh4d0UCHgACAQICAikCBAIFAgYCBwIIAgkCIQILAgwCDQIIAggCCAIIAggCCAIIAggCCAIIAggCCAIIAggCCAIIAggCEgIDAlRzcQB+AAAAAAACc3EAfgAE///////////////+/////v////91cQB+AAcAAAAEMNCqs3h4d00CHgACAQICAlUABjIwMTYxMgIEAgUCBgIHAggCCQIhAgsCDAINAggCCAIIAggCCAIIAggCCAIIAggCCAIIAggCCAIIAggCCAISAgMCVnNxAH4AAAAAAAJzcQB+AAT///////////////7////+/////3VxAH4ABwAAAAQoo9pZeHh3TQIeAAIBAgICVwAGMjAxNzA2AgQCBQIGAgcCCAIJAgoCCwIMAg0CCAIIAggCCAIIAggCCAIIAggCCAIIAggCCAIIAggCCAIIAhICAwJYc3EAfgAAAAAAAnNxAH4ABP///////////////v////7/////dXEAfgAHAAAABAPdTSB4eHdFAh4AAgECAgItAgQCBQIGAgcCCAIJAiECCwIMAg0CCAIIAggCCAIIAggCCAIIAggCCAIIAggCCAIIAggCCAIIAhICAwJZc3EAfgAAAAAAAnNxAH4ABP///////////////v////7/////dXEAfgAHAAAABE7u6Np4eHdFAh4AAgECAgInAgQCBQIGAgcCCAIJAh4CCwIMAg0CCAIIAggCCAIIAggCCAIIAggCCAIIAggCCAIIAggCCAIIAhICAwJac3EAfgAAAAAAAnNxAH4ABP///////////////v////7/////dXEAfgAHAAAAAw6D3Xh4d0UCHgACAQICAisCBAIFAgYCBwIIAgkCHgILAgwCDQIIAggCCAIIAggCCAIIAggCCAIIAggCCAIIAggCCAIIAggCEgIDAltzcQB+AAAAAAACc3EAfgAE///////////////+/////v////91cQB+AAcAAAADBHSNeHh3TQIeAAIBAgICXAAGMjAxNzA3AgQCBQIGAgcCCAIJAh4CCwIMAg0CCAIIAggCCAIIAggCCAIIAggCCAIIAggCCAIIAggCCAIIAhICAwJdc3EAfgAAAAAAAnNxAH4ABP///////////////v////7/////dXEAfgAHAAAAAwQ0OHh4d0UCHgACAQICAgMCBAIFAgYCBwIIAgkCIQILAgwCDQIIAggCCAIIAggCCAIIAggCCAIIAggCCAIIAggCCAIIAggCEgIDAl5zcQB+AAAAAAACc3EAfgAE///////////////+/////v////91cQB+AAcAAAAESHB4r3h4d0UCHgACAQICAiMCBAIFAgYCBwIIAgkCCgILAgwCDQIIAggCCAIIAggCCAIIAggCCAIIAggCCAIIAggCCAIIAggCEgIDAl9zcQB+AAAAAAACc3EAfgAE///////////////+/////v////91cQB+AAcAAAAECCX/sXh4d0UCHgACAQICAhsCBAIFAgYCBwIIAgkCIQILAgwCDQIIAggCCAIIAggCCAIIAggCCAIIAggCCAIIAggCCAIIAggCEgIDAmBzcQB+AAAAAAACc3EAfgAE///////////////+/////v////91cQB+AAcAAAAEWf3l8nh4d0UCHgACAQICAkYCBAIFAgYCBwIIAgkCHgILAgwCDQIIAggCCAIIAggCCAIIAggCCAIIAggCCAIIAggCCAIIAggCEgIDAmFzcQB+AAAAAAACc3EAfgAE///////////////+/////v////91cQB+AAcAAAADBmgreHh3RQIeAAIBAgICUgIEAgUCBgIHAggCCQIhAgsCDAINAggCCAIIAggCCAIIAggCCAIIAggCCAIIAggCCAIIAggCCAISAgMCYnNxAH4AAAAAAAJzcQB+AAT///////////////7////+/////3VxAH4ABwAAAARaL7WteHh3RQIeAAIBAgICLQIEAgUCBgIHAggCCQIKAgsCDAINAggCCAIIAggCCAIIAggCCAIIAggCCAIIAggCCAIIAggCCAISAgMCY3NxAH4AAAAAAAJzcQB+AAT///////////////7////+/////3VxAH4ABwAAAAQmcaNXeHh3RQIeAAIBAgICAwIEAgUCBgIHAggCCQIeAgsCDAINAggCCAIIAggCCAIIAggCCAIIAggCCAIIAggCCAIIAggCCAISAgMCZHNxAH4AAAAAAAJzcQB+AAT///////////////7////+/////3VxAH4ABwAAAAMMxv54eHdFAh4AAgECAgIbAgQCBQIGAgcCCAIJAh4CCwIMAg0CCAIIAggCCAIIAggCCAIIAggCCAIIAggCCAIIAggCCAIIAhICAwJlc3EAfgAAAAAAAnNxAH4ABP///////////////v////7/////dXEAfgAHAAAAAwRWK3h4d4oCHgACAQICAkECBAIFAgYCBwIIAgkCHgILAgwCDQIIAggCCAIIAggCCAIIAggCCAIIAggCCAIIAggCCAIIAggCEgIDAi4CHgACAQICAkMCBAIFAgYCBwIIAgkCCgILAgwCDQIIAggCCAIIAggCCAIIAggCCAIIAggCCAIIAggCCAIIAggCEgIDAmZzcQB+AAAAAAACc3EAfgAE///////////////+/////v////91cQB+AAcAAAAEGWLnZXh4d0UCHgACAQICAlcCBAIFAgYCBwIIAgkCHgILAgwCDQIIAggCCAIIAggCCAIIAggCCAIIAggCCAIIAggCCAIIAggCEgIDAmdzcQB+AAAAAAACc3EAfgAE///////////////+/////v////91cQB+AAcAAAADBEN6eHh3RQIeAAIBAgICHQIEAgUCBgIHAggCCQIKAgsCDAINAggCCAIIAggCCAIIAggCCAIIAggCCAIIAggCCAIIAggCCAISAgMCaHNxAH4AAAAAAAJzcQB+AAT///////////////7////+/////3VxAH4ABwAAAAQCG6dueHh3RQIeAAIBAgICUAIEAgUCBgIHAggCCQIhAgsCDAINAggCCAIIAggCCAIIAggCCAIIAggCCAIIAggCCAIIAggCCAISAgMCaXNxAH4AAAAAAAJzcQB+AAT///////////////7////+/////3VxAH4ABwAAAARlMUGreHh3RQIeAAIBAgICVQIEAgUCBgIHAggCCQIeAgsCDAINAggCCAIIAggCCAIIAggCCAIIAggCCAIIAggCCAIIAggCCAISAgMCanNxAH4AAAAAAAJzcQB+AAT///////////////7////+/////3VxAH4ABwAAAAMG3JN4eHdFAh4AAgECAgIlAgQCBQIGAgcCCAIJAgoCCwIMAg0CCAIIAggCCAIIAggCCAIIAggCCAIIAggCCAIIAggCCAIIAhICAwJrc3EAfgAAAAAAAnNxAH4ABP///////////////v////7/////dXEAfgAHAAAABCjphrZ4eHdFAh4AAgECAgI9AgQCBQIGAgcCCAIJAgoCCwIMAg0CCAIIAggCCAIIAggCCAIIAggCCAIIAggCCAIIAggCCAIIAhICAwJsc3EAfgAAAAAAAnNxAH4ABP///////////////v////7/////dXEAfgAHAAAABAK9P6R4eHdFAh4AAgECAgI/AgQCBQIGAgcCCAIJAgoCCwIMAg0CCAIIAggCCAIIAggCCAIIAggCCAIIAggCCAIIAggCCAIIAhICAwJtc3EAfgAAAAAAAnNxAH4ABP///////////////v////4AAAABdXEAfgAHAAAABAKOsKB4eHdFAh4AAgECAgIwAgQCBQIGAgcCCAIJAh4CCwIMAg0CCAIIAggCCAIIAggCCAIIAggCCAIIAggCCAIIAggCCAIIAhICAwJuc3EAfgAAAAAAAnNxAH4ABP///////////////v////7/////dXEAfgAHAAAAAwuCrXh4d0UCHgACAQICAk4CBAIFAgYCBwIIAgkCIQILAgwCDQIIAggCCAIIAggCCAIIAggCCAIIAggCCAIIAggCCAIIAggCEgIDAm9zcQB+AAAAAAACc3EAfgAE///////////////+/////v////91cQB+AAcAAAAEVIhLm3h4d0UCHgACAQICAlwCBAIFAgYCBwIIAgkCIQILAgwCDQIIAggCCAIIAggCCAIIAggCCAIIAggCCAIIAggCCAIIAggCEgIDAnBzcQB+AAAAAAACc3EAfgAE///////////////+/////v////91cQB+AAcAAAAEXtRi+Hh4d0UCHgACAQICAkYCBAIFAgYCBwIIAgkCIQILAgwCDQIIAggCCAIIAggCCAIIAggCCAIIAggCCAIIAggCCAIIAggCEgIDAnFzcQB+AAAAAAACc3EAfgAE///////////////+/////v////91cQB+AAcAAAAEElQVqnh4d4oCHgACAQICAiACBAIFAgYCBwIIAgkCHgILAgwCDQIIAggCCAIIAggCCAIIAggCCAIIAggCCAIIAggCCAIIAggCEgIDAi4CHgACAQICAiMCBAIFAgYCBwIIAgkCHgILAgwCDQIIAggCCAIIAggCCAIIAggCCAIIAggCCAIIAggCCAIIAggCEgIDAnJzcQB+AAAAAAACc3EAfgAE///////////////+/////v////91cQB+AAcAAAADEhXLeHh3RQIeAAIBAgICRAIEAgUCBgIHAggCCQIeAgsCDAINAggCCAIIAggCCAIIAggCCAIIAggCCAIIAggCCAIIAggCCAISAgMCc3NxAH4AAAAAAAJzcQB+AAT///////////////7////+/////3VxAH4ABwAAAAMEq5d4eHdFAh4AAgECAgJDAgQCBQIGAgcCCAIJAiECCwIMAg0CCAIIAggCCAIIAggCCAIIAggCCAIIAggCCAIIAggCCAIIAhICAwJ0c3EAfgAAAAAAAnNxAH4ABP///////////////v////7/////dXEAfgAHAAAABE8qcfl4eHdFAh4AAgECAgJcAgQCBQIGAgcCCAIJAgoCCwIMAg0CCAIIAggCCAIIAggCCAIIAggCCAIIAggCCAIIAggCCAIIAhICAwJ1c3EAfgAAAAAAAnNxAH4ABP///////////////v////7/////dXEAfgAHAAAABAIK9vR4eHdFAh4AAgECAgJSAgQCBQIGAgcCCAIJAh4CCwIMAg0CCAIIAggCCAIIAggCCAIIAggCCAIIAggCCAIIAggCCAIIAhICAwJ2c3EAfgAAAAAAAnNxAH4ABP///////////////v////7/////dXEAfgAHAAAAAwmef3h4d0UCHgACAQICAlACBAIFAgYCBwIIAgkCHgILAgwCDQIIAggCCAIIAggCCAIIAggCCAIIAggCCAIIAggCCAIIAggCEgIDAndzcQB+AAAAAAACc3EAfgAE///////////////+/////v////91cQB+AAcAAAADBCUJeHh3RQIeAAIBAgICNgIEAgUCBgIHAggCCQIKAgsCDAINAggCCAIIAggCCAIIAggCCAIIAggCCAIIAggCCAIIAggCCAISAgMCeHNxAH4AAAAAAAJzcQB+AAT///////////////7////+/////3VxAH4ABwAAAAQbRzHTeHh3RQIeAAIBAgICMAIEAgUCBgIHAggCCQIhAgsCDAINAggCCAIIAggCCAIIAggCCAIIAggCCAIIAggCCAIIAggCCAISAgMCeXNxAH4AAAAAAAJzcQB+AAT///////////////7////+/////3VxAH4ABwAAAARMKwuAeHh3RQIeAAIBAgICVQIEAgUCBgIHAggCCQIKAgsCDAINAggCCAIIAggCCAIIAggCCAIIAggCCAIIAggCCAIIAggCCAISAgMCenNxAH4AAAAAAAJzcQB+AAT///////////////7////+/////3VxAH4ABwAAAAQ7i4i9eHh3RQIeAAIBAgICVwIEAgUCBgIHAggCCQIhAgsCDAINAggCCAIIAggCCAIIAggCCAIIAggCCAIIAggCCAIIAggCCAISAgMCe3NxAH4AAAAAAAJzcQB+AAT///////////////7////+/////3VxAH4ABwAAAARYCwcseHh3RQIeAAIBAgICPQIEAgUCBgIHAggCCQIhAgsCDAINAggCCAIIAggCCAIIAggCCAIIAggCCAIIAggCCAIIAggCCAISAgMCfHNxAH4AAAAAAAJzcQB+AAT///////////////7////+/////3VxAH4ABwAAAARdV1DJeHh3RQIeAAIBAgICOwIEAgUCBgIHAggCCQIhAgsCDAINAggCCAIIAggCCAIIAggCCAIIAggCCAIIAggCCAIIAggCCAISAgMCfXNxAH4AAAAAAAJzcQB+AAT///////////////7////+/////3VxAH4ABwAAAARc5cCweHh3RQIeAAIBAgICMgIEAgUCBgIHAggCCQIeAgsCDAINAggCCAIIAggCCAIIAggCCAIIAggCCAIIAggCCAIIAggCCAISAgMCfnNxAH4AAAAAAAJzcQB+AAT///////////////7////+/////3VxAH4ABwAAAAMFP694eHeKAh4AAgECAgIpAgQCBQIGAgcCCAIJAh4CCwIMAg0CCAIIAggCCAIIAggCCAIIAggCCAIIAggCCAIIAggCCAIIAhICAwIuAh4AAgECAgI0AgQCBQIGAgcCCAIJAgoCCwIMAg0CCAIIAggCCAIIAggCCAIIAggCCAIIAggCCAIIAggCCAIIAhICAwJ/c3EAfgAAAAAAAnNxAH4ABP///////////////v////7/////dXEAfgAHAAAABA5TyYx4eHdFAh4AAgECAgJIAgQCBQIGAgcCCAIJAgoCCwIMAg0CCAIIAggCCAIIAggCCAIIAggCCAIIAggCCAIIAggCCAIIAhICAwKAc3EAfgAAAAAAAnNxAH4ABP///////////////v////4AAAABdXEAfgAHAAAABAkNFf14eHdFAh4AAgECAgJOAgQCBQIGAgcCCAIJAgoCCwIMAg0CCAIIAggCCAIIAggCCAIIAggCCAIIAggCCAIIAggCCAIIAhICAwKBc3EAfgAAAAAAAnNxAH4ABP///////////////v////7/////dXEAfgAHAAAABAOri614eHdFAh4AAgECAgIlAgQCBQIGAgcCCAIJAiECCwIMAg0CCAIIAggCCAIIAggCCAIIAggCCAIIAggCCAIIAggCCAIIAhICAwKCc3EAfgAAAAAAAnNxAH4ABP///////////////v////7/////dXEAfgAHAAAABD0VO3Z4eHdFAh4AAgECAgI/AgQCBQIGAgcCCAIJAiECCwIMAg0CCAIIAggCCAIIAggCCAIIAggCCAIIAggCCAIIAggCCAIIAhICAwKDc3EAfgAAAAAAAnNxAH4ABP///////////////v////7/////dXEAfgAHAAAABHEGWUl4eHdFAh4AAgECAgJBAgQCBQIGAgcCCAIJAiECCwIMAg0CCAIIAggCCAIIAggCCAIIAggCCAIIAggCCAIIAggCCAIIAhICAwKEc3EAfgAAAAAAAnNxAH4ABP///////////////v////7/////dXEAfgAHAAAABEI0vHx4eHdcAh4AAoUACTE2MjM5MTcyMAICAhsCBAIFAgYCBwIIAgkChgAGMTkxMDE1AgsChwACSUQCDQIIAggCCAIIAggCCAIIAggCCAIIAggCCAIIAggCCAIIAggCEwIDAohzcQB+AAAAAAACc3EAfgAE///////////////+/////v////91cQB+AAcAAAADEpLKeHh3RQIeAAKFAgICQQIEAgUCBgIHAggCCQIhAgsChwINAggCCAIIAggCCAIIAggCCAIIAggCCAIIAggCCAIIAggCCAITAgMCiXNxAH4AAAAAAAJzcQB+AAT///////////////7////+/////3VxAH4ABwAAAAQkNG30eHh3igIeAAKFAgICKQIEAgUCBgIHAggCCQKGAgsChwINAggCCAIIAggCCAIIAggCCAIIAggCCAIIAggCCAIIAggCCAITAgMCLgIeAAKFAgICMgIEAgUCBgIHAggCCQKGAgsChwINAggCCAIIAggCCAIIAggCCAIIAggCCAIIAggCCAIIAggCCAITAgMCinNxAH4AAAAAAAJzcQB+AAT///////////////7////+/////3VxAH4ABwAAAAMSdyV4eHdFAh4AAoUCAgIDAgQCBQIGAgcCCAIJAiECCwKHAg0CCAIIAggCCAIIAggCCAIIAggCCAIIAggCCAIIAggCCAIIAhMCAwKLc3EAfgAAAAAAAnNxAH4ABP///////////////v////7/////dXEAfgAHAAAABCPGeP14eHdFAh4AAoUCAgIDAgQCBQIGAgcCCAIJAoYCCwKHAg0CCAIIAggCCAIIAggCCAIIAggCCAIIAggCCAIIAggCCAIIAhMCAwKMc3EAfgAAAAAAAnNxAH4ABP///////////////v////7/////dXEAfgAHAAAAAxJflHh4d0UCHgAChQICAkYCBAIFAgYCBwIIAgkCIQILAocCDQIIAggCCAIIAggCCAIIAggCCAIIAggCCAIIAggCCAIIAggCEwIDAo1zcQB+AAAAAAACc3EAfgAE///////////////+/////v////91cQB+AAcAAAAEC9ESdHh4d4oCHgAChQICAkECBAIFAgYCBwIIAgkChgILAocCDQIIAggCCAIIAggCCAIIAggCCAIIAggCCAIIAggCCAIIAggCEwIDAi4CHgAChQICAhsCBAIFAgYCBwIIAgkCIQILAocCDQIIAggCCAIIAggCCAIIAggCCAIIAggCCAIIAggCCAIIAggCEwIDAo5zcQB+AAAAAAACc3EAfgAE///////////////+/////v////91cQB+AAcAAAAEKiZPC3h4d0UCHgAChQICAlwCBAIFAgYCBwIIAgkCCgILAocCDQIIAggCCAIIAggCCAIIAggCCAIIAggCCAIIAggCCAIIAggCEwIDAo9zcQB+AAAAAAACc3EAfgAE///////////////+/////v////91cQB+AAcAAAADTrgKeHh3RQIeAAKFAgICTgIEAgUCBgIHAggCCQIKAgsChwINAggCCAIIAggCCAIIAggCCAIIAggCCAIIAggCCAIIAggCCAITAgMCkHNxAH4AAAAAAAJzcQB+AAT///////////////7////+/////3VxAH4ABwAAAAQBZMryeHh3RQIeAAKFAgICMAIEAgUCBgIHAggCCQKGAgsChwINAggCCAIIAggCCAIIAggCCAIIAggCCAIIAggCCAIIAggCCAITAgMCkXNxAH4AAAAAAAJzcQB+AAT///////////////7////+/////3VxAH4ABwAAAAMSY394eHdFAh4AAoUCAgJXAgQCBQIGAgcCCAIJAoYCCwKHAg0CCAIIAggCCAIIAggCCAIIAggCCAIIAggCCAIIAggCCAIIAhMCAwKSc3EAfgAAAAAAAnNxAH4ABP///////////////v////7/////dXEAfgAHAAAAAxKWwHh4d0UCHgAChQICAkgCBAIFAgYCBwIIAgkChgILAocCDQIIAggCCAIIAggCCAIIAggCCAIIAggCCAIIAggCCAIIAggCEwIDApNzcQB+AAAAAAACc3EAfgAE///////////////+/////v////91cQB+AAcAAAADEqaieHh3RQIeAAKFAgICTgIEAgUCBgIHAggCCQIhAgsChwINAggCCAIIAggCCAIIAggCCAIIAggCCAIIAggCCAIIAggCCAITAgMClHNxAH4AAAAAAAJzcQB+AAT///////////////7////+/////3VxAH4ABwAAAAQrEAtReHh3RQIeAAKFAgICVQIEAgUCBgIHAggCCQIhAgsChwINAggCCAIIAggCCAIIAggCCAIIAggCCAIIAggCCAIIAggCCAITAgMClXNxAH4AAAAAAAJzcQB+AAT///////////////7////+/////3VxAH4ABwAAAAQVrLWfeHh3RQIeAAKFAgICMAIEAgUCBgIHAggCCQIhAgsChwINAggCCAIIAggCCAIIAggCCAIIAggCCAIIAggCCAIIAggCCAITAgMClnNxAH4AAAAAAAJzcQB+AAT///////////////7////+/////3VxAH4ABwAAAAQmLzLCeHh3RQIeAAKFAgICVwIEAgUCBgIHAggCCQIhAgsChwINAggCCAIIAggCCAIIAggCCAIIAggCCAIIAggCCAIIAggCCAITAgMCl3NxAH4AAAAAAAJzcQB+AAT///////////////7////+/////3VxAH4ABwAAAAQqC0YheHh3RQIeAAKFAgICUgIEAgUCBgIHAggCCQIKAgsChwINAggCCAIIAggCCAIIAggCCAIIAggCCAIIAggCCAIIAggCCAITAgMCmHNxAH4AAAAAAAJzcQB+AAT///////////////7////+/////3VxAH4ABwAAAAQBBpRgeHh3RQIeAAKFAgICUAIEAgUCBgIHAggCCQIKAgsChwINAggCCAIIAggCCAIIAggCCAIIAggCCAIIAggCCAIIAggCCAITAgMCmXNxAH4AAAAAAAJzcQB+AAT///////////////7////+AAAAAXVxAH4ABwAAAAP/iV54eHdFAh4AAoUCAgIgAgQCBQIGAgcCCAIJAiECCwKHAg0CCAIIAggCCAIIAggCCAIIAggCCAIIAggCCAIIAggCCAIIAhMCAwKac3EAfgAAAAAAAnNxAH4ABP///////////////v////7/////dXEAfgAHAAAABC70FP94eHdFAh4AAoUCAgJEAgQCBQIGAgcCCAIJAiECCwKHAg0CCAIIAggCCAIIAggCCAIIAggCCAIIAggCCAIIAggCCAIIAhMCAwKbc3EAfgAAAAAAAnNxAH4ABP///////////////v////7/////dXEAfgAHAAAABCZ4H3F4eHdFAh4AAoUCAgJSAgQCBQIGAgcCCAIJAiECCwKHAg0CCAIIAggCCAIIAggCCAIIAggCCAIIAggCCAIIAggCCAIIAhMCAwKcc3EAfgAAAAAAAnNxAH4ABP///////////////v////7/////dXEAfgAHAAAABC794JJ4eHdFAh4AAoUCAgIjAgQCBQIGAgcCCAIJAiECCwKHAg0CCAIIAggCCAIIAggCCAIIAggCCAIIAggCCAIIAggCCAIIAhMCAwKdc3EAfgAAAAAAAnNxAH4ABP///////////////v////7/////dXEAfgAHAAAABBuzHlx4eHdFAh4AAoUCAgIjAgQCBQIGAgcCCAIJAoYCCwKHAg0CCAIIAggCCAIIAggCCAIIAggCCAIIAggCCAIIAggCCAIIAhMCAwKec3EAfgAAAAAAAnNxAH4ABP///////////////v////7/////dXEAfgAHAAAAAxJXv3h4d0UCHgAChQICAkECBAIFAgYCBwIIAgkCCgILAocCDQIIAggCCAIIAggCCAIIAggCCAIIAggCCAIIAggCCAIIAggCEwIDAp9zcQB+AAAAAAACc3EAfgAE///////////////+/////v////91cQB+AAcAAAAEFreoonh4d0UCHgAChQICAkYCBAIFAgYCBwIIAgkCCgILAocCDQIIAggCCAIIAggCCAIIAggCCAIIAggCCAIIAggCCAIIAggCEwIDAqBzcQB+AAAAAAACc3EAfgAE///////////////+/////v////91cQB+AAcAAAAEJZDR+3h4d0UCHgAChQICAj0CBAIFAgYCBwIIAgkCCgILAocCDQIIAggCCAIIAggCCAIIAggCCAIIAggCCAIIAggCCAIIAggCEwIDAqFzcQB+AAAAAAACc3EAfgAE///////////////+/////v////91cQB+AAcAAAADnrKqeHh3RQIeAAKFAgICQwIEAgUCBgIHAggCCQIKAgsChwINAggCCAIIAggCCAIIAggCCAIIAggCCAIIAggCCAIIAggCCAITAgMConNxAH4AAAAAAAJzcQB+AAT///////////////7////+/////3VxAH4ABwAAAAQKK9PneHh3RQIeAAKFAgICVQIEAgUCBgIHAggCCQKGAgsChwINAggCCAIIAggCCAIIAggCCAIIAggCCAIIAggCCAIIAggCCAITAgMCo3NxAH4AAAAAAAJzcQB+AAT///////////////7////+/////3VxAH4ABwAAAAMSfwZ4eHdFAh4AAoUCAgIlAgQCBQIGAgcCCAIJAgoCCwKHAg0CCAIIAggCCAIIAggCCAIIAggCCAIIAggCCAIIAggCCAIIAhMCAwKkc3EAfgAAAAAAAnNxAH4ABP///////////////v////7/////dXEAfgAHAAAABBQ694N4eHdFAh4AAoUCAgI/AgQCBQIGAgcCCAIJAgoCCwKHAg0CCAIIAggCCAIIAggCCAIIAggCCAIIAggCCAIIAggCCAIIAhMCAwKlc3EAfgAAAAAAAnNxAH4ABP///////////////v////4AAAABdXEAfgAHAAAABAJaEtJ4eHdFAh4AAoUCAgJEAgQCBQIGAgcCCAIJAoYCCwKHAg0CCAIIAggCCAIIAggCCAIIAggCCAIIAggCCAIIAggCCAIIAhMCAwKmc3EAfgAAAAAAAnNxAH4ABP///////////////v////7/////dXEAfgAHAAAAAxKK33h4d4oCHgAChQICAiACBAIFAgYCBwIIAgkChgILAocCDQIIAggCCAIIAggCCAIIAggCCAIIAggCCAIIAggCCAIIAggCEwIDAi4CHgAChQICAlcCBAIFAgYCBwIIAgkCCgILAocCDQIIAggCCAIIAggCCAIIAggCCAIIAggCCAIIAggCCAIIAggCEwIDAqdzcQB+AAAAAAACc3EAfgAE///////////////+/////v////91cQB+AAcAAAAEAW1K0nh4d0UCHgAChQICAjACBAIFAgYCBwIIAgkCCgILAocCDQIIAggCCAIIAggCCAIIAggCCAIIAggCCAIIAggCCAIIAggCEwIDAqhzcQB+AAAAAAACc3EAfgAE///////////////+/////v////91cQB+AAcAAAAEAc1Kd3h4d0UCHgAChQICAikCBAIFAgYCBwIIAgkCIQILAocCDQIIAggCCAIIAggCCAIIAggCCAIIAggCCAIIAggCCAIIAggCEwIDAqlzcQB+AAAAAAACc3EAfgAE///////////////+/////v////91cQB+AAcAAAAEHCN8kHh4d0UCHgAChQICAlACBAIFAgYCBwIIAgkChgILAocCDQIIAggCCAIIAggCCAIIAggCCAIIAggCCAIIAggCCAIIAggCEwIDAqpzcQB+AAAAAAACc3EAfgAE///////////////+/////v////91cQB+AAcAAAADEp6veHh3RQIeAAKFAgICUgIEAgUCBgIHAggCCQKGAgsChwINAggCCAIIAggCCAIIAggCCAIIAggCCAIIAggCCAIIAggCCAITAgMCq3NxAH4AAAAAAAJzcQB+AAT///////////////7////+/////3VxAH4ABwAAAAMSa1h4eHdFAh4AAoUCAgIyAgQCBQIGAgcCCAIJAiECCwKHAg0CCAIIAggCCAIIAggCCAIIAggCCAIIAggCCAIIAggCCAIIAhMCAwKsc3EAfgAAAAAAAnNxAH4ABP///////////////v////7/////dXEAfgAHAAAABDSYRyN4eHdFAh4AAoUCAgJQAgQCBQIGAgcCCAIJAiECCwKHAg0CCAIIAggCCAIIAggCCAIIAggCCAIIAggCCAIIAggCCAIIAhMCAwKtc3EAfgAAAAAAAnNxAH4ABP///////////////v////7/////dXEAfgAHAAAABDQ5VOh4eHdFAh4AAoUCAgItAgQCBQIGAgcCCAIJAiECCwKHAg0CCAIIAggCCAIIAggCCAIIAggCCAIIAggCCAIIAggCCAIIAhMCAwKuc3EAfgAAAAAAAnNxAH4ABP///////////////v////7/////dXEAfgAHAAAABCkgj4V4eHeKAh4AAoUCAgItAgQCBQIGAgcCCAIJAoYCCwKHAg0CCAIIAggCCAIIAggCCAIIAggCCAIIAggCCAIIAggCCAIIAhMCAwIuAh4AAoUCAgIdAgQCBQIGAgcCCAIJAiECCwKHAg0CCAIIAggCCAIIAggCCAIIAggCCAIIAggCCAIIAggCCAIIAhMCAwKvc3EAfgAAAAAAAnNxAH4ABP///////////////v////7/////dXEAfgAHAAAABDO8lpJ4eHdFAh4AAoUCAgIlAgQCBQIGAgcCCAIJAiECCwKHAg0CCAIIAggCCAIIAggCCAIIAggCCAIIAggCCAIIAggCCAIIAhMCAwKwc3EAfgAAAAAAAnNxAH4ABP///////////////v////7/////dXEAfgAHAAAABB2x+kx4eHdFAh4AAoUCAgIgAgQCBQIGAgcCCAIJAgoCCwKHAg0CCAIIAggCCAIIAggCCAIIAggCCAIIAggCCAIIAggCCAIIAhMCAwKxc3EAfgAAAAAAAnNxAH4ABP///////////////v////7/////dXEAfgAHAAAABAEya894eHdFAh4AAoUCAgI9AgQCBQIGAgcCCAIJAoYCCwKHAg0CCAIIAggCCAIIAggCCAIIAggCCAIIAggCCAIIAggCCAIIAhMCAwKyc3EAfgAAAAAAAnNxAH4ABP///////////////v////7/////dXEAfgAHAAAAAxJvRnh4d0UCHgAChQICAh0CBAIFAgYCBwIIAgkChgILAocCDQIIAggCCAIIAggCCAIIAggCCAIIAggCCAIIAggCCAIIAggCEwIDArNzcQB+AAAAAAACc3EAfgAE///////////////+/////v////91cQB+AAcAAAADEnM1eHh3RQIeAAKFAgICJQIEAgUCBgIHAggCCQKGAgsChwINAggCCAIIAggCCAIIAggCCAIIAggCCAIIAggCCAIIAggCCAITAgMCtHNxAH4AAAAAAAJzcQB+AAT///////////////7////+/////3VxAH4ABwAAAAMSgvh4eHdFAh4AAoUCAgI/AgQCBQIGAgcCCAIJAoYCCwKHAg0CCAIIAggCCAIIAggCCAIIAggCCAIIAggCCAIIAggCCAIIAhMCAwK1c3EAfgAAAAAAAnNxAH4ABP///////////////v////7/////dXEAfgAHAAAAAxKiqHh4d0UCHgAChQICAkgCBAIFAgYCBwIIAgkCCgILAocCDQIIAggCCAIIAggCCAIIAggCCAIIAggCCAIIAggCCAIIAggCEwIDArZzcQB+AAAAAAACc3EAfgAE///////////////+/////gAAAAF1cQB+AAcAAAAEBhtaanh4d0UCHgAChQICAkMCBAIFAgYCBwIIAgkCIQILAocCDQIIAggCCAIIAggCCAIIAggCCAIIAggCCAIIAggCCAIIAggCEwIDArdzcQB+AAAAAAACc3EAfgAE///////////////+/////v////91cQB+AAcAAAAEKUaEtnh4d0UCHgAChQICAiMCBAIFAgYCBwIIAgkCCgILAocCDQIIAggCCAIIAggCCAIIAggCCAIIAggCCAIIAggCCAIIAggCEwIDArhzcQB+AAAAAAACc3EAfgAE///////////////+/////v////91cQB+AAcAAAAEBFuSEHh4d0UCHgAChQICAkQCBAIFAgYCBwIIAgkCCgILAocCDQIIAggCCAIIAggCCAIIAggCCAIIAggCCAIIAggCCAIIAggCEwIDArlzcQB+AAAAAAACc3EAfgAE///////////////+/////v////91cQB+AAcAAAAECL1IIXh4d4oCHgAChQICAkMCBAIFAgYCBwIIAgkChgILAocCDQIIAggCCAIIAggCCAIIAggCCAIIAggCCAIIAggCCAIIAggCEwIDAi4CHgAChQICAjYCBAIFAgYCBwIIAgkCIQILAocCDQIIAggCCAIIAggCCAIIAggCCAIIAggCCAIIAggCCAIIAggCEwIDArpzcQB+AAAAAAACc3EAfgAE///////////////+/////v////91cQB+AAcAAAAEIgqsMXh4d0UCHgAChQICAjQCBAIFAgYCBwIIAgkCIQILAocCDQIIAggCCAIIAggCCAIIAggCCAIIAggCCAIIAggCCAIIAggCEwIDArtzcQB+AAAAAAACc3EAfgAE///////////////+/////v////91cQB+AAcAAAAEKsKx+Hh4d0UCHgAChQICAjsCBAIFAgYCBwIIAgkCCgILAocCDQIIAggCCAIIAggCCAIIAggCCAIIAggCCAIIAggCCAIIAggCEwIDArxzcQB+AAAAAAACc3EAfgAE///////////////+/////gAAAAF1cQB+AAcAAAADNqW2eHh3RQIeAAKFAgICNgIEAgUCBgIHAggCCQKGAgsChwINAggCCAIIAggCCAIIAggCCAIIAggCCAIIAggCCAIIAggCCAITAgMCvXNxAH4AAAAAAAJzcQB+AAT///////////////7////+/////3VxAH4ABwAAAAMShut4eHdFAh4AAoUCAgIyAgQCBQIGAgcCCAIJAgoCCwKHAg0CCAIIAggCCAIIAggCCAIIAggCCAIIAggCCAIIAggCCAIIAhMCAwK+c3EAfgAAAAAAAnNxAH4ABP///////////////v////4AAAABdXEAfgAHAAAAA7lyfHh4d0UCHgAChQICAicCBAIFAgYCBwIIAgkCCgILAocCDQIIAggCCAIIAggCCAIIAggCCAIIAggCCAIIAggCCAIIAggCEwIDAr9zcQB+AAAAAAACc3EAfgAE///////////////+/////v////91cQB+AAcAAAAEAvtLi3h4d0UCHgAChQICAisCBAIFAgYCBwIIAgkCCgILAocCDQIIAggCCAIIAggCCAIIAggCCAIIAggCCAIIAggCCAIIAggCEwIDAsBzcQB+AAAAAAACc3EAfgAE///////////////+/////v////91cQB+AAcAAAAEBQSjQXh4d0UCHgAChQICAikCBAIFAgYCBwIIAgkCCgILAocCDQIIAggCCAIIAggCCAIIAggCCAIIAggCCAIIAggCCAIIAggCEwIDAsFzcQB+AAAAAAACc3EAfgAE///////////////+/////v////91cQB+AAcAAAAEHsB0bHh4d4oCHgAChQICAjQCBAIFAgYCBwIIAgkChgILAocCDQIIAggCCAIIAggCCAIIAggCCAIIAggCCAIIAggCCAIIAggCEwIDAi4CHgAChQICAgMCBAIFAgYCBwIIAgkCCgILAocCDQIIAggCCAIIAggCCAIIAggCCAIIAggCCAIIAggCCAIIAggCEwIDAsJzcQB+AAAAAAACc3EAfgAE///////////////+/////v////91cQB+AAcAAAAEAlAe6Xh4d0UCHgAChQICAhsCBAIFAgYCBwIIAgkCCgILAocCDQIIAggCCAIIAggCCAIIAggCCAIIAggCCAIIAggCCAIIAggCEwIDAsNzcQB+AAAAAAACc3EAfgAE///////////////+/////v////91cQB+AAcAAAAEAtdnVHh4d0UCHgAChQICAlwCBAIFAgYCBwIIAgkChgILAocCDQIIAggCCAIIAggCCAIIAggCCAIIAggCCAIIAggCCAIIAggCEwIDAsRzcQB+AAAAAAACc3EAfgAE///////////////+/////v////91cQB+AAcAAAADEpq3eHh3RQIeAAKFAgICLQIEAgUCBgIHAggCCQIKAgsChwINAggCCAIIAggCCAIIAggCCAIIAggCCAIIAggCCAIIAggCCAITAgMCxXNxAH4AAAAAAAJzcQB+AAT///////////////7////+/////3VxAH4ABwAAAAQQposkeHh3RQIeAAKFAgICTgIEAgUCBgIHAggCCQKGAgsChwINAggCCAIIAggCCAIIAggCCAIIAggCCAIIAggCCAIIAggCCAITAgMCxnNxAH4AAAAAAAJzcQB+AAT///////////////7////+/////3VxAH4ABwAAAAMSZ2t4eHdFAh4AAoUCAgJcAgQCBQIGAgcCCAIJAiECCwKHAg0CCAIIAggCCAIIAggCCAIIAggCCAIIAggCCAIIAggCCAIIAhMCAwLHc3EAfgAAAAAAAnNxAH4ABP///////////////v////7/////dXEAfgAHAAAABC6RhSt4eHdFAh4AAoUCAgJIAgQCBQIGAgcCCAIJAiECCwKHAg0CCAIIAggCCAIIAggCCAIIAggCCAIIAggCCAIIAggCCAIIAhMCAwLIc3EAfgAAAAAAAnNxAH4ABP///////////////v////7/////dXEAfgAHAAAABENETeB4eHdFAh4AAoUCAgI/AgQCBQIGAgcCCAIJAiECCwKHAg0CCAIIAggCCAIIAggCCAIIAggCCAIIAggCCAIIAggCCAIIAhMCAwLJc3EAfgAAAAAAAnNxAH4ABP///////////////v////7/////dXEAfgAHAAAABDlFLv54eHdFAh4AAoUCAgInAgQCBQIGAgcCCAIJAoYCCwKHAg0CCAIIAggCCAIIAggCCAIIAggCCAIIAggCCAIIAggCCAIIAhMCAwLKc3EAfgAAAAAAAnNxAH4ABP///////////////v////7/////dXEAfgAHAAAAAxJbqXh4d0UCHgAChQICAisCBAIFAgYCBwIIAgkChgILAocCDQIIAggCCAIIAggCCAIIAggCCAIIAggCCAIIAggCCAIIAggCEwIDAstzcQB+AAAAAAACc3EAfgAE///////////////+/////v////91cQB+AAcAAAADEo7UeHh3RQIeAAKFAgICJwIEAgUCBgIHAggCCQIhAgsChwINAggCCAIIAggCCAIIAggCCAIIAggCCAIIAggCCAIIAggCCAITAgMCzHNxAH4AAAAAAAJzcQB+AAT///////////////7////+/////3VxAH4ABwAAAAQerglPeHh3RQIeAAKFAgICPQIEAgUCBgIHAggCCQIhAgsChwINAggCCAIIAggCCAIIAggCCAIIAggCCAIIAggCCAIIAggCCAITAgMCzXNxAH4AAAAAAAJzcQB+AAT///////////////7////+/////3VxAH4ABwAAAAQx77UZeHh3RQIeAAKFAgICNAIEAgUCBgIHAggCCQIKAgsChwINAggCCAIIAggCCAIIAggCCAIIAggCCAIIAggCCAIIAggCCAITAgMCznNxAH4AAAAAAAJzcQB+AAT///////////////7////+/////3VxAH4ABwAAAAQE4d6ZeHh3RQIeAAKFAgICNgIEAgUCBgIHAggCCQIKAgsChwINAggCCAIIAggCCAIIAggCCAIIAggCCAIIAggCCAIIAggCCAITAgMCz3NxAH4AAAAAAAJzcQB+AAT///////////////7////+/////3VxAH4ABwAAAAQOCxxKeHh3RQIeAAKFAgICRgIEAgUCBgIHAggCCQKGAgsChwINAggCCAIIAggCCAIIAggCCAIIAggCCAIIAggCCAIIAggCCAITAgMC0HNxAH4AAAAAAAJzcQB+AAT///////////////7////+/////3VxAH4ABwAAAAMSexV4eHdFAh4AAoUCAgJVAgQCBQIGAgcCCAIJAgoCCwKHAg0CCAIIAggCCAIIAggCCAIIAggCCAIIAggCCAIIAggCCAIIAhMCAwLRc3EAfgAAAAAAAnNxAH4ABP///////////////v////7/////dXEAfgAHAAAABB0QqXR4eHdFAh4AAoUCAgIdAgQCBQIGAgcCCAIJAgoCCwKHAg0CCAIIAggCCAIIAggCCAIIAggCCAIIAggCCAIIAggCCAIIAhMCAwLSc3EAfgAAAAAAAnNxAH4ABP///////////////v////7/////dXEAfgAHAAAAAzL3EXh4d0UCHgAChQICAisCBAIFAgYCBwIIAgkCIQILAocCDQIIAggCCAIIAggCCAIIAggCCAIIAggCCAIIAggCCAIIAggCEwIDAtNzcQB+AAAAAAACc3EAfgAE///////////////+/////v////91cQB+AAcAAAAEKeDlE3h4d0UCHgAChQICAjsCBAIFAgYCBwIIAgkCIQILAocCDQIIAggCCAIIAggCCAIIAggCCAIIAggCCAIIAggCCAIIAggCEwIDAtRzcQB+AAAAAAACc3EAfgAE///////////////+/////v////91cQB+AAcAAAAEL/7GXHh4d0UCHgAChQICAjsCBAIFAgYCBwIIAgkChgILAocCDQIIAggCCAIIAggCCAIIAggCCAIIAggCCAIIAggCCAIIAggCEwIDAi4=]]></xxe4awand>
</file>

<file path=customXml/item7.xml><?xml version="1.0" encoding="utf-8"?>
<xxe4awand xmlns="http://www.excel4apps.com"><![CDATA[rO0ABXfZCMCtii8ABEkDAh4AAERjb20uZXhjZWw0YXBwcy53YW5kLm9yYWNsZS5n
bHdhbmQuY2FsY3VsYXRpb25zLmdldGJhbGFuY2UuR2V0QmFsYW5jZQIBAAkzNzcw
NzgwODACAgABMAIDAAYyMDE4MDICBAADWVREAgUAA1VTRAIGAAVUb3RhbAIHAAFB
AggAAAIJAAMwMDECCgAGMTkxMDEwAgsAAkdEAgwAAldBAg0AAkRMAggCCAIIAggC
CAIIAggCCAIIAggCCAIIAggCCAIIAggCCAIOAgMCDnNyAg8AFGphdmEubWF0aC5C
aWdEZWNpbWFsVMcVV/mBKE8DAAJJAhAABXNjYWxlTAIRAAZpbnRWYWx0ABZMamF2
YS9tYXRoL0JpZ0ludGVnZXI7eHICEgAQamF2YS5sYW5nLk51bWJlcoaslR0LlOCL
AgAAeHAAAAACc3ICEwAUamF2YS5tYXRoLkJpZ0ludGVnZXKM/J8fqTv7HQMABkkC
FAAIYml0Q291bnRJAhUACWJpdExlbmd0aEkCFgATZmlyc3ROb256ZXJvQnl0ZU51
bUkCFwAMbG93ZXN0U2V0Qml0SQIYAAZzaWdudW1bAhkACW1hZ25pdHVkZXQAAltC
eHEAfgAC///////////////+/////v////91cgIaAAJbQqzzF/gGCFTgAgAAeHAA
AAAETypx+Xh4d00CHgACAQICAhsABjIwMTcwOAIEAgUCBgIHAggCCQIKAgsCDAIN
AggCCAIIAggCCAIIAggCCAIIAggCCAIIAggCCAIIAggCCAIOAgMCHHNxAH4AAAAA
AAJzcQB+AAT///////////////7////+/////3VxAH4ABwAAAARlMUGreHh3TQIeAAIBAgICHQAGMjAxNzA1AgQCBQIGAgcCCAIJAgoCCwIMAg0CCAIIAggCCAIIAggCCAIIAggCCAIIAggCCAIIAggCCAIIAg4CAwIec3EAfgAAAAAAAnNxAH4ABP///////////////v////7/////dXEAfgAHAAAABFn95fJ4eHdNAh4AAgECAgIfAAYyMDE3MDECBAIFAgYCBwIIAgkCCgILAgwCDQIIAggCCAIIAggCCAIIAggCCAIIAggCCAIIAggCCAIIAggCDgIDAiBzcQB+AAAAAAACc3EAfgAE///////////////+/////v////91cQB+AAcAAAAEPRU7dnh4d00CHgACAQICAiEABjIwMTcwMwIEAgUCBgIHAggCCQIKAgsCDAINAggCCAIIAggCCAIIAggCCAIIAggCCAIIAggCCAIIAggCCAIOAgMCInNxAH4AAAAAAAJzcQB+AAT///////////////7////+/////3VxAH4ABwAAAARTY5smeHh3TQIeAAIBAgICIwAGMjAxNzEyAgQCBQIGAgcCCAIJAgoCCwIMAg0CCAIIAggCCAIIAggCCAIIAggCCAIIAggCCAIIAggCCAIIAg4CAwIkc3EAfgAAAAAAAnNxAH4ABP///////////////v////7/////dXEAfgAHAAAABEI0vHx4eHdNAh4AAgECAgIlAAYyMDE3MTACBAIFAgYCBwIIAgkCCgILAgwCDQIIAggCCAIIAggCCAIIAggCCAIIAggCCAIIAggCCAIIAggCDgIDAiZzcQB+AAAAAAACc3EAfgAE///////////////+/////v////91cQB+AAcAAAAEgtyI8Xh4d00CHgACAQICAicABjIwMTcwMgIEAgUCBgIHAggCCQIKAgsCDAINAggCCAIIAggCCAIIAggCCAIIAggCCAIIAggCCAIIAggCCAIOAgMCKHNxAH4AAAAAAAJzcQB+AAT///////////////7////+/////3VxAH4ABwAAAARJi1PJeHh3TQIeAAIBAgICKQAGMjAxODAzAgQCBQIGAgcCCAIJAgoCCwIMAg0CCAIIAggCCAIIAggCCAIIAggCCAIIAggCCAIIAggCCAIIAg4CAwIqc3EAfgAAAAAAAnNxAH4ABP///////////////v////7/////dXEAfgAHAAAABFJ+oxp4eHdNAh4AAgECAgIrAAYyMDE3MDQCBAIFAgYCBwIIAgkCCgILAgwCDQIIAggCCAIIAggCCAIIAggCCAIIAggCCAIIAggCCAIIAggCDgIDAixzcQB+AAAAAAACc3EAfgAE///////////////+/////v////91cQB+AAcAAAAEWnDZd3h4d00CHgACAQICAi0ABjIwMTcwOQIEAgUCBgIHAggCCQIKAgsCDAINAggCCAIIAggCCAIIAggCCAIIAggCCAIIAggCCAIIAggCCAIOAgMCLnNxAH4AAAAAAAJzcQB+AAT///////////////7////+/////3VxAH4ABwAAAARxBllJeHh3TQIeAAIBAgICLwAGMjAxNzA3AgQCBQIGAgcCCAIJAgoCCwIMAg0CCAIIAggCCAIIAggCCAIIAggCCAIIAggCCAIIAggCCAIIAg4CAwIwc3EAfgAAAAAAAnNxAH4ABP///////////////v////7/////dXEAfgAHAAAABF7UYvh4eHdNAh4AAgECAgIxAAYyMDE3MTECBAIFAgYCBwIIAgkCCgILAgwCDQIIAggCCAIIAggCCAIIAggCCAIIAggCCAIIAggCCAIIAggCDgIDAjJzcQB+AAAAAAACc3EAfgAE///////////////+/////v////91cQB+AAcAAAAEMNCqs3h4d00CHgACAQICAjMABjIwMTcwNgIEAgUCBgIHAggCCQIKAgsCDAINAggCCAIIAggCCAIIAggCCAIIAggCCAIIAggCCAIIAggCCAIOAgMCNHNxAH4AAAAAAAJzcQB+AAT///////////////7////+/////3VxAH4ABwAAAARYCwcseHh3TQIeAAIBAgICNQAGMjAxODAxAgQCBQIGAgcCCAIJAgoCCwIMAg0CCAIIAggCCAIIAggCCAIIAggCCAIIAggCCAIIAggCCAIIAg4CAwI2c3EAfgAAAAAAAnNxAH4ABP///////////////v////7/////dXEAfgAHAAAABE7u6Np4eHdgAh4AAjcACTQyMjQ5NDk4NAICAjgABjIwMTMxMgIEAgUCBgIHAggCCQI5AAYxOTEwMjUCCwIMAg0CCAIIAggCCAIIAggCCAIIAggCCAIIAggCCAIIAggCCAIIAh4CAwI6c3EAfgAAAAAAAnNxAH4ABP///////////////v////7/////dXEAfgAHAAAAAxTl5Hh4d1QCHgACOwAJMzc3MDc5MjQwAgICJwIEAgUCBgIHAggCCQIKAgsCPAACSUQCDQIIAggCCAIIAggCCAIIAggCCAIIAggCCAIIAggCCAIIAggCIQIDAj1zcQB+AAAAAAACc3EAfgAE///////////////+/////v////91cQB+AAcAAAAEIgqsMXh4d0UCHgACOwICAikCBAIFAgYCBwIIAgkCCgILAjwCDQIIAggCCAIIAggCCAIIAggCCAIIAggCCAIIAggCCAIIAggCIQIDAj5zcQB+AAAAAAACc3EAfgAE///////////////+/////v////91cQB+AAcAAAAEKsKx+Hh4d0UCHgACOwICAjUCBAIFAgYCBwIIAgkCCgILAjwCDQIIAggCCAIIAggCCAIIAggCCAIIAggCCAIIAggCCAIIAggCIQIDAj9zcQB+AAAAAAACc3EAfgAE///////////////+/////v////91cQB+AAcAAAAEKSCPhXh4d0UCHgACOwICAjMCBAIFAgYCBwIIAgkCCgILAjwCDQIIAggCCAIIAggCCAIIAggCCAIIAggCCAIIAggCCAIIAggCIQIDAkBzcQB+AAAAAAACc3EAfgAE///////////////+/////v////91cQB+AAcAAAAEKgtGIXh4d0UCHgACOwICAjECBAIFAgYCBwIIAgkCCgILAjwCDQIIAggCCAIIAggCCAIIAggCCAIIAggCCAIIAggCCAIIAggCIQIDAkFzcQB+AAAAAAACc3EAfgAE///////////////+/////v////91cQB+AAcAAAAEHCN8kHh4d0UCHgACOwICAhsCBAIFAgYCBwIIAgkCCgILAjwCDQIIAggCCAIIAggCCAIIAggCCAIIAggCCAIIAggCCAIIAggCIQIDAkJzcQB+AAAAAAACc3EAfgAE///////////////+/////v////91cQB+AAcAAAAENDlU6Hh4d0UCHgACOwICAisCBAIFAgYCBwIIAgkCCgILAjwCDQIIAggCCAIIAggCCAIIAggCCAIIAggCCAIIAggCCAIIAggCIQIDAkNzcQB+AAAAAAACc3EAfgAE///////////////+/////v////91cQB+AAcAAAAEKeDlE3h4d0UCHgACOwICAiECBAIFAgYCBwIIAgkCCgILAjwCDQIIAggCCAIIAggCCAIIAggCCAIIAggCCAIIAggCCAIIAggCIQIDAkRzcQB+AAAAAAACc3EAfgAE///////////////+/////v////91cQB+AAcAAAAEJngfcXh4d0UCHgACOwICAgMCBAIFAgYCBwIIAgkCCgILAjwCDQIIAggCCAIIAggCCAIIAggCCAIIAggCCAIIAggCCAIIAggCIQIDAkVzcQB+AAAAAAACc3EAfgAE///////////////+/////v////91cQB+AAcAAAAEKUaEtnh4d0UCHgACOwICAi8CBAIFAgYCBwIIAgkCCgILAjwCDQIIAggCCAIIAggCCAIIAggCCAIIAggCCAIIAggCCAIIAggCIQIDAkZzcQB+AAAAAAACc3EAfgAE///////////////+/////v////91cQB+AAcAAAAELpGFK3h4d0UCHgACOwICAi0CBAIFAgYCBwIIAgkCCgILAjwCDQIIAggCCAIIAggCCAIIAggCCAIIAggCCAIIAggCCAIIAggCIQIDAkdzcQB+AAAAAAACc3EAfgAE///////////////+/////v////91cQB+AAcAAAAEOUUu/nh4d0UCHgACOwICAh0CBAIFAgYCBwIIAgkCCgILAjwCDQIIAggCCAIIAggCCAIIAggCCAIIAggCCAIIAggCCAIIAggCIQIDAkhzcQB+AAAAAAACc3EAfgAE///////////////+/////v////91cQB+AAcAAAAEKiZPC3h4d0UCHgACOwICAh8CBAIFAgYCBwIIAgkCCgILAjwCDQIIAggCCAIIAggCCAIIAggCCAIIAggCCAIIAggCCAIIAggCIQIDAklzcQB+AAAAAAACc3EAfgAE///////////////+/////v////91cQB+AAcAAAAEHbH6THh4d0UCHgACOwICAiUCBAIFAgYCBwIIAgkCCgILAjwCDQIIAggCCAIIAggCCAIIAggCCAIIAggCCAIIAggCCAIIAggCIQIDAkpzcQB+AAAAAAACc3EAfgAE///////////////+/////v////91cQB+AAcAAAAEQ0RN4Hh4d0UCHgACOwICAiMCBAIFAgYCBwIIAgkCCgILAjwCDQIIAggCCAIIAggCCAIIAggCCAIIAggCCAIIAggCCAIIAggCIQIDAktzcQB+AAAAAAACc3EAfgAE///////////////+/////v////91cQB+AAcAAAAEJDRt9Hh4d1gCHgACTAAJNjY2NzA4NzYwAgICTQAGMjAxODA0AgQCBQIGAgcCCAIJAjkCCwIMAg0CCAIIAggCCAIIAggCCAIIAggCCAIIAggCCAIIAggCCAIIAgECAwJOc3EAfgAAAAAAAnNxAH4ABP///////////////v////4AAAAAdXEAfgAHAAAAAHh4d00CHgACTAICAi8CBAIFAgYCBwIIAgkCTwAGMTkxMDAwAgsCDAINAggCCAIIAggCCAIIAggCCAIIAggCCAIIAggCCAIIAggCCAIBAgMCUHNxAH4AAAAAAAJzcQB+AAT///////////////7////+/////3VxAH4ABwAAAAQCCvb0eHh3TQIeAAJMAgICUQAGMjAxNjAyAgQCBQIGAgcCCAIJAjkCCwIMAg0CCAIIAggCCAIIAggCCAIIAggCCAIIAggCCAIIAggCCAIIAgECAwJSc3EAfgAAAAAAAnNxAH4ABP///////////////v////7/////dXEAfgAHAAAAAxIVy3h4d9cCHgACTAICAh0CBAIFAgYCBwIIAgkCCgILAgwCDQIIAggCCAIIAggCCAIIAggCCAIIAggCCAIIAggCCAIIAggCAQIDAh4CHgACTAICAiMCBAIFAgYCBwIIAgkCCgILAgwCDQIIAggCCAIIAggCCAIIAggCCAIIAggCCAIIAggCCAIIAggCAQIDAiQCHgACTAICAlMABjIwMTYwNgIEAgUCBgIHAggCCQJPAgsCDAINAggCCAIIAggCCAIIAggCCAIIAggCCAIIAggCCAIIAggCCAIBAgMCVHNxAH4AAAAAAAJzcQB+AAT///////////////7////+/////3VxAH4ABwAAAAQDq4uteHh3TQIeAAJMAgICVQAGMjAxNjA1AgQCBQIGAgcCCAIJAgoCCwIMAg0CCAIIAggCCAIIAggCCAIIAggCCAIIAggCCAIIAggCCAIIAgECAwJWc3EAfgAAAAAAAnNxAH4ABP///////////////v////7/////dXEAfgAHAAAABEwrC4B4eHdNAh4AAkwCAgJXAAYyMDE2MTICBAIFAgYCBwIIAgkCTwILAgwCDQIIAggCCAIIAggCCAIIAggCCAIIAggCCAIIAggCCAIIAggCAQIDAlhzcQB+AAAAAAACc3EAfgAE///////////////+/////v////91cQB+AAcAAAAEO4uIvXh4d00CHgACTAICAlkABjIwMTYxMAIEAgUCBgIHAggCCQIKAgsCDAINAggCCAIIAggCCAIIAggCCAIIAggCCAIIAggCCAIIAggCCAIBAgMCWnNxAH4AAAAAAAJzcQB+AAT///////////////7////+/////3VxAH4ABwAAAARijcsWeHh3RQIeAAJMAgICJwIEAgUCBgIHAggCCQI5AgsCDAINAggCCAIIAggCCAIIAggCCAIIAggCCAIIAggCCAIIAggCCAIBAgMCW3NxAH4AAAAAAAJzcQB+AAT///////////////7////+/////3VxAH4ABwAAAAME+2h4eHdFAh4AAkwCAgIrAgQCBQIGAgcCCAIJAjkCCwIMAg0CCAIIAggCCAIIAggCCAIIAggCCAIIAggCCAIIAggCCAIIAgECAwJcc3EAfgAAAAAAAnNxAH4ABP///////////////v////7/////dXEAfgAHAAAAAwR0jXh4d0UCHgACTAICAlUCBAIFAgYCBwIIAgkCTwILAgwCDQIIAggCCAIIAggCCAIIAggCCAIIAggCCAIIAggCCAIIAggCAQIDAl1zcQB+AAAAAAACc3EAfgAE///////////////+/////v////91cQB+AAcAAAAEBDaJ43h4d00CHgACTAICAl4ABjIwMTYwMwIEAgUCBgIHAggCCQIKAgsCDAINAggCCAIIAggCCAIIAggCCAIIAggCCAIIAggCCAIIAggCCAIBAgMCX3NxAH4AAAAAAAJzcQB+AAT///////////////7////+/////3VxAH4ABwAAAAQ9+1bieHh3RQIeAAJMAgICXgIEAgUCBgIHAggCCQI5AgsCDAINAggCCAIIAggCCAIIAggCCAIIAggCCAIIAggCCAIIAggCCAIBAgMCYHNxAH4AAAAAAAJzcQB+AAT///////////////7////+/////3VxAH4ABwAAAAMOg914eHdFAh4AAkwCAgIzAgQCBQIGAgcCCAIJAk8CCwIMAg0CCAIIAggCCAIIAggCCAIIAggCCAIIAggCCAIIAggCCAIIAgECAwJhc3EAfgAAAAAAAnNxAH4ABP///////////////v////7/////dXEAfgAHAAAABAPdTSB4eHoAAAEcAh4AAkwCAgIpAgQCBQIGAgcCCAIJAjkCCwIMAg0CCAIIAggCCAIIAggCCAIIAggCCAIIAggCCAIIAggCCAIIAgECAwJOAh4AAkwCAgIxAgQCBQIGAgcCCAIJAgoCCwIMAg0CCAIIAggCCAIIAggCCAIIAggCCAIIAggCCAIIAggCCAIIAgECAwIyAh4AAkwCAgIrAgQCBQIGAgcCCAIJAgoCCwIMAg0CCAIIAggCCAIIAggCCAIIAggCCAIIAggCCAIIAggCCAIIAgECAwIsAh4AAkwCAgJiAAYyMDE2MDQCBAIFAgYCBwIIAgkCCgILAgwCDQIIAggCCAIIAggCCAIIAggCCAIIAggCCAIIAggCCAIIAggCAQIDAmNzcQB+AAAAAAACc3EAfgAE///////////////+/////v////91cQB+AAcAAAAESHB4r3h4d00CHgACTAICAmQABjIwMTYxMQIEAgUCBgIHAggCCQIKAgsCDAINAggCCAIIAggCCAIIAggCCAIIAggCCAIIAggCCAIIAggCCAIBAgMCZXNxAH4AAAAAAAJzcQB+AAT///////////////7////+/////3VxAH4ABwAAAAQSVBWqeHh3RQIeAAJMAgICIQIEAgUCBgIHAggCCQI5AgsCDAINAggCCAIIAggCCAIIAggCCAIIAggCCAIIAggCCAIIAggCCAIBAgMCZnNxAH4AAAAAAAJzcQB+AAT///////////////7////+/////3VxAH4ABwAAAAMEq5d4eHdFAh4AAkwCAgIlAgQCBQIGAgcCCAIJAjkCCwIMAg0CCAIIAggCCAIIAggCCAIIAggCCAIIAggCCAIIAggCCAIIAgECAwJnc3EAfgAAAAAAAnNxAH4ABP///////////////v////7/////dXEAfgAHAAAAAwPcq3h4d0UCHgACTAICAh0CBAIFAgYCBwIIAgkCTwILAgwCDQIIAggCCAIIAggCCAIIAggCCAIIAggCCAIIAggCCAIIAggCAQIDAmhzcQB+AAAAAAACc3EAfgAE///////////////+/////v////91cQB+AAcAAAAEBiEYhXh4d0UCHgACTAICAmQCBAIFAgYCBwIIAgkCOQILAgwCDQIIAggCCAIIAggCCAIIAggCCAIIAggCCAIIAggCCAIIAggCAQIDAmlzcQB+AAAAAAACc3EAfgAE///////////////+/////v////91cQB+AAcAAAADBmgreHh3RQIeAAJMAgICMQIEAgUCBgIHAggCCQJPAgsCDAINAggCCAIIAggCCAIIAggCCAIIAggCCAIIAggCCAIIAggCCAIBAgMCanNxAH4AAAAAAAJzcQB+AAT///////////////7////+/////3VxAH4ABwAAAAREule8eHh3RQIeAAJMAgICWQIEAgUCBgIHAggCCQJPAgsCDAINAggCCAIIAggCCAIIAggCCAIIAggCCAIIAggCCAIIAggCCAIBAgMCa3NxAH4AAAAAAAJzcQB+AAT///////////////7////+/////3VxAH4ABwAAAAO8XLJ4eHdFAh4AAkwCAgJiAgQCBQIGAgcCCAIJAk8CCwIMAg0CCAIIAggCCAIIAggCCAIIAggCCAIIAggCCAIIAggCCAIIAgECAwJsc3EAfgAAAAAAAnNxAH4ABP///////////////v////7/////dXEAfgAHAAAABATkMA94eHdNAh4AAkwCAgJtAAYyMDE2MDkCBAIFAgYCBwIIAgkCTwILAgwCDQIIAggCCAIIAggCCAIIAggCCAIIAggCCAIIAggCCAIIAggCAQIDAm5zcQB+AAAAAAACc3EAfgAE///////////////+/////v////91cQB+AAcAAAAEAhunbnh4d0UCHgACTAICAlUCBAIFAgYCBwIIAgkCOQILAgwCDQIIAggCCAIIAggCCAIIAggCCAIIAggCCAIIAggCCAIIAggCAQIDAm9zcQB+AAAAAAACc3EAfgAE///////////////+/////v////91cQB+AAcAAAADC4KteHh3RQIeAAJMAgICMwIEAgUCBgIHAggCCQI5AgsCDAINAggCCAIIAggCCAIIAggCCAIIAggCCAIIAggCCAIIAggCCAIBAgMCcHNxAH4AAAAAAAJzcQB+AAT///////////////7////+/////3VxAH4ABwAAAAMEQ3p4eHdFAh4AAkwCAgJXAgQCBQIGAgcCCAIJAgoCCwIMAg0CCAIIAggCCAIIAggCCAIIAggCCAIIAggCCAIIAggCCAIIAgECAwJxc3EAfgAAAAAAAnNxAH4ABP///////////////v////7/////dXEAfgAHAAAABCij2ll4eHeKAh4AAkwCAgIpAgQCBQIGAgcCCAIJAgoCCwIMAg0CCAIIAggCCAIIAggCCAIIAggCCAIIAggCCAIIAggCCAIIAgECAwIqAh4AAkwCAgIbAgQCBQIGAgcCCAIJAk8CCwIMAg0CCAIIAggCCAIIAggCCAIIAggCCAIIAggCCAIIAggCCAIIAgECAwJyc3EAfgAAAAAAAnNxAH4ABP///////////////v////7/////dXEAfgAHAAAAAzKU1nh4d00CHgACTAICAnMABjIwMTYwNwIEAgUCBgIHAggCCQJPAgsCDAINAggCCAIIAggCCAIIAggCCAIIAggCCAIIAggCCAIIAggCCAIBAgMCdHNxAH4AAAAAAAJzcQB+AAT///////////////7////+/////3VxAH4ABwAAAAQDNpKZeHh3zwIeAAJMAgICJwIEAgUCBgIHAggCCQIKAgsCDAINAggCCAIIAggCCAIIAggCCAIIAggCCAIIAggCCAIIAggCCAIBAgMCKAIeAAJMAgICLwIEAgUCBgIHAggCCQIKAgsCDAINAggCCAIIAggCCAIIAggCCAIIAggCCAIIAggCCAIIAggCCAIBAgMCMAIeAAJMAgICUwIEAgUCBgIHAggCCQIKAgsCDAINAggCCAIIAggCCAIIAggCCAIIAggCCAIIAggCCAIIAggCCAIBAgMCdXNxAH4AAAAAAAJzcQB+AAT///////////////7////+/////3VxAH4ABwAAAARUiEubeHh31wIeAAJMAgICJQIEAgUCBgIHAggCCQIKAgsCDAINAggCCAIIAggCCAIIAggCCAIIAggCCAIIAggCCAIIAggCCAIBAgMCJgIeAAJMAgICAwIEAgUCBgIHAggCCQI5AgsCDAINAggCCAIIAggCCAIIAggCCAIIAggCCAIIAggCCAIIAggCCAIBAgMCTgIeAAJMAgICdgAGMjAxNjA4AgQCBQIGAgcCCAIJAjkCCwIMAg0CCAIIAggCCAIIAggCCAIIAggCCAIIAggCCAIIAggCCAIIAgECAwJ3c3EAfgAAAAAAAnNxAH4ABP///////////////v////7/////dXEAfgAHAAAAAwi2nHh4d4oCHgACTAICAiMCBAIFAgYCBwIIAgkCOQILAgwCDQIIAggCCAIIAggCCAIIAggCCAIIAggCCAIIAggCCAIIAggCAQIDAk4CHgACTAICAjUCBAIFAgYCBwIIAgkCTwILAgwCDQIIAggCCAIIAggCCAIIAggCCAIIAggCCAIIAggCCAIIAggCAQIDAnhzcQB+AAAAAAACc3EAfgAE///////////////+/////v////91cQB+AAcAAAAEJnGjV3h4d0UCHgACTAICAi0CBAIFAgYCBwIIAgkCOQILAgwCDQIIAggCCAIIAggCCAIIAggCCAIIAggCCAIIAggCCAIIAggCAQIDAnlzcQB+AAAAAAACc3EAfgAE///////////////+/////v////91cQB+AAcAAAADBA6ueHh3RQIeAAJMAgICHwIEAgUCBgIHAggCCQI5AgsCDAINAggCCAIIAggCCAIIAggCCAIIAggCCAIIAggCCAIIAggCCAIBAgMCenNxAH4AAAAAAAJzcQB+AAT///////////////7////+/////3VxAH4ABwAAAAMFZP94eHdFAh4AAkwCAgJtAgQCBQIGAgcCCAIJAgoCCwIMAg0CCAIIAggCCAIIAggCCAIIAggCCAIIAggCCAIIAggCCAIIAgECAwJ7c3EAfgAAAAAAAnNxAH4ABP///////////////v////7/////dXEAfgAHAAAABGExCBR4eHfPAh4AAkwCAgIfAgQCBQIGAgcCCAIJAgoCCwIMAg0CCAIIAggCCAIIAggCCAIIAggCCAIIAggCCAIIAggCCAIIAgECAwIgAh4AAkwCAgIDAgQCBQIGAgcCCAIJAgoCCwIMAg0CCAIIAggCCAIIAggCCAIIAggCCAIIAggCCAIIAggCCAIIAgECAwIOAh4AAkwCAgJRAgQCBQIGAgcCCAIJAk8CCwIMAg0CCAIIAggCCAIIAggCCAIIAggCCAIIAggCCAIIAggCCAIIAgECAwJ8c3EAfgAAAAAAAnNxAH4ABP///////////////v////7/////dXEAfgAHAAAABAgl/7F4eHdFAh4AAkwCAgJzAgQCBQIGAgcCCAIJAjkCCwIMAg0CCAIIAggCCAIIAggCCAIIAggCCAIIAggCCAIIAggCCAIIAgECAwJ9c3EAfgAAAAAAAnNxAH4ABP///////////////v////7/////dXEAfgAHAAAAAwmef3h4d0UCHgACTAICAiECBAIFAgYCBwIIAgkCTwILAgwCDQIIAggCCAIIAggCCAIIAggCCAIIAggCCAIIAggCCAIIAggCAQIDAn5zcQB+AAAAAAACc3EAfgAE///////////////+/////v////91cQB+AAcAAAAEEP3yI3h4d0UCHgACTAICAk0CBAIFAgYCBwIIAgkCTwILAgwCDQIIAggCCAIIAggCCAIIAggCCAIIAggCCAIIAggCCAIIAggCAQIDAn9zcQB+AAAAAAACc3EAfgAE///////////////+/////v////91cQB+AAcAAAAEBxk/mXh4d0UCHgACTAICAhsCBAIFAgYCBwIIAgkCOQILAgwCDQIIAggCCAIIAggCCAIIAggCCAIIAggCCAIIAggCCAIIAggCAQIDAoBzcQB+AAAAAAACc3EAfgAE///////////////+/////v////91cQB+AAcAAAADBCUJeHh3RQIeAAJMAgICJQIEAgUCBgIHAggCCQJPAgsCDAINAggCCAIIAggCCAIIAggCCAIIAggCCAIIAggCCAIIAggCCAIBAgMCgXNxAH4AAAAAAAJzcQB+AAT///////////////7////+AAAAAXVxAH4ABwAAAAQJDRX9eHh3zwIeAAJMAgICLQIEAgUCBgIHAggCCQIKAgsCDAINAggCCAIIAggCCAIIAggCCAIIAggCCAIIAggCCAIIAggCCAIBAgMCLgIeAAJMAgICNQIEAgUCBgIHAggCCQIKAgsCDAINAggCCAIIAggCCAIIAggCCAIIAggCCAIIAggCCAIIAggCCAIBAgMCNgIeAAJMAgICJwIEAgUCBgIHAggCCQJPAgsCDAINAggCCAIIAggCCAIIAggCCAIIAggCCAIIAggCCAIIAggCCAIBAgMCgnNxAH4AAAAAAAJzcQB+AAT///////////////7////+/////3VxAH4ABwAAAAQbRzHTeHh3RQIeAAJMAgICUwIEAgUCBgIHAggCCQI5AgsCDAINAggCCAIIAggCCAIIAggCCAIIAggCCAIIAggCCAIIAggCCAIBAgMCg3NxAH4AAAAAAAJzcQB+AAT///////////////7////+/////3VxAH4ABwAAAAMKgFR4eHdFAh4AAkwCAgJ2AgQCBQIGAgcCCAIJAgoCCwIMAg0CCAIIAggCCAIIAggCCAIIAggCCAIIAggCCAIIAggCCAIIAgECAwKEc3EAfgAAAAAAAnNxAH4ABP///////////////v////7/////dXEAfgAHAAAABF1XUMl4eHdFAh4AAkwCAgIvAgQCBQIGAgcCCAIJAjkCCwIMAg0CCAIIAggCCAIIAggCCAIIAggCCAIIAggCCAIIAggCCAIIAgECAwKFc3EAfgAAAAAAAnNxAH4ABP///////////////v////7/////dXEAfgAHAAAAAwQ0OHh4d0UCHgACTAICAikCBAIFAgYCBwIIAgkCTwILAgwCDQIIAggCCAIIAggCCAIIAggCCAIIAggCCAIIAggCCAIIAggCAQIDAoZzcQB+AAAAAAACc3EAfgAE///////////////+/////v////91cQB+AAcAAAAEDlPJjHh4d0UCHgACTAICAk0CBAIFAgYCBwIIAgkCCgILAgwCDQIIAggCCAIIAggCCAIIAggCCAIIAggCCAIIAggCCAIIAggCAQIDAodzcQB+AAAAAAACc3EAfgAE///////////////+/////v////91cQB+AAcAAAAEWqnIX3h4d4oCHgACTAICAiECBAIFAgYCBwIIAgkCCgILAgwCDQIIAggCCAIIAggCCAIIAggCCAIIAggCCAIIAggCCAIIAggCAQIDAiICHgACTAICAlECBAIFAgYCBwIIAgkCCgILAgwCDQIIAggCCAIIAggCCAIIAggCCAIIAggCCAIIAggCCAIIAggCAQIDAohzcQB+AAAAAAACc3EAfgAE///////////////+/////v////91cQB+AAcAAAAENzj1T3h4d0UCHgACTAICAmICBAIFAgYCBwIIAgkCOQILAgwCDQIIAggCCAIIAggCCAIIAggCCAIIAggCCAIIAggCCAIIAggCAQIDAolzcQB+AAAAAAACc3EAfgAE///////////////+/////v////91cQB+AAcAAAADDMb+eHh3RQIeAAJMAgICbQIEAgUCBgIHAggCCQI5AgsCDAINAggCCAIIAggCCAIIAggCCAIIAggCCAIIAggCCAIIAggCCAIBAgMCinNxAH4AAAAAAAJzcQB+AAT///////////////7////+/////3VxAH4ABwAAAAMHjdR4eHeKAh4AAkwCAgIbAgQCBQIGAgcCCAIJAgoCCwIMAg0CCAIIAggCCAIIAggCCAIIAggCCAIIAggCCAIIAggCCAIIAgECAwIcAh4AAkwCAgJ2AgQCBQIGAgcCCAIJAk8CCwIMAg0CCAIIAggCCAIIAggCCAIIAggCCAIIAggCCAIIAggCCAIIAgECAwKLc3EAfgAAAAAAAnNxAH4ABP///////////////v////7/////dXEAfgAHAAAABAK9P6R4eHeKAh4AAkwCAgI1AgQCBQIGAgcCCAIJAjkCCwIMAg0CCAIIAggCCAIIAggCCAIIAggCCAIIAggCCAIIAggCCAIIAgECAwJOAh4AAkwCAgJZAgQCBQIGAgcCCAIJAjkCCwIMAg0CCAIIAggCCAIIAggCCAIIAggCCAIIAggCCAIIAggCCAIIAgECAwKMc3EAfgAAAAAAAnNxAH4ABP///////////////v////7/////dXEAfgAHAAAAAwU/r3h4d0UCHgACTAICAi0CBAIFAgYCBwIIAgkCTwILAgwCDQIIAggCCAIIAggCCAIIAggCCAIIAggCCAIIAggCCAIIAggCAQIDAo1zcQB+AAAAAAACc3EAfgAE///////////////+/////gAAAAF1cQB+AAcAAAAEAo6woHh4d0UCHgACTAICAiMCBAIFAgYCBwIIAgkCTwILAgwCDQIIAggCCAIIAggCCAIIAggCCAIIAggCCAIIAggCCAIIAggCAQIDAo5zcQB+AAAAAAACc3EAfgAE///////////////+/////v////91cQB+AAcAAAAENEm+I3h4d0UCHgACTAICAh8CBAIFAgYCBwIIAgkCTwILAgwCDQIIAggCCAIIAggCCAIIAggCCAIIAggCCAIIAggCCAIIAggCAQIDAo9zcQB+AAAAAAACc3EAfgAE///////////////+/////v////91cQB+AAcAAAAEKOmGtnh4d0UCHgACTAICAnMCBAIFAgYCBwIIAgkCCgILAgwCDQIIAggCCAIIAggCCAIIAggCCAIIAggCCAIIAggCCAIIAggCAQIDApBzcQB+AAAAAAACc3EAfgAE///////////////+/////v////91cQB+AAcAAAAEWi+1rXh4d4oCHgACTAICAjECBAIFAgYCBwIIAgkCOQILAgwCDQIIAggCCAIIAggCCAIIAggCCAIIAggCCAIIAggCCAIIAggCAQIDAk4CHgACTAICAgMCBAIFAgYCBwIIAgkCTwILAgwCDQIIAggCCAIIAggCCAIIAggCCAIIAggCCAIIAggCCAIIAggCAQIDApFzcQB+AAAAAAACc3EAfgAE///////////////+/////v////91cQB+AAcAAAAEGWLnZXh4d0UCHgACTAICAlcCBAIFAgYCBwIIAgkCOQILAgwCDQIIAggCCAIIAggCCAIIAggCCAIIAggCCAIIAggCCAIIAggCAQIDApJzcQB+AAAAAAACc3EAfgAE///////////////+/////v////91cQB+AAcAAAADBtyTeHh3RQIeAAJMAgICXgIEAgUCBgIHAggCCQJPAgsCDAINAggCCAIIAggCCAIIAggCCAIIAggCCAIIAggCCAIIAggCCAIBAgMCk3NxAH4AAAAAAAJzcQB+AAT///////////////7////+/////3VxAH4ABwAAAAQF6I5ueHh3igIeAAJMAgICMwIEAgUCBgIHAggCCQIKAgsCDAINAggCCAIIAggCCAIIAggCCAIIAggCCAIIAggCCAIIAggCCAIBAgMCNAIeAAJMAgICZAIEAgUCBgIHAggCCQJPAgsCDAINAggCCAIIAggCCAIIAggCCAIIAggCCAIIAggCCAIIAggCCAIBAgMClHNxAH4AAAAAAAJzcQB+AAT///////////////7////+/////3VxAH4ABwAAAARMQw4VeHh3RQIeAAJMAgICKwIEAgUCBgIHAggCCQJPAgsCDAINAggCCAIIAggCCAIIAggCCAIIAggCCAIIAggCCAIIAggCCAIBAgMClXNxAH4AAAAAAAJzcQB+AAT///////////////7////+/////3VxAH4ABwAAAAQJ8GpGeHh3RQIeAAJMAgICHQIEAgUCBgIHAggCCQI5AgsCDAINAggCCAIIAggCCAIIAggCCAIIAggCCAIIAggCCAIIAggCCAIBAgMClnNxAH4AAAAAAAJzcQB+AAT///////////////7////+/////3VxAH4ABwAAAAMEVit4eHdQAh4AApcACTM3MTI1MTUwNAICAlcCBAIFAgYCBwIIAgkCCgILAjwCDQIIAggCCAIIAggCCAIIAggCCAIIAggCCAIIAggCCAIIAggCFQIDAphzcQB+AAAAAAACc3EAfgAE///////////////+/////v////91cQB+AAcAAAAEFay1n3h4d00CHgAClwICAlUCBAIFAgYCBwIIAgkCmQAGMTkxMDE1AgsCPAINAggCCAIIAggCCAIIAggCCAIIAggCCAIIAggCCAIIAggCCAIVAgMCmnNxAH4AAAAAAAJzcQB+AAT///////////////7////+/////3VxAH4ABwAAAAMSY394eHdFAh4AApcCAgIbAgQCBQIGAgcCCAIJAk8CCwI8Ag0CCAIIAggCCAIIAggCCAIIAggCCAIIAggCCAIIAggCCAIIAhUCAwKbc3EAfgAAAAAAAnNxAH4ABP///////////////v////4AAAABdXEAfgAHAAAAA/+JXnh4d4oCHgAClwICAiMCBAIFAgYCBwIIAgkCmQILAjwCDQIIAggCCAIIAggCCAIIAggCCAIIAggCCAIIAggCCAIIAggCFQIDAk4CHgAClwICAmQCBAIFAgYCBwIIAgkCmQILAjwCDQIIAggCCAIIAggCCAIIAggCCAIIAggCCAIIAggCCAIIAggCFQIDApxzcQB+AAAAAAACc3EAfgAE///////////////+/////v////91cQB+AAcAAAADEnsVeHh3RQIeAAKXAgICLQIEAgUCBgIHAggCCQJPAgsCPAINAggCCAIIAggCCAIIAggCCAIIAggCCAIIAggCCAIIAggCCAIVAgMCnXNxAH4AAAAAAAJzcQB+AAT///////////////7////+AAAAAXVxAH4ABwAAAAQCWhLSeHh3RQIeAAKXAgICdgIEAgUCBgIHAggCCQJPAgsCPAINAggCCAIIAggCCAIIAggCCAIIAggCCAIIAggCCAIIAggCCAIVAgMCnnNxAH4AAAAAAAJzcQB+AAT///////////////7////+/////3VxAH4ABwAAAAOesqp4eHdFAh4AApcCAgI1AgQCBQIGAgcCCAIJAk8CCwI8Ag0CCAIIAggCCAIIAggCCAIIAggCCAIIAggCCAIIAggCCAIIAhUCAwKfc3EAfgAAAAAAAnNxAH4ABP///////////////v////7/////dXEAfgAHAAAABBCmiyR4eHeKAh4AApcCAgIvAgQCBQIGAgcCCAIJAgoCCwI8Ag0CCAIIAggCCAIIAggCCAIIAggCCAIIAggCCAIIAggCCAIIAhUCAwJGAh4AApcCAgJTAgQCBQIGAgcCCAIJAgoCCwI8Ag0CCAIIAggCCAIIAggCCAIIAggCCAIIAggCCAIIAggCCAIIAhUCAwKgc3EAfgAAAAAAAnNxAH4ABP///////////////v////7/////dXEAfgAHAAAABCsQC1F4eHdFAh4AApcCAgIdAgQCBQIGAgcCCAIJApkCCwI8Ag0CCAIIAggCCAIIAggCCAIIAggCCAIIAggCCAIIAggCCAIIAhUCAwKhc3EAfgAAAAAAAnNxAH4ABP///////////////v////7/////dXEAfgAHAAAAAxKSynh4d0UCHgAClwICAi8CBAIFAgYCBwIIAgkCmQILAjwCDQIIAggCCAIIAggCCAIIAggCCAIIAggCCAIIAggCCAIIAggCFQIDAqJzcQB+AAAAAAACc3EAfgAE///////////////+/////v////91cQB+AAcAAAADEpq3eHh3igIeAAKXAgICIwIEAgUCBgIHAggCCQIKAgsCPAINAggCCAIIAggCCAIIAggCCAIIAggCCAIIAggCCAIIAggCCAIVAgMCSwIeAAKXAgICUwIEAgUCBgIHAggCCQKZAgsCPAINAggCCAIIAggCCAIIAggCCAIIAggCCAIIAggCCAIIAggCCAIVAgMCo3NxAH4AAAAAAAJzcQB+AAT///////////////7////+/////3VxAH4ABwAAAAMSZ2t4eHdFAh4AApcCAgIvAgQCBQIGAgcCCAIJAk8CCwI8Ag0CCAIIAggCCAIIAggCCAIIAggCCAIIAggCCAIIAggCCAIIAhUCAwKkc3EAfgAAAAAAAnNxAH4ABP///////////////v////7/////dXEAfgAHAAAAA064Cnh4d4oCHgAClwICAjMCBAIFAgYCBwIIAgkCCgILAjwCDQIIAggCCAIIAggCCAIIAggCCAIIAggCCAIIAggCCAIIAggCFQIDAkACHgAClwICAlUCBAIFAgYCBwIIAgkCCgILAjwCDQIIAggCCAIIAggCCAIIAggCCAIIAggCCAIIAggCCAIIAggCFQIDAqVzcQB+AAAAAAACc3EAfgAE///////////////+/////v////91cQB+AAcAAAAEJi8ywnh4d0UCHgAClwICAnMCBAIFAgYCBwIIAgkCTwILAjwCDQIIAggCCAIIAggCCAIIAggCCAIIAggCCAIIAggCCAIIAggCFQIDAqZzcQB+AAAAAAACc3EAfgAE///////////////+/////v////91cQB+AAcAAAAEAQaUYHh4d0UCHgAClwICAlcCBAIFAgYCBwIIAgkCmQILAjwCDQIIAggCCAIIAggCCAIIAggCCAIIAggCCAIIAggCCAIIAggCFQIDAqdzcQB+AAAAAAACc3EAfgAE///////////////+/////v////91cQB+AAcAAAADEn8GeHh3RQIeAAKXAgICMwIEAgUCBgIHAggCCQKZAgsCPAINAggCCAIIAggCCAIIAggCCAIIAggCCAIIAggCCAIIAggCCAIVAgMCqHNxAH4AAAAAAAJzcQB+AAT///////////////7////+/////3VxAH4ABwAAAAMSlsB4eHdFAh4AApcCAgJZAgQCBQIGAgcCCAIJAgoCCwI8Ag0CCAIIAggCCAIIAggCCAIIAggCCAIIAggCCAIIAggCCAIIAhUCAwKpc3EAfgAAAAAAAnNxAH4ABP///////////////v////7/////dXEAfgAHAAAABDSYRyN4eHeKAh4AApcCAgI1AgQCBQIGAgcCCAIJAgoCCwI8Ag0CCAIIAggCCAIIAggCCAIIAggCCAIIAggCCAIIAggCCAIIAhUCAwI/Ah4AApcCAgIzAgQCBQIGAgcCCAIJAk8CCwI8Ag0CCAIIAggCCAIIAggCCAIIAggCCAIIAggCCAIIAggCCAIIAhUCAwKqc3EAfgAAAAAAAnNxAH4ABP///////////////v////7/////dXEAfgAHAAAABAFtStJ4eHdFAh4AApcCAgIfAgQCBQIGAgcCCAIJAk8CCwI8Ag0CCAIIAggCCAIIAggCCAIIAggCCAIIAggCCAIIAggCCAIIAhUCAwKrc3EAfgAAAAAAAnNxAH4ABP///////////////v////7/////dXEAfgAHAAAABBQ694N4eHeKAh4AApcCAgIdAgQCBQIGAgcCCAIJAgoCCwI8Ag0CCAIIAggCCAIIAggCCAIIAggCCAIIAggCCAIIAggCCAIIAhUCAwJIAh4AApcCAgJiAgQCBQIGAgcCCAIJAgoCCwI8Ag0CCAIIAggCCAIIAggCCAIIAggCCAIIAggCCAIIAggCCAIIAhUCAwKsc3EAfgAAAAAAAnNxAH4ABP///////////////v////7/////dXEAfgAHAAAABCPGeP14eHdFAh4AApcCAgJkAgQCBQIGAgcCCAIJAk8CCwI8Ag0CCAIIAggCCAIIAggCCAIIAggCCAIIAggCCAIIAggCCAIIAhUCAwKtc3EAfgAAAAAAAnNxAH4ABP///////////////v////7/////dXEAfgAHAAAABCWQ0ft4eHdFAh4AApcCAgIjAgQCBQIGAgcCCAIJAk8CCwI8Ag0CCAIIAggCCAIIAggCCAIIAggCCAIIAggCCAIIAggCCAIIAhUCAwKuc3EAfgAAAAAAAnNxAH4ABP///////////////v////7/////dXEAfgAHAAAABBa3qKJ4eHdFAh4AApcCAgJRAgQCBQIGAgcCCAIJApkCCwI8Ag0CCAIIAggCCAIIAggCCAIIAggCCAIIAggCCAIIAggCCAIIAhUCAwKvc3EAfgAAAAAAAnNxAH4ABP///////////////v////7/////dXEAfgAHAAAAAxJXv3h4d0UCHgAClwICAiECBAIFAgYCBwIIAgkCmQILAjwCDQIIAggCCAIIAggCCAIIAggCCAIIAggCCAIIAggCCAIIAggCFQIDArBzcQB+AAAAAAACc3EAfgAE///////////////+/////v////91cQB+AAcAAAADEorfeHh3RQIeAAKXAgICYgIEAgUCBgIHAggCCQKZAgsCPAINAggCCAIIAggCCAIIAggCCAIIAggCCAIIAggCCAIIAggCCAIVAgMCsXNxAH4AAAAAAAJzcQB+AAT///////////////7////+/////3VxAH4ABwAAAAMSX5R4eHeKAh4AApcCAgI1AgQCBQIGAgcCCAIJApkCCwI8Ag0CCAIIAggCCAIIAggCCAIIAggCCAIIAggCCAIIAggCCAIIAhUCAwJOAh4AApcCAgIDAgQCBQIGAgcCCAIJAk8CCwI8Ag0CCAIIAggCCAIIAggCCAIIAggCCAIIAggCCAIIAggCCAIIAhUCAwKyc3EAfgAAAAAAAnNxAH4ABP///////////////v////7/////dXEAfgAHAAAABAor0+d4eHdFAh4AApcCAgJZAgQCBQIGAgcCCAIJApkCCwI8Ag0CCAIIAggCCAIIAggCCAIIAggCCAIIAggCCAIIAggCCAIIAhUCAwKzc3EAfgAAAAAAAnNxAH4ABP///////////////v////7/////dXEAfgAHAAAAAxJ3JXh4d0UCHgAClwICAnMCBAIFAgYCBwIIAgkCmQILAjwCDQIIAggCCAIIAggCCAIIAggCCAIIAggCCAIIAggCCAIIAggCFQIDArRzcQB+AAAAAAACc3EAfgAE///////////////+/////v////91cQB+AAcAAAADEmtYeHh3RQIeAAKXAgICcwIEAgUCBgIHAggCCQIKAgsCPAINAggCCAIIAggCCAIIAggCCAIIAggCCAIIAggCCAIIAggCCAIVAgMCtXNxAH4AAAAAAAJzcQB+AAT///////////////7////+/////3VxAH4ABwAAAAQu/eCSeHh3igIeAAKXAgICGwIEAgUCBgIHAggCCQIKAgsCPAINAggCCAIIAggCCAIIAggCCAIIAggCCAIIAggCCAIIAggCCAIVAgMCQgIeAAKXAgICVQIEAgUCBgIHAggCCQJPAgsCPAINAggCCAIIAggCCAIIAggCCAIIAggCCAIIAggCCAIIAggCCAIVAgMCtnNxAH4AAAAAAAJzcQB+AAT///////////////7////+/////3VxAH4ABwAAAAQBzUp3eHh3zwIeAAKXAgICMQIEAgUCBgIHAggCCQIKAgsCPAINAggCCAIIAggCCAIIAggCCAIIAggCCAIIAggCCAIIAggCCAIVAgMCQQIeAAKXAgICMQIEAgUCBgIHAggCCQKZAgsCPAINAggCCAIIAggCCAIIAggCCAIIAggCCAIIAggCCAIIAggCCAIVAgMCTgIeAAKXAgICGwIEAgUCBgIHAggCCQKZAgsCPAINAggCCAIIAggCCAIIAggCCAIIAggCCAIIAggCCAIIAggCCAIVAgMCt3NxAH4AAAAAAAJzcQB+AAT///////////////7////+/////3VxAH4ABwAAAAMSnq94eHeKAh4AApcCAgInAgQCBQIGAgcCCAIJAgoCCwI8Ag0CCAIIAggCCAIIAggCCAIIAggCCAIIAggCCAIIAggCCAIIAhUCAwI9Ah4AApcCAgJeAgQCBQIGAgcCCAIJAk8CCwI8Ag0CCAIIAggCCAIIAggCCAIIAggCCAIIAggCCAIIAggCCAIIAhUCAwK4c3EAfgAAAAAAAnNxAH4ABP///////////////v////7/////dXEAfgAHAAAABAL7S4t4eHdFAh4AApcCAgIlAgQCBQIGAgcCCAIJAk8CCwI8Ag0CCAIIAggCCAIIAggCCAIIAggCCAIIAggCCAIIAggCCAIIAhUCAwK5c3EAfgAAAAAAAnNxAH4ABP///////////////v////4AAAABdXEAfgAHAAAABAYbWmp4eHdFAh4AApcCAgIrAgQCBQIGAgcCCAIJAk8CCwI8Ag0CCAIIAggCCAIIAggCCAIIAggCCAIIAggCCAIIAggCCAIIAhUCAwK6c3EAfgAAAAAAAnNxAH4ABP///////////////v////7/////dXEAfgAHAAAABAUEo0F4eHeKAh4AApcCAgIDAgQCBQIGAgcCCAIJApkCCwI8Ag0CCAIIAggCCAIIAggCCAIIAggCCAIIAggCCAIIAggCCAIIAhUCAwJOAh4AApcCAgJRAgQCBQIGAgcCCAIJAk8CCwI8Ag0CCAIIAggCCAIIAggCCAIIAggCCAIIAggCCAIIAggCCAIIAhUCAwK7c3EAfgAAAAAAAnNxAH4ABP///////////////v////7/////dXEAfgAHAAAABARbkhB4eHeKAh4AApcCAgIhAgQCBQIGAgcCCAIJAgoCCwI8Ag0CCAIIAggCCAIIAggCCAIIAggCCAIIAggCCAIIAggCCAIIAhUCAwJEAh4AApcCAgJRAgQCBQIGAgcCCAIJAgoCCwI8Ag0CCAIIAggCCAIIAggCCAIIAggCCAIIAggCCAIIAggCCAIIAhUCAwK8c3EAfgAAAAAAAnNxAH4ABP///////////////v////7/////dXEAfgAHAAAABBuzHlx4eHdFAh4AApcCAgIfAgQCBQIGAgcCCAIJApkCCwI8Ag0CCAIIAggCCAIIAggCCAIIAggCCAIIAggCCAIIAggCCAIIAhUCAwK9c3EAfgAAAAAAAnNxAH4ABP///////////////v////7/////dXEAfgAHAAAAAxKC+Hh4d88CHgAClwICAgMCBAIFAgYCBwIIAgkCCgILAjwCDQIIAggCCAIIAggCCAIIAggCCAIIAggCCAIIAggCCAIIAggCFQIDAkUCHgAClwICAh8CBAIFAgYCBwIIAgkCCgILAjwCDQIIAggCCAIIAggCCAIIAggCCAIIAggCCAIIAggCCAIIAggCFQIDAkkCHgAClwICAm0CBAIFAgYCBwIIAgkCCgILAjwCDQIIAggCCAIIAggCCAIIAggCCAIIAggCCAIIAggCCAIIAggCFQIDAr5zcQB+AAAAAAACc3EAfgAE///////////////+/////v////91cQB+AAcAAAAEM7yWknh4d0UCHgAClwICAiECBAIFAgYCBwIIAgkCTwILAjwCDQIIAggCCAIIAggCCAIIAggCCAIIAggCCAIIAggCCAIIAggCFQIDAr9zcQB+AAAAAAACc3EAfgAE///////////////+/////v////91cQB+AAcAAAAECL1IIXh4d0UCHgAClwICAlkCBAIFAgYCBwIIAgkCTwILAjwCDQIIAggCCAIIAggCCAIIAggCCAIIAggCCAIIAggCCAIIAggCFQIDAsBzcQB+AAAAAAACc3EAfgAE///////////////+/////gAAAAF1cQB+AAcAAAADuXJ8eHh3RQIeAAKXAgICMQIEAgUCBgIHAggCCQJPAgsCPAINAggCCAIIAggCCAIIAggCCAIIAggCCAIIAggCCAIIAggCCAIVAgMCwXNxAH4AAAAAAAJzcQB+AAT///////////////7////+/////3VxAH4ABwAAAAQewHRseHh3RQIeAAKXAgICbQIEAgUCBgIHAggCCQKZAgsCPAINAggCCAIIAggCCAIIAggCCAIIAggCCAIIAggCCAIIAggCCAIVAgMCwnNxAH4AAAAAAAJzcQB+AAT///////////////7////+/////3VxAH4ABwAAAAMSczV4eHdFAh4AApcCAgInAgQCBQIGAgcCCAIJApkCCwI8Ag0CCAIIAggCCAIIAggCCAIIAggCCAIIAggCCAIIAggCCAIIAhUCAwLDc3EAfgAAAAAAAnNxAH4ABP///////////////v////7/////dXEAfgAHAAAAAxKG63h4d4oCHgAClwICAi0CBAIFAgYCBwIIAgkCCgILAjwCDQIIAggCCAIIAggCCAIIAggCCAIIAggCCAIIAggCCAIIAggCFQIDAkcCHgAClwICAnYCBAIFAgYCBwIIAgkCCgILAjwCDQIIAggCCAIIAggCCAIIAggCCAIIAggCCAIIAggCCAIIAggCFQIDAsRzcQB+AAAAAAACc3EAfgAE///////////////+/////v////91cQB+AAcAAAAEMe+1GXh4d0UCHgAClwICAl4CBAIFAgYCBwIIAgkCmQILAjwCDQIIAggCCAIIAggCCAIIAggCCAIIAggCCAIIAggCCAIIAggCFQIDAsVzcQB+AAAAAAACc3EAfgAE///////////////+/////v////91cQB+AAcAAAADElupeHh3RQIeAAKXAgICJwIEAgUCBgIHAggCCQJPAgsCPAINAggCCAIIAggCCAIIAggCCAIIAggCCAIIAggCCAIIAggCCAIVAgMCxnNxAH4AAAAAAAJzcQB+AAT///////////////7////+/////3VxAH4ABwAAAAQOCxxKeHh3RQIeAAKXAgICdgIEAgUCBgIHAggCCQKZAgsCPAINAggCCAIIAggCCAIIAggCCAIIAggCCAIIAggCCAIIAggCCAIVAgMCx3NxAH4AAAAAAAJzcQB+AAT///////////////7////+/////3VxAH4ABwAAAAMSb0Z4eHeKAh4AApcCAgIlAgQCBQIGAgcCCAIJAgoCCwI8Ag0CCAIIAggCCAIIAggCCAIIAggCCAIIAggCCAIIAggCCAIIAhUCAwJKAh4AApcCAgJTAgQCBQIGAgcCCAIJAk8CCwI8Ag0CCAIIAggCCAIIAggCCAIIAggCCAIIAggCCAIIAggCCAIIAhUCAwLIc3EAfgAAAAAAAnNxAH4ABP///////////////v////7/////dXEAfgAHAAAABAFkyvJ4eHdFAh4AApcCAgIlAgQCBQIGAgcCCAIJApkCCwI8Ag0CCAIIAggCCAIIAggCCAIIAggCCAIIAggCCAIIAggCCAIIAhUCAwLJc3EAfgAAAAAAAnNxAH4ABP///////////////v////7/////dXEAfgAHAAAAAxKmonh4d0UCHgAClwICAi0CBAIFAgYCBwIIAgkCmQILAjwCDQIIAggCCAIIAggCCAIIAggCCAIIAggCCAIIAggCCAIIAggCFQIDAspzcQB+AAAAAAACc3EAfgAE///////////////+/////v////91cQB+AAcAAAADEqKoeHh3RQIeAAKXAgICZAIEAgUCBgIHAggCCQIKAgsCPAINAggCCAIIAggCCAIIAggCCAIIAggCCAIIAggCCAIIAggCCAIVAgMCy3NxAH4AAAAAAAJzcQB+AAT///////////////7////+/////3VxAH4ABwAAAAQL0RJ0eHh3RQIeAAKXAgICHQIEAgUCBgIHAggCCQJPAgsCPAINAggCCAIIAggCCAIIAggCCAIIAggCCAIIAggCCAIIAggCCAIVAgMCzHNxAH4AAAAAAAJzcQB+AAT///////////////7////+/////3VxAH4ABwAAAAQC12dUeHh3RQIeAAKXAgICYgIEAgUCBgIHAggCCQJPAgsCPAINAggCCAIIAggCCAIIAggCCAIIAggCCAIIAggCCAIIAggCCAIVAgMCzXNxAH4AAAAAAAJzcQB+AAT///////////////7////+/////3VxAH4ABwAAAAQCUB7peHh3RQIeAAKXAgICXgIEAgUCBgIHAggCCQIKAgsCPAINAggCCAIIAggCCAIIAggCCAIIAggCCAIIAggCCAIIAggCCAIVAgMCznNxAH4AAAAAAAJzcQB+AAT///////////////7////+/////3VxAH4ABwAAAAQerglPeHh3RQIeAAKXAgICVwIEAgUCBgIHAggCCQJPAgsCPAINAggCCAIIAggCCAIIAggCCAIIAggCCAIIAggCCAIIAggCCAIVAgMCz3NxAH4AAAAAAAJzcQB+AAT///////////////7////+/////3VxAH4ABwAAAAQdEKl0eHh3igIeAAKXAgICKwIEAgUCBgIHAggCCQIKAgsCPAINAggCCAIIAggCCAIIAggCCAIIAggCCAIIAggCCAIIAggCCAIVAgMCQwIeAAKXAgICbQIEAgUCBgIHAggCCQJPAgsCPAINAggCCAIIAggCCAIIAggCCAIIAggCCAIIAggCCAIIAggCCAIVAgMC0HNxAH4AAAAAAAJzcQB+AAT///////////////7////+/////3VxAH4ABwAAAAMy9xF4eHdFAh4AApcCAgIrAgQCBQIGAgcCCAIJApkCCwI8Ag0CCAIIAggCCAIIAggCCAIIAggCCAIIAggCCAIIAggCCAIIAhUCAwLRc3EAfgAAAAAAAnNxAH4ABP///////////////v////7/////dXEAfgAHAAAAAxKO1Hh4egAABAACHgAC0gAJMzc3MDgwNDAwAgICKwIEAgUCBgIHAggCCQJPAgsCDAINAggCCAIIAggCCAIIAggCCAIIAggCCAIIAggCCAIIAggCCAIgAgMClQIeAALSAgICMwIEAgUCBgIHAggCCQJPAgsCDAINAggCCAIIAggCCAIIAggCCAIIAggCCAIIAggCCAIIAggCCAIgAgMCYQIeAALSAgICJwIEAgUCBgIHAggCCQJPAgsCDAINAggCCAIIAggCCAIIAggCCAIIAggCCAIIAggCCAIIAggCCAIgAgMCggIeAALSAgICKQIEAgUCBgIHAggCCQJPAgsCDAINAggCCAIIAggCCAIIAggCCAIIAggCCAIIAggCCAIIAggCCAIgAgMChgIeAALSAgICMQIEAgUCBgIHAggCCQJPAgsCDAINAggCCAIIAggCCAIIAggCCAIIAggCCAIIAggCCAIIAggCCAIgAgMCagIeAALSAgICAwIEAgUCBgIHAggCCQJPAgsCDAINAggCCAIIAggCCAIIAggCCAIIAggCCAIIAggCCAIIAggCCAIgAgMCkQIeAALSAgICGwIEAgUCBgIHAggCCQJPAgsCDAINAggCCAIIAggCCAIIAggCCAIIAggCCAIIAggCCAIIAggCCAIgAgMCcgIeAALSAgICHQIEAgUCBgIHAggCCQJPAgsCDAINAggCCAIIAggCCAIIAggCCAIIAggCCAIIAggCCAIIAggCCAIgAgMCaAIeAALSAgICLwIEAgUCBgIHAggCCQJPAgsCDAINAggCCAIIAggCCAIIAggCCAIIAggCCAIIAggCCAIIAggCCAIgAgMCUAIeAALSAgICIQIEAgUCBgIHAggCCQJPAgsCDAINAggCCAIIAggCCAIIAggCCAIIAggCCAIIAggCCAIIAggCCAIgAgMCfgIeAALSAgICNQIEAgUCBgIHAggCCQJPAgsCDAINAggCCAIIAggCCAIIAggCCAIIAggCCAIIAggCCAIIAggCCAIgAgMCeAIeAALSAgICLQIEAgUCBgIHAggCCQJPAgsCDAINAggCCAIIAggCCAIIAggCCAIIAggCCAIIAggCCAIIAggCCAIgAgMCjQIeAALSAgICHwIEAgUCBgIHAggCCQJPAgsCDAINAggCCAIIAggCCAIIAggCCAIIAggCCAIIAggCCAIIAggCCAIgAgMCjwIeAALSAgICJQIEAgUCBgIHAggCCQJPAgsCDAINAggCCAIIAggCCAIIAggCCAIIAggCCAIIAggCCAIIAggCCAIgAgMCgQIeAALSAgICIwIEAgUCBgIHAggCCQJPAgsCDAINAggCCAIIAggCCAIIAggCCAIIegAAA5UCCAIIAggCCAIIAggCCAIIAiACAwKOAh4AAtMACTM3MTI0Njg2NAICAhsCBAIFAgYCBwIIAgkCCgILAjwCDQIIAggCCAIIAggCCAIIAggCCAIIAggCCAIIAggCCAIIAggAAgMCQgIeAALTAgICbQIEAgUCBgIHAggCCQJPAgsCPAINAggCCAIIAggCCAIIAggCCAIIAggCCAIIAggCCAIIAggCCAACAwLQAh4AAtMCAgIDAgQCBQIGAgcCCAIJAk8CCwI8Ag0CCAIIAggCCAIIAggCCAIIAggCCAIIAggCCAIIAggCCAIIAAIDArICHgAC0wICAlMCBAIFAgYCBwIIAgkCmQILAjwCDQIIAggCCAIIAggCCAIIAggCCAIIAggCCAIIAggCCAIIAggAAgMCowIeAALTAgICcwIEAgUCBgIHAggCCQIKAgsCPAINAggCCAIIAggCCAIIAggCCAIIAggCCAIIAggCCAIIAggCCAACAwK1Ah4AAtMCAgJzAgQCBQIGAgcCCAIJApkCCwI8Ag0CCAIIAggCCAIIAggCCAIIAggCCAIIAggCCAIIAggCCAIIAAIDArQCHgAC0wICAi8CBAIFAgYCBwIIAgkCmQILAjwCDQIIAggCCAIIAggCCAIIAggCCAIIAggCCAIIAggCCAIIAggAAgMCogIeAALTAgICdgIEAgUCBgIHAggCCQJPAgsCPAINAggCCAIIAggCCAIIAggCCAIIAggCCAIIAggCCAIIAggCCAACAwKeAh4AAtMCAgItAgQCBQIGAgcCCAIJAk8CCwI8Ag0CCAIIAggCCAIIAggCCAIIAggCCAIIAggCCAIIAggCCAIIAAIDAp0CHgAC0wICAh8CBAIFAgYCBwIIAgkCTwILAjwCDQIIAggCCAIIAggCCAIIAggCCAIIAggCCAIIAggCCAIIAggAAgMCqwIeAALTAgICNQIEAgUCBgIHAggCCQIKAgsCPAINAggCCAIIAggCCAIIAggCCAIIAggCCAIIAggCCAIIAggCCAACAwI/Ah4AAtMCAgItAgQCBQIGAgcCCAIJAgoCCwI8Ag0CCAIIAggCCAIIAggCCAIIAggCCAIIAggCCAIIAggCCAIIAAIDAkcCHgAC0wICAikCBAIFAgYCBwIIAgkCTwILAjwCDQIIAggCCAIIAggCCAIIAggCCAIIAggCCAIIAggCCAIIAggAAgMC1HNxAH4AAAAAAAJzcQB+AAT///////////////7////+/////3VxAH4ABwAAAAQE4d6ZeHh6AAAB3AIeAALTAgICdgIEAgUCBgIHAggCCQKZAgsCPAINAggCCAIIAggCCAIIAggCCAIIAggCCAIIAggCCAIIAggCCAACAwLHAh4AAtMCAgJ2AgQCBQIGAgcCCAIJAgoCCwI8Ag0CCAIIAggCCAIIAggCCAIIAggCCAIIAggCCAIIAggCCAIIAAIDAsQCHgAC0wICAhsCBAIFAgYCBwIIAgkCmQILAjwCDQIIAggCCAIIAggCCAIIAggCCAIIAggCCAIIAggCCAIIAggAAgMCtwIeAALTAgICNQIEAgUCBgIHAggCCQKZAgsCPAINAggCCAIIAggCCAIIAggCCAIIAggCCAIIAggCCAIIAggCCAACAwJOAh4AAtMCAgInAgQCBQIGAgcCCAIJAk8CCwI8Ag0CCAIIAggCCAIIAggCCAIIAggCCAIIAggCCAIIAggCCAIIAAIDAsYCHgAC0wICAlECBAIFAgYCBwIIAgkCTwILAjwCDQIIAggCCAIIAggCCAIIAggCCAIIAggCCAIIAggCCAIIAggAAgMCuwIeAALTAgICTQIEAgUCBgIHAggCCQJPAgsCPAINAggCCAIIAggCCAIIAggCCAIIAggCCAIIAggCCAIIAggCCAACAwLVc3EAfgAAAAAAAnNxAH4ABP///////////////v////7/////dXEAfgAHAAAABAEya894eHoAAAQAAh4AAtMCAgIhAgQCBQIGAgcCCAIJAk8CCwI8Ag0CCAIIAggCCAIIAggCCAIIAggCCAIIAggCCAIIAggCCAIIAAIDAr8CHgAC0wICAh0CBAIFAgYCBwIIAgkCmQILAjwCDQIIAggCCAIIAggCCAIIAggCCAIIAggCCAIIAggCCAIIAggAAgMCoQIeAALTAgICbQIEAgUCBgIHAggCCQKZAgsCPAINAggCCAIIAggCCAIIAggCCAIIAggCCAIIAggCCAIIAggCCAACAwLCAh4AAtMCAgJiAgQCBQIGAgcCCAIJApkCCwI8Ag0CCAIIAggCCAIIAggCCAIIAggCCAIIAggCCAIIAggCCAIIAAIDArECHgAC0wICAm0CBAIFAgYCBwIIAgkCCgILAjwCDQIIAggCCAIIAggCCAIIAggCCAIIAggCCAIIAggCCAIIAggAAgMCvgIeAALTAgICHQIEAgUCBgIHAggCCQIKAgsCPAINAggCCAIIAggCCAIIAggCCAIIAggCCAIIAggCCAIIAggCCAACAwJIAh4AAtMCAgIvAgQCBQIGAgcCCAIJAgoCCwI8Ag0CCAIIAggCCAIIAggCCAIIAggCCAIIAggCCAIIAggCCAIIAAIDAkYCHgAC0wICAicCBAIFAgYCBwIIAgkCmQILAjwCDQIIAggCCAIIAggCCAIIAggCCAIIAggCCAIIAggCCAIIAggAAgMCwwIeAALTAgICVwIEAgUCBgIHAggCCQKZAgsCPAINAggCCAIIAggCCAIIAggCCAIIAggCCAIIAggCCAIIAggCCAACAwKnAh4AAtMCAgJTAgQCBQIGAgcCCAIJAgoCCwI8Ag0CCAIIAggCCAIIAggCCAIIAggCCAIIAggCCAIIAggCCAIIAAIDAqACHgAC0wICAlcCBAIFAgYCBwIIAgkCCgILAjwCDQIIAggCCAIIAggCCAIIAggCCAIIAggCCAIIAggCCAIIAggAAgMCmAIeAALTAgICNQIEAgUCBgIHAggCCQJPAgsCPAINAggCCAIIAggCCAIIAggCCAIIAggCCAIIAggCCAIIAggCCAACAwKfAh4AAtMCAgJzAgQCBQIGAgcCCAIJAk8CCwI8Ag0CCAIIAggCCAIIAggCCAIIAggCCAIIAggCCAIIAggCCAIIAAIDAqYCHgAC0wICAlkCBAIFAgYCBwIIAgkCTwILAjwCDQIIAggCCAIIAggCCAIIAggCCAIIAggCCAIIAggCCAIIAggAAgMCwAIeAALTAgICKQIEAgUCBgIHAggCCQIKAgsCPAINAggCCAIIAggCCAIIAggCCAIIAggCCAIIAggCCAIIAggCCAACAwI+Ah4AAnoAAAQA0wICAicCBAIFAgYCBwIIAgkCCgILAjwCDQIIAggCCAIIAggCCAIIAggCCAIIAggCCAIIAggCCAIIAggAAgMCPQIeAALTAgICKQIEAgUCBgIHAggCCQKZAgsCPAINAggCCAIIAggCCAIIAggCCAIIAggCCAIIAggCCAIIAggCCAACAwJOAh4AAtMCAgIbAgQCBQIGAgcCCAIJAk8CCwI8Ag0CCAIIAggCCAIIAggCCAIIAggCCAIIAggCCAIIAggCCAIIAAIDApsCHgAC0wICAjECBAIFAgYCBwIIAgkCTwILAjwCDQIIAggCCAIIAggCCAIIAggCCAIIAggCCAIIAggCCAIIAggAAgMCwQIeAALTAgICIQIEAgUCBgIHAggCCQKZAgsCPAINAggCCAIIAggCCAIIAggCCAIIAggCCAIIAggCCAIIAggCCAACAwKwAh4AAtMCAgIlAgQCBQIGAgcCCAIJAgoCCwI8Ag0CCAIIAggCCAIIAggCCAIIAggCCAIIAggCCAIIAggCCAIIAAIDAkoCHgAC0wICAmQCBAIFAgYCBwIIAgkCTwILAjwCDQIIAggCCAIIAggCCAIIAggCCAIIAggCCAIIAggCCAIIAggAAgMCrQIeAALTAgICUQIEAgUCBgIHAggCCQKZAgsCPAINAggCCAIIAggCCAIIAggCCAIIAggCCAIIAggCCAIIAggCCAACAwKvAh4AAtMCAgJeAgQCBQIGAgcCCAIJAgoCCwI8Ag0CCAIIAggCCAIIAggCCAIIAggCCAIIAggCCAIIAggCCAIIAAIDAs4CHgAC0wICAlECBAIFAgYCBwIIAgkCCgILAjwCDQIIAggCCAIIAggCCAIIAggCCAIIAggCCAIIAggCCAIIAggAAgMCvAIeAALTAgICJQIEAgUCBgIHAggCCQKZAgsCPAINAggCCAIIAggCCAIIAggCCAIIAggCCAIIAggCCAIIAggCCAACAwLJAh4AAtMCAgIhAgQCBQIGAgcCCAIJAgoCCwI8Ag0CCAIIAggCCAIIAggCCAIIAggCCAIIAggCCAIIAggCCAIIAAIDAkQCHgAC0wICAmICBAIFAgYCBwIIAgkCTwILAjwCDQIIAggCCAIIAggCCAIIAggCCAIIAggCCAIIAggCCAIIAggAAgMCzQIeAALTAgICHQIEAgUCBgIHAggCCQJPAgsCPAINAggCCAIIAggCCAIIAggCCAIIAggCCAIIAggCCAIIAggCCAACAwLMAh4AAtMCAgIjAgQCBQIGAgcCCAIJAk8CCwI8Ag0CCAIIAggCCAIIAggCCAIIAggCCAIIAggCCAIIAggCCAIIAAIDAq4CHgAC0wICAnc8TQIEAgUCBgIHAggCCQIKAgsCPAINAggCCAIIAggCCAIIAggCCAIIAggCCAIIAggCCAIIAggCCAACAwLWc3EAfgAAAAAAAnNxAH4ABP///////////////v////7/////dXEAfgAHAAAABC70FP94eHoAAAQAAh4AAtMCAgJNAgQCBQIGAgcCCAIJApkCCwI8Ag0CCAIIAggCCAIIAggCCAIIAggCCAIIAggCCAIIAggCCAIIAAIDAk4CHgAC0wICAl4CBAIFAgYCBwIIAgkCmQILAjwCDQIIAggCCAIIAggCCAIIAggCCAIIAggCCAIIAggCCAIIAggAAgMCxQIeAALTAgICKwIEAgUCBgIHAggCCQKZAgsCPAINAggCCAIIAggCCAIIAggCCAIIAggCCAIIAggCCAIIAggCCAACAwLRAh4AAtMCAgIxAgQCBQIGAgcCCAIJAgoCCwI8Ag0CCAIIAggCCAIIAggCCAIIAggCCAIIAggCCAIIAggCCAIIAAIDAkECHgAC0wICAlcCBAIFAgYCBwIIAgkCTwILAjwCDQIIAggCCAIIAggCCAIIAggCCAIIAggCCAIIAggCCAIIAggAAgMCzwIeAALTAgICWQIEAgUCBgIHAggCCQIKAgsCPAINAggCCAIIAggCCAIIAggCCAIIAggCCAIIAggCCAIIAggCCAACAwKpAh4AAtMCAgJiAgQCBQIGAgcCCAIJAgoCCwI8Ag0CCAIIAggCCAIIAggCCAIIAggCCAIIAggCCAIIAggCCAIIAAIDAqwCHgAC0wICAisCBAIFAgYCBwIIAgkCCgILAjwCDQIIAggCCAIIAggCCAIIAggCCAIIAggCCAIIAggCCAIIAggAAgMCQwIeAALTAgICMQIEAgUCBgIHAggCCQKZAgsCPAINAggCCAIIAggCCAIIAggCCAIIAggCCAIIAggCCAIIAggCCAACAwJOAh4AAtMCAgJVAgQCBQIGAgcCCAIJAk8CCwI8Ag0CCAIIAggCCAIIAggCCAIIAggCCAIIAggCCAIIAggCCAIIAAIDArYCHgAC0wICAjMCBAIFAgYCBwIIAgkCTwILAjwCDQIIAggCCAIIAggCCAIIAggCCAIIAggCCAIIAggCCAIIAggAAgMCqgIeAALTAgICHwIEAgUCBgIHAggCCQIKAgsCPAINAggCCAIIAggCCAIIAggCCAIIAggCCAIIAggCCAIIAggCCAACAwJJAh4AAtMCAgIjAgQCBQIGAgcCCAIJAgoCCwI8Ag0CCAIIAggCCAIIAggCCAIIAggCCAIIAggCCAIIAggCCAIIAAIDAksCHgAC0wICAiMCBAIFAgYCBwIIAgkCmQILAjwCDQIIAggCCAIIAggCCAIIAggCCAIIAggCCAIIAggCCAIIAggAAgMCTgIeAALTAgICZAIEAgUCBgIHAggCCQKZAgsCPAINAggCCAIIAggCCAIIAggCCAIIAggCCAIIAggCCAIIAggCCAACAwKcAh4AAnoAAAQA0wICAmQCBAIFAgYCBwIIAgkCCgILAjwCDQIIAggCCAIIAggCCAIIAggCCAIIAggCCAIIAggCCAIIAggAAgMCywIeAALTAgICVQIEAgUCBgIHAggCCQIKAgsCPAINAggCCAIIAggCCAIIAggCCAIIAggCCAIIAggCCAIIAggCCAACAwKlAh4AAtMCAgIlAgQCBQIGAgcCCAIJAk8CCwI8Ag0CCAIIAggCCAIIAggCCAIIAggCCAIIAggCCAIIAggCCAIIAAIDArkCHgAC0wICAlMCBAIFAgYCBwIIAgkCTwILAjwCDQIIAggCCAIIAggCCAIIAggCCAIIAggCCAIIAggCCAIIAggAAgMCyAIeAALTAgICLwIEAgUCBgIHAggCCQJPAgsCPAINAggCCAIIAggCCAIIAggCCAIIAggCCAIIAggCCAIIAggCCAACAwKkAh4AAtMCAgJZAgQCBQIGAgcCCAIJApkCCwI8Ag0CCAIIAggCCAIIAggCCAIIAggCCAIIAggCCAIIAggCCAIIAAIDArMCHgAC0wICAi0CBAIFAgYCBwIIAgkCmQILAjwCDQIIAggCCAIIAggCCAIIAggCCAIIAggCCAIIAggCCAIIAggAAgMCygIeAALTAgICHwIEAgUCBgIHAggCCQKZAgsCPAINAggCCAIIAggCCAIIAggCCAIIAggCCAIIAggCCAIIAggCCAACAwK9Ah4AAtMCAgIDAgQCBQIGAgcCCAIJApkCCwI8Ag0CCAIIAggCCAIIAggCCAIIAggCCAIIAggCCAIIAggCCAIIAAIDAk4CHgAC0wICAgMCBAIFAgYCBwIIAgkCCgILAjwCDQIIAggCCAIIAggCCAIIAggCCAIIAggCCAIIAggCCAIIAggAAgMCRQIeAALTAgICXgIEAgUCBgIHAggCCQJPAgsCPAINAggCCAIIAggCCAIIAggCCAIIAggCCAIIAggCCAIIAggCCAACAwK4Ah4AAtMCAgIzAgQCBQIGAgcCCAIJApkCCwI8Ag0CCAIIAggCCAIIAggCCAIIAggCCAIIAggCCAIIAggCCAIIAAIDAqgCHgAC0wICAlUCBAIFAgYCBwIIAgkCmQILAjwCDQIIAggCCAIIAggCCAIIAggCCAIIAggCCAIIAggCCAIIAggAAgMCmgIeAALTAgICMwIEAgUCBgIHAggCCQIKAgsCPAINAggCCAIIAggCCAIIAggCCAIIAggCCAIIAggCCAIIAggCCAACAwJAAh4AAtMCAgIrAgQCBQIGAgcCCAIJAk8CCwI8Ag0CCAIIAggCCAIIAggCCAIIAggCCAIIAggCCAIIAggCCAIIAAIDAroCHgAC1wAJM3oAAAQANzEyNDgwMjQCAgIxAgQCBQIGAgcCCAIJAjkCCwIMAg0CCAIIAggCCAIIAggCCAIIAggCCAIIAggCCAIIAggCCAIIAhICAwJOAh4AAtcCAgJZAgQCBQIGAgcCCAIJAjkCCwIMAg0CCAIIAggCCAIIAggCCAIIAggCCAIIAggCCAIIAggCCAIIAhICAwKMAh4AAtcCAgJTAgQCBQIGAgcCCAIJAgoCCwIMAg0CCAIIAggCCAIIAggCCAIIAggCCAIIAggCCAIIAggCCAIIAhICAwJ1Ah4AAtcCAgIvAgQCBQIGAgcCCAIJAgoCCwIMAg0CCAIIAggCCAIIAggCCAIIAggCCAIIAggCCAIIAggCCAIIAhICAwIwAh4AAtcCAgItAgQCBQIGAgcCCAIJAk8CCwIMAg0CCAIIAggCCAIIAggCCAIIAggCCAIIAggCCAIIAggCCAIIAhICAwKNAh4AAtcCAgJeAgQCBQIGAgcCCAIJAjkCCwIMAg0CCAIIAggCCAIIAggCCAIIAggCCAIIAggCCAIIAggCCAIIAhICAwJgAh4AAtcCAgJiAgQCBQIGAgcCCAIJAjkCCwIMAg0CCAIIAggCCAIIAggCCAIIAggCCAIIAggCCAIIAggCCAIIAhICAwKJAh4AAtcCAgI1AgQCBQIGAgcCCAIJAk8CCwIMAg0CCAIIAggCCAIIAggCCAIIAggCCAIIAggCCAIIAggCCAIIAhICAwJ4Ah4AAtcCAgIdAgQCBQIGAgcCCAIJAjkCCwIMAg0CCAIIAggCCAIIAggCCAIIAggCCAIIAggCCAIIAggCCAIIAhICAwKWAh4AAtcCAgJ2AgQCBQIGAgcCCAIJAk8CCwIMAg0CCAIIAggCCAIIAggCCAIIAggCCAIIAggCCAIIAggCCAIIAhICAwKLAh4AAtcCAgIjAgQCBQIGAgcCCAIJAjkCCwIMAg0CCAIIAggCCAIIAggCCAIIAggCCAIIAggCCAIIAggCCAIIAhICAwJOAh4AAtcCAgJkAgQCBQIGAgcCCAIJAjkCCwIMAg0CCAIIAggCCAIIAggCCAIIAggCCAIIAggCCAIIAggCCAIIAhICAwJpAh4AAtcCAgIbAgQCBQIGAgcCCAIJAk8CCwIMAg0CCAIIAggCCAIIAggCCAIIAggCCAIIAggCCAIIAggCCAIIAhICAwJyAh4AAtcCAgJzAgQCBQIGAgcCCAIJAk8CCwIMAg0CCAIIAggCCAIIAggCCAIIAggCCAIIAggCCAIIAggCCAIIAhICAwJ0Ah4AAtcCAgIrAgQCBQIGAgcCCAIJAjkCCwIMAg0CCAIIAggCCAIIAggCCAIIAggCCAIIAggCCHoAAAQAAggCCAIIAggCEgIDAlwCHgAC1wICAjMCBAIFAgYCBwIIAgkCCgILAgwCDQIIAggCCAIIAggCCAIIAggCCAIIAggCCAIIAggCCAIIAggCEgIDAjQCHgAC1wICAlUCBAIFAgYCBwIIAgkCCgILAgwCDQIIAggCCAIIAggCCAIIAggCCAIIAggCCAIIAggCCAIIAggCEgIDAlYCHgAC1wICAlcCBAIFAgYCBwIIAgkCCgILAgwCDQIIAggCCAIIAggCCAIIAggCCAIIAggCCAIIAggCCAIIAggCEgIDAnECHgAC1wICAjUCBAIFAgYCBwIIAgkCCgILAgwCDQIIAggCCAIIAggCCAIIAggCCAIIAggCCAIIAggCCAIIAggCEgIDAjYCHgAC1wICAlkCBAIFAgYCBwIIAgkCCgILAgwCDQIIAggCCAIIAggCCAIIAggCCAIIAggCCAIIAggCCAIIAggCEgIDAloCHgAC1wICAjECBAIFAgYCBwIIAgkCCgILAgwCDQIIAggCCAIIAggCCAIIAggCCAIIAggCCAIIAggCCAIIAggCEgIDAjICHgAC1wICAi8CBAIFAgYCBwIIAgkCOQILAgwCDQIIAggCCAIIAggCCAIIAggCCAIIAggCCAIIAggCCAIIAggCEgIDAoUCHgAC1wICAicCBAIFAgYCBwIIAgkCOQILAgwCDQIIAggCCAIIAggCCAIIAggCCAIIAggCCAIIAggCCAIIAggCEgIDAlsCHgAC1wICAlcCBAIFAgYCBwIIAgkCOQILAgwCDQIIAggCCAIIAggCCAIIAggCCAIIAggCCAIIAggCCAIIAggCEgIDApICHgAC1wICAjMCBAIFAgYCBwIIAgkCTwILAgwCDQIIAggCCAIIAggCCAIIAggCCAIIAggCCAIIAggCCAIIAggCEgIDAmECHgAC1wICAlMCBAIFAgYCBwIIAgkCOQILAgwCDQIIAggCCAIIAggCCAIIAggCCAIIAggCCAIIAggCCAIIAggCEgIDAoMCHgAC1wICAh0CBAIFAgYCBwIIAgkCCgILAgwCDQIIAggCCAIIAggCCAIIAggCCAIIAggCCAIIAggCCAIIAggCEgIDAh4CHgAC1wICAmQCBAIFAgYCBwIIAgkCTwILAgwCDQIIAggCCAIIAggCCAIIAggCCAIIAggCCAIIAggCCAIIAggCEgIDApQCHgAC1wICAmICBAIFAgYCBwIIAgkCCgILAgwCDQIIAggCCAIIAggCCAIIAggCCAIIAggCCAIIAggCCAIIAggCEgIDAmMCHgAC1wICAhsCBAIFAgYCBwIIAgkCCgILAgwCDQIIAggCCAIIAggCCAIIAnoAAAQACAIIAggCCAIIAggCCAIIAggCCAISAgMCHAIeAALXAgICcwIEAgUCBgIHAggCCQIKAgsCDAINAggCCAIIAggCCAIIAggCCAIIAggCCAIIAggCCAIIAggCCAISAgMCkAIeAALXAgICJQIEAgUCBgIHAggCCQI5AgsCDAINAggCCAIIAggCCAIIAggCCAIIAggCCAIIAggCCAIIAggCCAISAgMCZwIeAALXAgICIwIEAgUCBgIHAggCCQJPAgsCDAINAggCCAIIAggCCAIIAggCCAIIAggCCAIIAggCCAIIAggCCAISAgMCjgIeAALXAgICHwIEAgUCBgIHAggCCQJPAgsCDAINAggCCAIIAggCCAIIAggCCAIIAggCCAIIAggCCAIIAggCCAISAgMCjwIeAALXAgICbQIEAgUCBgIHAggCCQI5AgsCDAINAggCCAIIAggCCAIIAggCCAIIAggCCAIIAggCCAIIAggCCAISAgMCigIeAALXAgICVQIEAgUCBgIHAggCCQJPAgsCDAINAggCCAIIAggCCAIIAggCCAIIAggCCAIIAggCCAIIAggCCAISAgMCXQIeAALXAgICAwIEAgUCBgIHAggCCQJPAgsCDAINAggCCAIIAggCCAIIAggCCAIIAggCCAIIAggCCAIIAggCCAISAgMCkQIeAALXAgICKQIEAgUCBgIHAggCCQI5AgsCDAINAggCCAIIAggCCAIIAggCCAIIAggCCAIIAggCCAIIAggCCAISAgMCTgIeAALXAgICXgIEAgUCBgIHAggCCQJPAgsCDAINAggCCAIIAggCCAIIAggCCAIIAggCCAIIAggCCAIIAggCCAISAgMCkwIeAALXAgICLQIEAgUCBgIHAggCCQI5AgsCDAINAggCCAIIAggCCAIIAggCCAIIAggCCAIIAggCCAIIAggCCAISAgMCeQIeAALXAgICKQIEAgUCBgIHAggCCQIKAgsCDAINAggCCAIIAggCCAIIAggCCAIIAggCCAIIAggCCAIIAggCCAISAgMCKgIeAALXAgICMQIEAgUCBgIHAggCCQJPAgsCDAINAggCCAIIAggCCAIIAggCCAIIAggCCAIIAggCCAIIAggCCAISAgMCagIeAALXAgICKwIEAgUCBgIHAggCCQJPAgsCDAINAggCCAIIAggCCAIIAggCCAIIAggCCAIIAggCCAIIAggCCAISAgMClQIeAALXAgICdgIEAgUCBgIHAggCCQI5AgsCDAINAggCCAIIAggCCAIIAggCCAIIAggCCAIIAggCCAIIAggCCAISAgMCdwIeAALXAgICJQIEAgUCBgIHAggCCQJPAgsCDAINAggCCHoAAAQAAggCCAIIAggCCAIIAggCCAIIAggCCAIIAggCCAIIAhICAwKBAh4AAtcCAgIhAgQCBQIGAgcCCAIJAgoCCwIMAg0CCAIIAggCCAIIAggCCAIIAggCCAIIAggCCAIIAggCCAIIAhICAwIiAh4AAtcCAgJiAgQCBQIGAgcCCAIJAk8CCwIMAg0CCAIIAggCCAIIAggCCAIIAggCCAIIAggCCAIIAggCCAIIAhICAwJsAh4AAtcCAgJRAgQCBQIGAgcCCAIJAgoCCwIMAg0CCAIIAggCCAIIAggCCAIIAggCCAIIAggCCAIIAggCCAIIAhICAwKIAh4AAtcCAgJRAgQCBQIGAgcCCAIJAk8CCwIMAg0CCAIIAggCCAIIAggCCAIIAggCCAIIAggCCAIIAggCCAIIAhICAwJ8Ah4AAtcCAgIfAgQCBQIGAgcCCAIJAgoCCwIMAg0CCAIIAggCCAIIAggCCAIIAggCCAIIAggCCAIIAggCCAIIAhICAwIgAh4AAtcCAgIfAgQCBQIGAgcCCAIJAjkCCwIMAg0CCAIIAggCCAIIAggCCAIIAggCCAIIAggCCAIIAggCCAIIAhICAwJ6Ah4AAtcCAgIbAgQCBQIGAgcCCAIJAjkCCwIMAg0CCAIIAggCCAIIAggCCAIIAggCCAIIAggCCAIIAggCCAIIAhICAwKAAh4AAtcCAgIDAgQCBQIGAgcCCAIJAgoCCwIMAg0CCAIIAggCCAIIAggCCAIIAggCCAIIAggCCAIIAggCCAIIAhICAwIOAh4AAtcCAgJzAgQCBQIGAgcCCAIJAjkCCwIMAg0CCAIIAggCCAIIAggCCAIIAggCCAIIAggCCAIIAggCCAIIAhICAwJ9Ah4AAtcCAgIhAgQCBQIGAgcCCAIJAk8CCwIMAg0CCAIIAggCCAIIAggCCAIIAggCCAIIAggCCAIIAggCCAIIAhICAwJ+Ah4AAtcCAgInAgQCBQIGAgcCCAIJAgoCCwIMAg0CCAIIAggCCAIIAggCCAIIAggCCAIIAggCCAIIAggCCAIIAhICAwIoAh4AAtcCAgJZAgQCBQIGAgcCCAIJAk8CCwIMAg0CCAIIAggCCAIIAggCCAIIAggCCAIIAggCCAIIAggCCAIIAhICAwJrAh4AAtcCAgJtAgQCBQIGAgcCCAIJAgoCCwIMAg0CCAIIAggCCAIIAggCCAIIAggCCAIIAggCCAIIAggCCAIIAhICAwJ7Ah4AAtcCAgI1AgQCBQIGAgcCCAIJAjkCCwIMAg0CCAIIAggCCAIIAggCCAIIAggCCAIIAggCCAIIAggCCAIIAhICAwJOAh4AAtcCAgJXAgQCBQIGAgcCCAIJAnoAAAQATwILAgwCDQIIAggCCAIIAggCCAIIAggCCAIIAggCCAIIAggCCAIIAggCEgIDAlgCHgAC1wICAi0CBAIFAgYCBwIIAgkCCgILAgwCDQIIAggCCAIIAggCCAIIAggCCAIIAggCCAIIAggCCAIIAggCEgIDAi4CHgAC1wICAikCBAIFAgYCBwIIAgkCTwILAgwCDQIIAggCCAIIAggCCAIIAggCCAIIAggCCAIIAggCCAIIAggCEgIDAoYCHgAC1wICAicCBAIFAgYCBwIIAgkCTwILAgwCDQIIAggCCAIIAggCCAIIAggCCAIIAggCCAIIAggCCAIIAggCEgIDAoICHgAC1wICAlMCBAIFAgYCBwIIAgkCTwILAgwCDQIIAggCCAIIAggCCAIIAggCCAIIAggCCAIIAggCCAIIAggCEgIDAlQCHgAC1wICAi8CBAIFAgYCBwIIAgkCTwILAgwCDQIIAggCCAIIAggCCAIIAggCCAIIAggCCAIIAggCCAIIAggCEgIDAlACHgAC1wICAiECBAIFAgYCBwIIAgkCOQILAgwCDQIIAggCCAIIAggCCAIIAggCCAIIAggCCAIIAggCCAIIAggCEgIDAmYCHgAC1wICAmQCBAIFAgYCBwIIAgkCCgILAgwCDQIIAggCCAIIAggCCAIIAggCCAIIAggCCAIIAggCCAIIAggCEgIDAmUCHgAC1wICAiMCBAIFAgYCBwIIAgkCCgILAgwCDQIIAggCCAIIAggCCAIIAggCCAIIAggCCAIIAggCCAIIAggCEgIDAiQCHgAC1wICAnYCBAIFAgYCBwIIAgkCCgILAgwCDQIIAggCCAIIAggCCAIIAggCCAIIAggCCAIIAggCCAIIAggCEgIDAoQCHgAC1wICAgMCBAIFAgYCBwIIAgkCOQILAgwCDQIIAggCCAIIAggCCAIIAggCCAIIAggCCAIIAggCCAIIAggCEgIDAk4CHgAC1wICAiUCBAIFAgYCBwIIAgkCCgILAgwCDQIIAggCCAIIAggCCAIIAggCCAIIAggCCAIIAggCCAIIAggCEgIDAiYCHgAC1wICAm0CBAIFAgYCBwIIAgkCTwILAgwCDQIIAggCCAIIAggCCAIIAggCCAIIAggCCAIIAggCCAIIAggCEgIDAm4CHgAC1wICAlECBAIFAgYCBwIIAgkCOQILAgwCDQIIAggCCAIIAggCCAIIAggCCAIIAggCCAIIAggCCAIIAggCEgIDAlICHgAC1wICAh0CBAIFAgYCBwIIAgkCTwILAgwCDQIIAggCCAIIAggCCAIIAggCCAIIAggCCAIIAggCCAIIAggCEgIDAmgCHgAC1wICAlUCBHoAAAQAAgUCBgIHAggCCQI5AgsCDAINAggCCAIIAggCCAIIAggCCAIIAggCCAIIAggCCAIIAggCCAISAgMCbwIeAALXAgICXgIEAgUCBgIHAggCCQIKAgsCDAINAggCCAIIAggCCAIIAggCCAIIAggCCAIIAggCCAIIAggCCAISAgMCXwIeAALXAgICKwIEAgUCBgIHAggCCQIKAgsCDAINAggCCAIIAggCCAIIAggCCAIIAggCCAIIAggCCAIIAggCCAISAgMCLAIeAALXAgICMwIEAgUCBgIHAggCCQI5AgsCDAINAggCCAIIAggCCAIIAggCCAIIAggCCAIIAggCCAIIAggCCAISAgMCcAIeAALYAAkzNzEyNTAzNDQCAgJkAgQCBQIGAgcCCAIJAjkCCwIMAg0CCAIIAggCCAIIAggCCAIIAggCCAIIAggCCAIIAggCCAIIAhQCAwJpAh4AAtgCAgIjAgQCBQIGAgcCCAIJAjkCCwIMAg0CCAIIAggCCAIIAggCCAIIAggCCAIIAggCCAIIAggCCAIIAhQCAwJOAh4AAtgCAgJzAgQCBQIGAgcCCAIJAgoCCwIMAg0CCAIIAggCCAIIAggCCAIIAggCCAIIAggCCAIIAggCCAIIAhQCAwKQAh4AAtgCAgJtAgQCBQIGAgcCCAIJAk8CCwIMAg0CCAIIAggCCAIIAggCCAIIAggCCAIIAggCCAIIAggCCAIIAhQCAwJuAh4AAtgCAgIbAgQCBQIGAgcCCAIJAgoCCwIMAg0CCAIIAggCCAIIAggCCAIIAggCCAIIAggCCAIIAggCCAIIAhQCAwIcAh4AAtgCAgI1AgQCBQIGAgcCCAIJAk8CCwIMAg0CCAIIAggCCAIIAggCCAIIAggCCAIIAggCCAIIAggCCAIIAhQCAwJ4Ah4AAtgCAgJiAgQCBQIGAgcCCAIJAjkCCwIMAg0CCAIIAggCCAIIAggCCAIIAggCCAIIAggCCAIIAggCCAIIAhQCAwKJAh4AAtgCAgIdAgQCBQIGAgcCCAIJAjkCCwIMAg0CCAIIAggCCAIIAggCCAIIAggCCAIIAggCCAIIAggCCAIIAhQCAwKWAh4AAtgCAgJZAgQCBQIGAgcCCAIJAjkCCwIMAg0CCAIIAggCCAIIAggCCAIIAggCCAIIAggCCAIIAggCCAIIAhQCAwKMAh4AAtgCAgJ2AgQCBQIGAgcCCAIJAgoCCwIMAg0CCAIIAggCCAIIAggCCAIIAggCCAIIAggCCAIIAggCCAIIAhQCAwKEAh4AAtgCAgItAgQCBQIGAgcCCAIJAgoCCwIMAg0CCAIIAggCCAIIAggCCAIIAggCCAIIAggCCAIIAnoAAAQACAIIAggCFAIDAi4CHgAC2AICAlUCBAIFAgYCBwIIAgkCCgILAgwCDQIIAggCCAIIAggCCAIIAggCCAIIAggCCAIIAggCCAIIAggCFAIDAlYCHgAC2AICAlcCBAIFAgYCBwIIAgkCCgILAgwCDQIIAggCCAIIAggCCAIIAggCCAIIAggCCAIIAggCCAIIAggCFAIDAnECHgAC2AICAl4CBAIFAgYCBwIIAgkCOQILAgwCDQIIAggCCAIIAggCCAIIAggCCAIIAggCCAIIAggCCAIIAggCFAIDAmACHgAC2AICAisCBAIFAgYCBwIIAgkCOQILAgwCDQIIAggCCAIIAggCCAIIAggCCAIIAggCCAIIAggCCAIIAggCFAIDAlwCHgAC2AICAjECBAIFAgYCBwIIAgkCOQILAgwCDQIIAggCCAIIAggCCAIIAggCCAIIAggCCAIIAggCCAIIAggCFAIDAk4CHgAC2AICAiECBAIFAgYCBwIIAgkCTwILAgwCDQIIAggCCAIIAggCCAIIAggCCAIIAggCCAIIAggCCAIIAggCFAIDAn4CHgAC2AICAlECBAIFAgYCBwIIAgkCTwILAgwCDQIIAggCCAIIAggCCAIIAggCCAIIAggCCAIIAggCCAIIAggCFAIDAnwCHgAC2AICAjMCBAIFAgYCBwIIAgkCCgILAgwCDQIIAggCCAIIAggCCAIIAggCCAIIAggCCAIIAggCCAIIAggCFAIDAjQCHgAC2AICAmICBAIFAgYCBwIIAgkCCgILAgwCDQIIAggCCAIIAggCCAIIAggCCAIIAggCCAIIAggCCAIIAggCFAIDAmMCHgAC2AICAiUCBAIFAgYCBwIIAgkCOQILAgwCDQIIAggCCAIIAggCCAIIAggCCAIIAggCCAIIAggCCAIIAggCFAIDAmcCHgAC2AICAi8CBAIFAgYCBwIIAgkCOQILAgwCDQIIAggCCAIIAggCCAIIAggCCAIIAggCCAIIAggCCAIIAggCFAIDAoUCHgAC2AICAlMCBAIFAgYCBwIIAgkCOQILAgwCDQIIAggCCAIIAggCCAIIAggCCAIIAggCCAIIAggCCAIIAggCFAIDAoMCHgAC2AICAicCBAIFAgYCBwIIAgkCOQILAgwCDQIIAggCCAIIAggCCAIIAggCCAIIAggCCAIIAggCCAIIAggCFAIDAlsCHgAC2AICAjUCBAIFAgYCBwIIAgkCCgILAgwCDQIIAggCCAIIAggCCAIIAggCCAIIAggCCAIIAggCCAIIAggCFAIDAjYCHgAC2AICAlcCBAIFAgYCBwIIAgkCOQILAgwCDQIIAggCCAIIAggCCAIIAggCCHoAAAQAAggCCAIIAggCCAIIAggCCAIUAgMCkgIeAALYAgICWQIEAgUCBgIHAggCCQIKAgsCDAINAggCCAIIAggCCAIIAggCCAIIAggCCAIIAggCCAIIAggCCAIUAgMCWgIeAALYAgICVQIEAgUCBgIHAggCCQJPAgsCDAINAggCCAIIAggCCAIIAggCCAIIAggCCAIIAggCCAIIAggCCAIUAgMCXQIeAALYAgICdgIEAgUCBgIHAggCCQJPAgsCDAINAggCCAIIAggCCAIIAggCCAIIAggCCAIIAggCCAIIAggCCAIUAgMCiwIeAALYAgICMQIEAgUCBgIHAggCCQIKAgsCDAINAggCCAIIAggCCAIIAggCCAIIAggCCAIIAggCCAIIAggCCAIUAgMCMgIeAALYAgICAwIEAgUCBgIHAggCCQJPAgsCDAINAggCCAIIAggCCAIIAggCCAIIAggCCAIIAggCCAIIAggCCAIUAgMCkQIeAALYAgICLQIEAgUCBgIHAggCCQJPAgsCDAINAggCCAIIAggCCAIIAggCCAIIAggCCAIIAggCCAIIAggCCAIUAgMCjQIeAALYAgICHwIEAgUCBgIHAggCCQJPAgsCDAINAggCCAIIAggCCAIIAggCCAIIAggCCAIIAggCCAIIAggCCAIUAgMCjwIeAALYAgICIwIEAgUCBgIHAggCCQJPAgsCDAINAggCCAIIAggCCAIIAggCCAIIAggCCAIIAggCCAIIAggCCAIUAgMCjgIeAALYAgICAwIEAgUCBgIHAggCCQI5AgsCDAINAggCCAIIAggCCAIIAggCCAIIAggCCAIIAggCCAIIAggCCAIUAgMCTgIeAALYAgICHwIEAgUCBgIHAggCCQI5AgsCDAINAggCCAIIAggCCAIIAggCCAIIAggCCAIIAggCCAIIAggCCAIUAgMCegIeAALYAgICbQIEAgUCBgIHAggCCQI5AgsCDAINAggCCAIIAggCCAIIAggCCAIIAggCCAIIAggCCAIIAggCCAIUAgMCigIeAALYAgICHQIEAgUCBgIHAggCCQJPAgsCDAINAggCCAIIAggCCAIIAggCCAIIAggCCAIIAggCCAIIAggCCAIUAgMCaAIeAALYAgICIQIEAgUCBgIHAggCCQIKAgsCDAINAggCCAIIAggCCAIIAggCCAIIAggCCAIIAggCCAIIAggCCAIUAgMCIgIeAALYAgICYgIEAgUCBgIHAggCCQJPAgsCDAINAggCCAIIAggCCAIIAggCCAIIAggCCAIIAggCCAIIAggCCAIUAgMCbAIeAALYAgICZAIEAgUCBgIHAggCCQJPAgsCDAINAggCCAIIAnoAAAQACAIIAggCCAIIAggCCAIIAggCCAIIAggCCAIIAhQCAwKUAh4AAtgCAgIlAgQCBQIGAgcCCAIJAgoCCwIMAg0CCAIIAggCCAIIAggCCAIIAggCCAIIAggCCAIIAggCCAIIAhQCAwImAh4AAtgCAgIxAgQCBQIGAgcCCAIJAk8CCwIMAg0CCAIIAggCCAIIAggCCAIIAggCCAIIAggCCAIIAggCCAIIAhQCAwJqAh4AAtgCAgJRAgQCBQIGAgcCCAIJAgoCCwIMAg0CCAIIAggCCAIIAggCCAIIAggCCAIIAggCCAIIAggCCAIIAhQCAwKIAh4AAtgCAgIzAgQCBQIGAgcCCAIJAk8CCwIMAg0CCAIIAggCCAIIAggCCAIIAggCCAIIAggCCAIIAggCCAIIAhQCAwJhAh4AAtgCAgJeAgQCBQIGAgcCCAIJAk8CCwIMAg0CCAIIAggCCAIIAggCCAIIAggCCAIIAggCCAIIAggCCAIIAhQCAwKTAh4AAtgCAgIrAgQCBQIGAgcCCAIJAk8CCwIMAg0CCAIIAggCCAIIAggCCAIIAggCCAIIAggCCAIIAggCCAIIAhQCAwKVAh4AAtgCAgJ2AgQCBQIGAgcCCAIJAjkCCwIMAg0CCAIIAggCCAIIAggCCAIIAggCCAIIAggCCAIIAggCCAIIAhQCAwJ3Ah4AAtgCAgI1AgQCBQIGAgcCCAIJAjkCCwIMAg0CCAIIAggCCAIIAggCCAIIAggCCAIIAggCCAIIAggCCAIIAhQCAwJOAh4AAtgCAgInAgQCBQIGAgcCCAIJAgoCCwIMAg0CCAIIAggCCAIIAggCCAIIAggCCAIIAggCCAIIAggCCAIIAhQCAwIoAh4AAtgCAgJZAgQCBQIGAgcCCAIJAk8CCwIMAg0CCAIIAggCCAIIAggCCAIIAggCCAIIAggCCAIIAggCCAIIAhQCAwJrAh4AAtgCAgIdAgQCBQIGAgcCCAIJAgoCCwIMAg0CCAIIAggCCAIIAggCCAIIAggCCAIIAggCCAIIAggCCAIIAhQCAwIeAh4AAtgCAgIlAgQCBQIGAgcCCAIJAk8CCwIMAg0CCAIIAggCCAIIAggCCAIIAggCCAIIAggCCAIIAggCCAIIAhQCAwKBAh4AAtgCAgIvAgQCBQIGAgcCCAIJAk8CCwIMAg0CCAIIAggCCAIIAggCCAIIAggCCAIIAggCCAIIAggCCAIIAhQCAwJQAh4AAtgCAgJzAgQCBQIGAgcCCAIJAjkCCwIMAg0CCAIIAggCCAIIAggCCAIIAggCCAIIAggCCAIIAggCCAIIAhQCAwJ9Ah4AAtgCAgIbAgQCBQIGAgcCCAIJAjkCC3oAAAQAAgwCDQIIAggCCAIIAggCCAIIAggCCAIIAggCCAIIAggCCAIIAggCFAIDAoACHgAC2AICAh8CBAIFAgYCBwIIAgkCCgILAgwCDQIIAggCCAIIAggCCAIIAggCCAIIAggCCAIIAggCCAIIAggCFAIDAiACHgAC2AICAgMCBAIFAgYCBwIIAgkCCgILAgwCDQIIAggCCAIIAggCCAIIAggCCAIIAggCCAIIAggCCAIIAggCFAIDAg4CHgAC2AICAmQCBAIFAgYCBwIIAgkCCgILAgwCDQIIAggCCAIIAggCCAIIAggCCAIIAggCCAIIAggCCAIIAggCFAIDAmUCHgAC2AICAm0CBAIFAgYCBwIIAgkCCgILAgwCDQIIAggCCAIIAggCCAIIAggCCAIIAggCCAIIAggCCAIIAggCFAIDAnsCHgAC2AICAlMCBAIFAgYCBwIIAgkCTwILAgwCDQIIAggCCAIIAggCCAIIAggCCAIIAggCCAIIAggCCAIIAggCFAIDAlQCHgAC2AICAiMCBAIFAgYCBwIIAgkCCgILAgwCDQIIAggCCAIIAggCCAIIAggCCAIIAggCCAIIAggCCAIIAggCFAIDAiQCHgAC2AICAhsCBAIFAgYCBwIIAgkCTwILAgwCDQIIAggCCAIIAggCCAIIAggCCAIIAggCCAIIAggCCAIIAggCFAIDAnICHgAC2AICAnMCBAIFAgYCBwIIAgkCTwILAgwCDQIIAggCCAIIAggCCAIIAggCCAIIAggCCAIIAggCCAIIAggCFAIDAnQCHgAC2AICAicCBAIFAgYCBwIIAgkCTwILAgwCDQIIAggCCAIIAggCCAIIAggCCAIIAggCCAIIAggCCAIIAggCFAIDAoICHgAC2AICAiECBAIFAgYCBwIIAgkCOQILAgwCDQIIAggCCAIIAggCCAIIAggCCAIIAggCCAIIAggCCAIIAggCFAIDAmYCHgAC2AICAlECBAIFAgYCBwIIAgkCOQILAgwCDQIIAggCCAIIAggCCAIIAggCCAIIAggCCAIIAggCCAIIAggCFAIDAlICHgAC2AICAi0CBAIFAgYCBwIIAgkCOQILAgwCDQIIAggCCAIIAggCCAIIAggCCAIIAggCCAIIAggCCAIIAggCFAIDAnkCHgAC2AICAlMCBAIFAgYCBwIIAgkCCgILAgwCDQIIAggCCAIIAggCCAIIAggCCAIIAggCCAIIAggCCAIIAggCFAIDAnUCHgAC2AICAi8CBAIFAgYCBwIIAgkCCgILAgwCDQIIAggCCAIIAggCCAIIAggCCAIIAggCCAIIAggCCAIIAggCFAIDAjACHgAC2AICAisCBAIFAnoAAAQABgIHAggCCQIKAgsCDAINAggCCAIIAggCCAIIAggCCAIIAggCCAIIAggCCAIIAggCCAIUAgMCLAIeAALYAgICVwIEAgUCBgIHAggCCQJPAgsCDAINAggCCAIIAggCCAIIAggCCAIIAggCCAIIAggCCAIIAggCCAIUAgMCWAIeAALYAgICMwIEAgUCBgIHAggCCQI5AgsCDAINAggCCAIIAggCCAIIAggCCAIIAggCCAIIAggCCAIIAggCCAIUAgMCcAIeAALYAgICVQIEAgUCBgIHAggCCQI5AgsCDAINAggCCAIIAggCCAIIAggCCAIIAggCCAIIAggCCAIIAggCCAIUAgMCbwIeAALYAgICXgIEAgUCBgIHAggCCQIKAgsCDAINAggCCAIIAggCCAIIAggCCAIIAggCCAIIAggCCAIIAggCCAIUAgMCXwIeAALZAAk2NjY3MDc2MDACAgJTAgQCBQIGAgcCCAIJAk8CCwI8Ag0CCAIIAggCCAIIAggCCAIIAggCCAIIAggCCAIIAggCCAIIAhECAwLIAh4AAtkCAgIdAgQCBQIGAgcCCAIJAgoCCwI8Ag0CCAIIAggCCAIIAggCCAIIAggCCAIIAggCCAIIAggCCAIIAhECAwJIAh4AAtkCAgJZAgQCBQIGAgcCCAIJApkCCwI8Ag0CCAIIAggCCAIIAggCCAIIAggCCAIIAggCCAIIAggCCAIIAhECAwKzAh4AAtkCAgIvAgQCBQIGAgcCCAIJAk8CCwI8Ag0CCAIIAggCCAIIAggCCAIIAggCCAIIAggCCAIIAggCCAIIAhECAwKkAh4AAtkCAgJiAgQCBQIGAgcCCAIJApkCCwI8Ag0CCAIIAggCCAIIAggCCAIIAggCCAIIAggCCAIIAggCCAIIAhECAwKxAh4AAtkCAgJkAgQCBQIGAgcCCAIJAgoCCwI8Ag0CCAIIAggCCAIIAggCCAIIAggCCAIIAggCCAIIAggCCAIIAhECAwLLAh4AAtkCAgIjAgQCBQIGAgcCCAIJAgoCCwI8Ag0CCAIIAggCCAIIAggCCAIIAggCCAIIAggCCAIIAggCCAIIAhECAwJLAh4AAtkCAgIlAgQCBQIGAgcCCAIJApkCCwI8Ag0CCAIIAggCCAIIAggCCAIIAggCCAIIAggCCAIIAggCCAIIAhECAwLJAh4AAtkCAgJiAgQCBQIGAgcCCAIJAgoCCwI8Ag0CCAIIAggCCAIIAggCCAIIAggCCAIIAggCCAIIAggCCAIIAhECAwKsAh4AAtkCAgIdAgQCBQIGAgcCCAIJApkCCwI8Ag0CCAIIAggCCAIIAggCCAIIAggCCAIIAggCCAIIAggCCHoAAAQAAggCEQIDAqECHgAC2QICAiMCBAIFAgYCBwIIAgkCmQILAjwCDQIIAggCCAIIAggCCAIIAggCCAIIAggCCAIIAggCCAIIAggCEQIDAk4CHgAC2QICAnMCBAIFAgYCBwIIAgkCTwILAjwCDQIIAggCCAIIAggCCAIIAggCCAIIAggCCAIIAggCCAIIAggCEQIDAqYCHgAC2QICAhsCBAIFAgYCBwIIAgkCTwILAjwCDQIIAggCCAIIAggCCAIIAggCCAIIAggCCAIIAggCCAIIAggCEQIDApsCHgAC2QICAlcCBAIFAgYCBwIIAgkCmQILAjwCDQIIAggCCAIIAggCCAIIAggCCAIIAggCCAIIAggCCAIIAggCEQIDAqcCHgAC2QICAjMCBAIFAgYCBwIIAgkCCgILAjwCDQIIAggCCAIIAggCCAIIAggCCAIIAggCCAIIAggCCAIIAggCEQIDAkACHgAC2QICAjMCBAIFAgYCBwIIAgkCmQILAjwCDQIIAggCCAIIAggCCAIIAggCCAIIAggCCAIIAggCCAIIAggCEQIDAqgCHgAC2QICAlUCBAIFAgYCBwIIAgkCCgILAjwCDQIIAggCCAIIAggCCAIIAggCCAIIAggCCAIIAggCCAIIAggCEQIDAqUCHgAC2QICAlUCBAIFAgYCBwIIAgkCmQILAjwCDQIIAggCCAIIAggCCAIIAggCCAIIAggCCAIIAggCCAIIAggCEQIDApoCHgAC2QICAlcCBAIFAgYCBwIIAgkCCgILAjwCDQIIAggCCAIIAggCCAIIAggCCAIIAggCCAIIAggCCAIIAggCEQIDApgCHgAC2QICAiECBAIFAgYCBwIIAgkCCgILAjwCDQIIAggCCAIIAggCCAIIAggCCAIIAggCCAIIAggCCAIIAggCEQIDAkQCHgAC2QICAk0CBAIFAgYCBwIIAgkCCgILAjwCDQIIAggCCAIIAggCCAIIAggCCAIIAggCCAIIAggCCAIIAggCEQIDAtYCHgAC2QICAi0CBAIFAgYCBwIIAgkCTwILAjwCDQIIAggCCAIIAggCCAIIAggCCAIIAggCCAIIAggCCAIIAggCEQIDAp0CHgAC2QICAlECBAIFAgYCBwIIAgkCmQILAjwCDQIIAggCCAIIAggCCAIIAggCCAIIAggCCAIIAggCCAIIAggCEQIDAq8CHgAC2QICAtoABjIwMTgwNQIEAgUCBgIHAggCCQJPAgsCPAINAggCCAIIAggCCAIIAggCCAIIAggCCAIIAggCCAIIAggCCAIRAgMC1QIeAALZAgICdgIEAgUCBgIHAggCCQJPAgsCPAINAggCCAIIAggCCAIIAnoAAAQACAIIAggCCAIIAggCCAIIAggCCAIIAhECAwKeAh4AAtkCAgJkAgQCBQIGAgcCCAIJAk8CCwI8Ag0CCAIIAggCCAIIAggCCAIIAggCCAIIAggCCAIIAggCCAIIAhECAwKtAh4AAtkCAgJRAgQCBQIGAgcCCAIJAgoCCwI8Ag0CCAIIAggCCAIIAggCCAIIAggCCAIIAggCCAIIAggCCAIIAhECAwK8Ah4AAtkCAgIhAgQCBQIGAgcCCAIJApkCCwI8Ag0CCAIIAggCCAIIAggCCAIIAggCCAIIAggCCAIIAggCCAIIAhECAwKwAh4AAtkCAgIbAgQCBQIGAgcCCAIJApkCCwI8Ag0CCAIIAggCCAIIAggCCAIIAggCCAIIAggCCAIIAggCCAIIAhECAwK3Ah4AAtkCAgJzAgQCBQIGAgcCCAIJApkCCwI8Ag0CCAIIAggCCAIIAggCCAIIAggCCAIIAggCCAIIAggCCAIIAhECAwK0Ah4AAtkCAgJVAgQCBQIGAgcCCAIJAk8CCwI8Ag0CCAIIAggCCAIIAggCCAIIAggCCAIIAggCCAIIAggCCAIIAhECAwK2Ah4AAtkCAgIDAgQCBQIGAgcCCAIJAk8CCwI8Ag0CCAIIAggCCAIIAggCCAIIAggCCAIIAggCCAIIAggCCAIIAhECAwKyAh4AAtkCAgIjAgQCBQIGAgcCCAIJAk8CCwI8Ag0CCAIIAggCCAIIAggCCAIIAggCCAIIAggCCAIIAggCCAIIAhECAwKuAh4AAtkCAgJNAgQCBQIGAgcCCAIJApkCCwI8Ag0CCAIIAggCCAIIAggCCAIIAggCCAIIAggCCAIIAggCCAIIAhECAwJOAh4AAtkCAgIzAgQCBQIGAgcCCAIJAk8CCwI8Ag0CCAIIAggCCAIIAggCCAIIAggCCAIIAggCCAIIAggCCAIIAhECAwKqAh4AAtkCAgIfAgQCBQIGAgcCCAIJAk8CCwI8Ag0CCAIIAggCCAIIAggCCAIIAggCCAIIAggCCAIIAggCCAIIAhECAwKrAh4AAtkCAgJzAgQCBQIGAgcCCAIJAgoCCwI8Ag0CCAIIAggCCAIIAggCCAIIAggCCAIIAggCCAIIAggCCAIIAhECAwK1Ah4AAtkCAgIbAgQCBQIGAgcCCAIJAgoCCwI8Ag0CCAIIAggCCAIIAggCCAIIAggCCAIIAggCCAIIAggCCAIIAhECAwJCAh4AAtkCAgIxAgQCBQIGAgcCCAIJAgoCCwI8Ag0CCAIIAggCCAIIAggCCAIIAggCCAIIAggCCAIIAggCCAIIAhECAwJBAh4AAtkCAgJZAgQCBQIGAgcCCAIJAgoCCwI8Ag0CCHoAAAQAAggCCAIIAggCCAIIAggCCAIIAggCCAIIAggCCAIIAggCEQIDAqkCHgAC2QICAjECBAIFAgYCBwIIAgkCmQILAjwCDQIIAggCCAIIAggCCAIIAggCCAIIAggCCAIIAggCCAIIAggCEQIDAk4CHgAC2QICAjUCBAIFAgYCBwIIAgkCmQILAjwCDQIIAggCCAIIAggCCAIIAggCCAIIAggCCAIIAggCCAIIAggCEQIDAk4CHgAC2QICAnYCBAIFAgYCBwIIAgkCmQILAjwCDQIIAggCCAIIAggCCAIIAggCCAIIAggCCAIIAggCCAIIAggCEQIDAscCHgAC2QICAgMCBAIFAgYCBwIIAgkCCgILAjwCDQIIAggCCAIIAggCCAIIAggCCAIIAggCCAIIAggCCAIIAggCEQIDAkUCHgAC2QICAicCBAIFAgYCBwIIAgkCTwILAjwCDQIIAggCCAIIAggCCAIIAggCCAIIAggCCAIIAggCCAIIAggCEQIDAsYCHgAC2QICAjUCBAIFAgYCBwIIAgkCCgILAjwCDQIIAggCCAIIAggCCAIIAggCCAIIAggCCAIIAggCCAIIAggCEQIDAj8CHgAC2QICAi0CBAIFAgYCBwIIAgkCCgILAjwCDQIIAggCCAIIAggCCAIIAggCCAIIAggCCAIIAggCCAIIAggCEQIDAkcCHgAC2QICAh8CBAIFAgYCBwIIAgkCCgILAjwCDQIIAggCCAIIAggCCAIIAggCCAIIAggCCAIIAggCCAIIAggCEQIDAkkCHgAC2QICAlECBAIFAgYCBwIIAgkCTwILAjwCDQIIAggCCAIIAggCCAIIAggCCAIIAggCCAIIAggCCAIIAggCEQIDArsCHgAC2QICAikCBAIFAgYCBwIIAgkCTwILAjwCDQIIAggCCAIIAggCCAIIAggCCAIIAggCCAIIAggCCAIIAggCEQIDAtQCHgAC2QICAnYCBAIFAgYCBwIIAgkCCgILAjwCDQIIAggCCAIIAggCCAIIAggCCAIIAggCCAIIAggCCAIIAggCEQIDAsQCHgAC2QICAi0CBAIFAgYCBwIIAgkCmQILAjwCDQIIAggCCAIIAggCCAIIAggCCAIIAggCCAIIAggCCAIIAggCEQIDAsoCHgAC2QICAh8CBAIFAgYCBwIIAgkCmQILAjwCDQIIAggCCAIIAggCCAIIAggCCAIIAggCCAIIAggCCAIIAggCEQIDAr0CHgAC2QICAiUCBAIFAgYCBwIIAgkCTwILAjwCDQIIAggCCAIIAggCCAIIAggCCAIIAggCCAIIAggCCAIIAggCEQIDArkCHgAC2QICAgMCBAIFAgYCBwIIAnoAAAQACQKZAgsCPAINAggCCAIIAggCCAIIAggCCAIIAggCCAIIAggCCAIIAggCCAIRAgMCTgIeAALZAgICKQIEAgUCBgIHAggCCQIKAgsCPAINAggCCAIIAggCCAIIAggCCAIIAggCCAIIAggCCAIIAggCCAIRAgMCPgIeAALZAgICKwIEAgUCBgIHAggCCQJPAgsCPAINAggCCAIIAggCCAIIAggCCAIIAggCCAIIAggCCAIIAggCCAIRAgMCugIeAALZAgICIQIEAgUCBgIHAggCCQJPAgsCPAINAggCCAIIAggCCAIIAggCCAIIAggCCAIIAggCCAIIAggCCAIRAgMCvwIeAALZAgICTQIEAgUCBgIHAggCCQJPAgsCPAINAggCCAIIAggCCAIIAggCCAIIAggCCAIIAggCCAIIAggCCAIRAgMC1QIeAALZAgICXgIEAgUCBgIHAggCCQJPAgsCPAINAggCCAIIAggCCAIIAggCCAIIAggCCAIIAggCCAIIAggCCAIRAgMCuAIeAALZAgICJwIEAgUCBgIHAggCCQIKAgsCPAINAggCCAIIAggCCAIIAggCCAIIAggCCAIIAggCCAIIAggCCAIRAgMCPQIeAALZAgICJwIEAgUCBgIHAggCCQKZAgsCPAINAggCCAIIAggCCAIIAggCCAIIAggCCAIIAggCCAIIAggCCAIRAgMCwwIeAALZAgICbQIEAgUCBgIHAggCCQIKAgsCPAINAggCCAIIAggCCAIIAggCCAIIAggCCAIIAggCCAIIAggCCAIRAgMCvgIeAALZAgICbQIEAgUCBgIHAggCCQKZAgsCPAINAggCCAIIAggCCAIIAggCCAIIAggCCAIIAggCCAIIAggCCAIRAgMCwgIeAALZAgICUwIEAgUCBgIHAggCCQKZAgsCPAINAggCCAIIAggCCAIIAggCCAIIAggCCAIIAggCCAIIAggCCAIRAgMCowIeAALZAgICWQIEAgUCBgIHAggCCQJPAgsCPAINAggCCAIIAggCCAIIAggCCAIIAggCCAIIAggCCAIIAggCCAIRAgMCwAIeAALZAgICNQIEAgUCBgIHAggCCQJPAgsCPAINAggCCAIIAggCCAIIAggCCAIIAggCCAIIAggCCAIIAggCCAIRAgMCnwIeAALZAgICKQIEAgUCBgIHAggCCQKZAgsCPAINAggCCAIIAggCCAIIAggCCAIIAggCCAIIAggCCAIIAggCCAIRAgMCTgIeAALZAgICMQIEAgUCBgIHAggCCQJPAgsCPAINAggCCAIIAggCCAIIAggCCAIIAggCCAIIAggCCAIIAggCCAIRAgMCwQIeAALZAgICHXoAAAQAAgQCBQIGAgcCCAIJAk8CCwI8Ag0CCAIIAggCCAIIAggCCAIIAggCCAIIAggCCAIIAggCCAIIAhECAwLMAh4AAtkCAgIlAgQCBQIGAgcCCAIJAgoCCwI8Ag0CCAIIAggCCAIIAggCCAIIAggCCAIIAggCCAIIAggCCAIIAhECAwJKAh4AAtkCAgIvAgQCBQIGAgcCCAIJAgoCCwI8Ag0CCAIIAggCCAIIAggCCAIIAggCCAIIAggCCAIIAggCCAIIAhECAwJGAh4AAtkCAgJiAgQCBQIGAgcCCAIJAk8CCwI8Ag0CCAIIAggCCAIIAggCCAIIAggCCAIIAggCCAIIAggCCAIIAhECAwLNAh4AAtkCAgJTAgQCBQIGAgcCCAIJAgoCCwI8Ag0CCAIIAggCCAIIAggCCAIIAggCCAIIAggCCAIIAggCCAIIAhECAwKgAh4AAtkCAgIvAgQCBQIGAgcCCAIJApkCCwI8Ag0CCAIIAggCCAIIAggCCAIIAggCCAIIAggCCAIIAggCCAIIAhECAwKiAh4AAtkCAgLaAgQCBQIGAgcCCAIJAgoCCwI8Ag0CCAIIAggCCAIIAggCCAIIAggCCAIIAggCCAIIAggCCAIIAhECAwLWAh4AAtkCAgJeAgQCBQIGAgcCCAIJAgoCCwI8Ag0CCAIIAggCCAIIAggCCAIIAggCCAIIAggCCAIIAggCCAIIAhECAwLOAh4AAtkCAgIrAgQCBQIGAgcCCAIJAgoCCwI8Ag0CCAIIAggCCAIIAggCCAIIAggCCAIIAggCCAIIAggCCAIIAhECAwJDAh4AAtkCAgJkAgQCBQIGAgcCCAIJApkCCwI8Ag0CCAIIAggCCAIIAggCCAIIAggCCAIIAggCCAIIAggCCAIIAhECAwKcAh4AAtkCAgJeAgQCBQIGAgcCCAIJApkCCwI8Ag0CCAIIAggCCAIIAggCCAIIAggCCAIIAggCCAIIAggCCAIIAhECAwLFAh4AAtkCAgIrAgQCBQIGAgcCCAIJApkCCwI8Ag0CCAIIAggCCAIIAggCCAIIAggCCAIIAggCCAIIAggCCAIIAhECAwLRAh4AAtkCAgLaAgQCBQIGAgcCCAIJApkCCwI8Ag0CCAIIAggCCAIIAggCCAIIAggCCAIIAggCCAIIAggCCAIIAhECAwJOAh4AAtkCAgJXAgQCBQIGAgcCCAIJAk8CCwI8Ag0CCAIIAggCCAIIAggCCAIIAggCCAIIAggCCAIIAggCCAIIAhECAwLPAh4AAtkCAgJtAgQCBQIGAgcCCAIJAk8CCwI8Ag0CCAIIAggCCAIIAggCCAIIAggCCAIIAggCCAIIAggCCAIIAhECA3oAAAQAAtACHgAC2wAJMzc3MDgxNTYwAgICLwIEAgUCBgIHAggCCQJPAgsCPAINAggCCAIIAggCCAIIAggCCAIIAggCCAIIAggCCAIIAggCCAIiAgMCpAIeAALbAgICMQIEAgUCBgIHAggCCQJPAgsCPAINAggCCAIIAggCCAIIAggCCAIIAggCCAIIAggCCAIIAggCCAIiAgMCwQIeAALbAgICIQIEAgUCBgIHAggCCQJPAgsCPAINAggCCAIIAggCCAIIAggCCAIIAggCCAIIAggCCAIIAggCCAIiAgMCvwIeAALbAgICIwIEAgUCBgIHAggCCQJPAgsCPAINAggCCAIIAggCCAIIAggCCAIIAggCCAIIAggCCAIIAggCCAIiAgMCrgIeAALbAgICLQIEAgUCBgIHAggCCQJPAgsCPAINAggCCAIIAggCCAIIAggCCAIIAggCCAIIAggCCAIIAggCCAIiAgMCnQIeAALbAgICHQIEAgUCBgIHAggCCQJPAgsCPAINAggCCAIIAggCCAIIAggCCAIIAggCCAIIAggCCAIIAggCCAIiAgMCzAIeAALbAgICHwIEAgUCBgIHAggCCQJPAgsCPAINAggCCAIIAggCCAIIAggCCAIIAggCCAIIAggCCAIIAggCCAIiAgMCqwIeAALbAgICAwIEAgUCBgIHAggCCQJPAgsCPAINAggCCAIIAggCCAIIAggCCAIIAggCCAIIAggCCAIIAggCCAIiAgMCsgIeAALbAgICMwIEAgUCBgIHAggCCQJPAgsCPAINAggCCAIIAggCCAIIAggCCAIIAggCCAIIAggCCAIIAggCCAIiAgMCqgIeAALbAgICGwIEAgUCBgIHAggCCQJPAgsCPAINAggCCAIIAggCCAIIAggCCAIIAggCCAIIAggCCAIIAggCCAIiAgMCmwIeAALbAgICJQIEAgUCBgIHAggCCQJPAgsCPAINAggCCAIIAggCCAIIAggCCAIIAggCCAIIAggCCAIIAggCCAIiAgMCuQIeAALbAgICJwIEAgUCBgIHAggCCQJPAgsCPAINAggCCAIIAggCCAIIAggCCAIIAggCCAIIAggCCAIIAggCCAIiAgMCxgIeAALbAgICKwIEAgUCBgIHAggCCQJPAgsCPAINAggCCAIIAggCCAIIAggCCAIIAggCCAIIAggCCAIIAggCCAIiAgMCugIeAALbAgICKQIEAgUCBgIHAggCCQJPAgsCPAINAggCCAIIAggCCAIIAggCCAIIAggCCAIIAggCCAIIAggCCAIiAgMC1AIeAALbAgICNQIEAgUCBgIHAggCCQJPAgsCPAINAggCCAIIAggCCAIIAggCCHoAAAQAAggCCAIIAggCCAIIAggCCAIIAiICAwKfAh4AAtwACTM3MTI1MjY2NAICAlkCBAIFAgYCBwIIAgkCOQILAgwCDQIIAggCCAIIAggCCAIIAggCCAIIAggCCAIIAggCCAIIAggCFgIDAowCHgAC3AICAi0CBAIFAgYCBwIIAgkCTwILAgwCDQIIAggCCAIIAggCCAIIAggCCAIIAggCCAIIAggCCAIIAggCFgIDAo0CHgAC3AICAi8CBAIFAgYCBwIIAgkCCgILAgwCDQIIAggCCAIIAggCCAIIAggCCAIIAggCCAIIAggCCAIIAggCFgIDAjACHgAC3AICAnYCBAIFAgYCBwIIAgkCTwILAgwCDQIIAggCCAIIAggCCAIIAggCCAIIAggCCAIIAggCCAIIAggCFgIDAosCHgAC3AICAnMCBAIFAgYCBwIIAgkCTwILAgwCDQIIAggCCAIIAggCCAIIAggCCAIIAggCCAIIAggCCAIIAggCFgIDAnQCHgAC3AICAl4CBAIFAgYCBwIIAgkCOQILAgwCDQIIAggCCAIIAggCCAIIAggCCAIIAggCCAIIAggCCAIIAggCFgIDAmACHgAC3AICAlUCBAIFAgYCBwIIAgkCCgILAgwCDQIIAggCCAIIAggCCAIIAggCCAIIAggCCAIIAggCCAIIAggCFgIDAlYCHgAC3AICAlcCBAIFAgYCBwIIAgkCCgILAgwCDQIIAggCCAIIAggCCAIIAggCCAIIAggCCAIIAggCCAIIAggCFgIDAnECHgAC3AICAjECBAIFAgYCBwIIAgkCOQILAgwCDQIIAggCCAIIAggCCAIIAggCCAIIAggCCAIIAggCCAIIAggCFgIDAk4CHgAC3AICAisCBAIFAgYCBwIIAgkCOQILAgwCDQIIAggCCAIIAggCCAIIAggCCAIIAggCCAIIAggCCAIIAggCFgIDAlwCHgAC3AICAnMCBAIFAgYCBwIIAgkCCgILAgwCDQIIAggCCAIIAggCCAIIAggCCAIIAggCCAIIAggCCAIIAggCFgIDApACHgAC3AICAhsCBAIFAgYCBwIIAgkCCgILAgwCDQIIAggCCAIIAggCCAIIAggCCAIIAggCCAIIAggCCAIIAggCFgIDAhwCHgAC3AICAiMCBAIFAgYCBwIIAgkCCgILAgwCDQIIAggCCAIIAggCCAIIAggCCAIIAggCCAIIAggCCAIIAggCFgIDAiQCHgAC3AICAlECBAIFAgYCBwIIAgkCOQILAgwCDQIIAggCCAIIAggCCAIIAggCCAIIAggCCAIIAggCCAIIAggCFgIDAlICHgAC3AICAm0CBAIFAgYCBwIIAgkCT3oAAAQAAgsCDAINAggCCAIIAggCCAIIAggCCAIIAggCCAIIAggCCAIIAggCCAIWAgMCbgIeAALcAgICUwIEAgUCBgIHAggCCQJPAgsCDAINAggCCAIIAggCCAIIAggCCAIIAggCCAIIAggCCAIIAggCCAIWAgMCVAIeAALcAgICHQIEAgUCBgIHAggCCQIKAgsCDAINAggCCAIIAggCCAIIAggCCAIIAggCCAIIAggCCAIIAggCCAIWAgMCHgIeAALcAgICYgIEAgUCBgIHAggCCQIKAgsCDAINAggCCAIIAggCCAIIAggCCAIIAggCCAIIAggCCAIIAggCCAIWAgMCYwIeAALcAgICIQIEAgUCBgIHAggCCQI5AgsCDAINAggCCAIIAggCCAIIAggCCAIIAggCCAIIAggCCAIIAggCCAIWAgMCZgIeAALcAgICJQIEAgUCBgIHAggCCQI5AgsCDAINAggCCAIIAggCCAIIAggCCAIIAggCCAIIAggCCAIIAggCCAIWAgMCZwIeAALcAgICZAIEAgUCBgIHAggCCQIKAgsCDAINAggCCAIIAggCCAIIAggCCAIIAggCCAIIAggCCAIIAggCCAIWAgMCZQIeAALcAgICdgIEAgUCBgIHAggCCQIKAgsCDAINAggCCAIIAggCCAIIAggCCAIIAggCCAIIAggCCAIIAggCCAIWAgMChAIeAALcAgICVwIEAgUCBgIHAggCCQJPAgsCDAINAggCCAIIAggCCAIIAggCCAIIAggCCAIIAggCCAIIAggCCAIWAgMCWAIeAALcAgICJwIEAgUCBgIHAggCCQJPAgsCDAINAggCCAIIAggCCAIIAggCCAIIAggCCAIIAggCCAIIAggCCAIWAgMCggIeAALcAgICXgIEAgUCBgIHAggCCQIKAgsCDAINAggCCAIIAggCCAIIAggCCAIIAggCCAIIAggCCAIIAggCCAIWAgMCXwIeAALcAgICKwIEAgUCBgIHAggCCQIKAgsCDAINAggCCAIIAggCCAIIAggCCAIIAggCCAIIAggCCAIIAggCCAIWAgMCLAIeAALcAgICVQIEAgUCBgIHAggCCQI5AgsCDAINAggCCAIIAggCCAIIAggCCAIIAggCCAIIAggCCAIIAggCCAIWAgMCbwIeAALcAgICbQIEAgUCBgIHAggCCQIKAgsCDAINAggCCAIIAggCCAIIAggCCAIIAggCCAIIAggCCAIIAggCCAIWAgMCewIeAALcAgICMwIEAgUCBgIHAggCCQI5AgsCDAINAggCCAIIAggCCAIIAggCCAIIAggCCAIIAggCCAIIAggCCAIWAgMCcAIeAALcAgICHwIEAnoAAAQABQIGAgcCCAIJAjkCCwIMAg0CCAIIAggCCAIIAggCCAIIAggCCAIIAggCCAIIAggCCAIIAhYCAwJ6Ah4AAtwCAgJkAgQCBQIGAgcCCAIJAjkCCwIMAg0CCAIIAggCCAIIAggCCAIIAggCCAIIAggCCAIIAggCCAIIAhYCAwJpAh4AAtwCAgIjAgQCBQIGAgcCCAIJAjkCCwIMAg0CCAIIAggCCAIIAggCCAIIAggCCAIIAggCCAIIAggCCAIIAhYCAwJOAh4AAtwCAgIdAgQCBQIGAgcCCAIJAk8CCwIMAg0CCAIIAggCCAIIAggCCAIIAggCCAIIAggCCAIIAggCCAIIAhYCAwJoAh4AAtwCAgIlAgQCBQIGAgcCCAIJAgoCCwIMAg0CCAIIAggCCAIIAggCCAIIAggCCAIIAggCCAIIAggCCAIIAhYCAwImAh4AAtwCAgJiAgQCBQIGAgcCCAIJAk8CCwIMAg0CCAIIAggCCAIIAggCCAIIAggCCAIIAggCCAIIAggCCAIIAhYCAwJsAh4AAtwCAgI1AgQCBQIGAgcCCAIJAk8CCwIMAg0CCAIIAggCCAIIAggCCAIIAggCCAIIAggCCAIIAggCCAIIAhYCAwJ4Ah4AAtwCAgIbAgQCBQIGAgcCCAIJAk8CCwIMAg0CCAIIAggCCAIIAggCCAIIAggCCAIIAggCCAIIAggCCAIIAhYCAwJyAh4AAtwCAgIxAgQCBQIGAgcCCAIJAk8CCwIMAg0CCAIIAggCCAIIAggCCAIIAggCCAIIAggCCAIIAggCCAIIAhYCAwJqAh4AAtwCAgJTAgQCBQIGAgcCCAIJAgoCCwIMAg0CCAIIAggCCAIIAggCCAIIAggCCAIIAggCCAIIAggCCAIIAhYCAwJ1Ah4AAtwCAgItAgQCBQIGAgcCCAIJAjkCCwIMAg0CCAIIAggCCAIIAggCCAIIAggCCAIIAggCCAIIAggCCAIIAhYCAwJ5Ah4AAtwCAgIrAgQCBQIGAgcCCAIJAk8CCwIMAg0CCAIIAggCCAIIAggCCAIIAggCCAIIAggCCAIIAggCCAIIAhYCAwKVAh4AAtwCAgJ2AgQCBQIGAgcCCAIJAjkCCwIMAg0CCAIIAggCCAIIAggCCAIIAggCCAIIAggCCAIIAggCCAIIAhYCAwJ3Ah4AAtwCAgJeAgQCBQIGAgcCCAIJAk8CCwIMAg0CCAIIAggCCAIIAggCCAIIAggCCAIIAggCCAIIAggCCAIIAhYCAwKTAh4AAtwCAgI1AgQCBQIGAgcCCAIJAjkCCwIMAg0CCAIIAggCCAIIAggCCAIIAggCCAIIAggCCAIIAggCCAIIAhYCAwJOAnoAAAQAHgAC3AICAicCBAIFAgYCBwIIAgkCCgILAgwCDQIIAggCCAIIAggCCAIIAggCCAIIAggCCAIIAggCCAIIAggCFgIDAigCHgAC3AICAiUCBAIFAgYCBwIIAgkCTwILAgwCDQIIAggCCAIIAggCCAIIAggCCAIIAggCCAIIAggCCAIIAggCFgIDAoECHgAC3AICAlkCBAIFAgYCBwIIAgkCTwILAgwCDQIIAggCCAIIAggCCAIIAggCCAIIAggCCAIIAggCCAIIAggCFgIDAmsCHgAC3AICAhsCBAIFAgYCBwIIAgkCOQILAgwCDQIIAggCCAIIAggCCAIIAggCCAIIAggCCAIIAggCCAIIAggCFgIDAoACHgAC3AICAlECBAIFAgYCBwIIAgkCTwILAgwCDQIIAggCCAIIAggCCAIIAggCCAIIAggCCAIIAggCCAIIAggCFgIDAnwCHgAC3AICAh8CBAIFAgYCBwIIAgkCCgILAgwCDQIIAggCCAIIAggCCAIIAggCCAIIAggCCAIIAggCCAIIAggCFgIDAiACHgAC3AICAnMCBAIFAgYCBwIIAgkCOQILAgwCDQIIAggCCAIIAggCCAIIAggCCAIIAggCCAIIAggCCAIIAggCFgIDAn0CHgAC3AICAiECBAIFAgYCBwIIAgkCTwILAgwCDQIIAggCCAIIAggCCAIIAggCCAIIAggCCAIIAggCCAIIAggCFgIDAn4CHgAC3AICAi8CBAIFAgYCBwIIAgkCOQILAgwCDQIIAggCCAIIAggCCAIIAggCCAIIAggCCAIIAggCCAIIAggCFgIDAoUCHgAC3AICAlkCBAIFAgYCBwIIAgkCCgILAgwCDQIIAggCCAIIAggCCAIIAggCCAIIAggCCAIIAggCCAIIAggCFgIDAloCHgAC3AICAjECBAIFAgYCBwIIAgkCCgILAgwCDQIIAggCCAIIAggCCAIIAggCCAIIAggCCAIIAggCCAIIAggCFgIDAjICHgAC3AICAjUCBAIFAgYCBwIIAgkCCgILAgwCDQIIAggCCAIIAggCCAIIAggCCAIIAggCCAIIAggCCAIIAggCFgIDAjYCHgAC3AICAi0CBAIFAgYCBwIIAgkCCgILAgwCDQIIAggCCAIIAggCCAIIAggCCAIIAggCCAIIAggCCAIIAggCFgIDAi4CHgAC3AICAjMCBAIFAgYCBwIIAgkCTwILAgwCDQIIAggCCAIIAggCCAIIAggCCAIIAggCCAIIAggCCAIIAggCFgIDAmECHgAC3AICAlMCBAIFAgYCBwIIAgkCOQILAgwCDQIIAggCCAIIAggCCAIIAggCCAIIAggCCAIIAggCCHoAAAQAAggCCAIWAgMCgwIeAALcAgICVQIEAgUCBgIHAggCCQJPAgsCDAINAggCCAIIAggCCAIIAggCCAIIAggCCAIIAggCCAIIAggCCAIWAgMCXQIeAALcAgICVwIEAgUCBgIHAggCCQI5AgsCDAINAggCCAIIAggCCAIIAggCCAIIAggCCAIIAggCCAIIAggCCAIWAgMCkgIeAALcAgICLwIEAgUCBgIHAggCCQJPAgsCDAINAggCCAIIAggCCAIIAggCCAIIAggCCAIIAggCCAIIAggCCAIWAgMCUAIeAALcAgICHwIEAgUCBgIHAggCCQJPAgsCDAINAggCCAIIAggCCAIIAggCCAIIAggCCAIIAggCCAIIAggCCAIWAgMCjwIeAALcAgICJwIEAgUCBgIHAggCCQI5AgsCDAINAggCCAIIAggCCAIIAggCCAIIAggCCAIIAggCCAIIAggCCAIWAgMCWwIeAALcAgICbQIEAgUCBgIHAggCCQI5AgsCDAINAggCCAIIAggCCAIIAggCCAIIAggCCAIIAggCCAIIAggCCAIWAgMCigIeAALcAgICZAIEAgUCBgIHAggCCQJPAgsCDAINAggCCAIIAggCCAIIAggCCAIIAggCCAIIAggCCAIIAggCCAIWAgMClAIeAALcAgICIwIEAgUCBgIHAggCCQJPAgsCDAINAggCCAIIAggCCAIIAggCCAIIAggCCAIIAggCCAIIAggCCAIWAgMCjgIeAALcAgICIQIEAgUCBgIHAggCCQIKAgsCDAINAggCCAIIAggCCAIIAggCCAIIAggCCAIIAggCCAIIAggCCAIWAgMCIgIeAALcAgICMwIEAgUCBgIHAggCCQIKAgsCDAINAggCCAIIAggCCAIIAggCCAIIAggCCAIIAggCCAIIAggCCAIWAgMCNAIeAALcAgICYgIEAgUCBgIHAggCCQI5AgsCDAINAggCCAIIAggCCAIIAggCCAIIAggCCAIIAggCCAIIAggCCAIWAgMCiQIeAALcAgICHQIEAgUCBgIHAggCCQI5AgsCDAINAggCCAIIAggCCAIIAggCCAIIAggCCAIIAggCCAIIAggCCAIWAgMClgIeAALcAgICUQIEAgUCBgIHAggCCQIKAgsCDAINAggCCAIIAggCCAIIAggCCAIIAggCCAIIAggCCAIIAggCCAIWAgMCiAIeAALdAAk2NjY3MDY0NDACAgLaAgQCBQIGAgcCCAIJAjkCCwIMAg0CCAIIAggCCAIIAggCCAIIAggCCAIIAggCCAIIAggCCAIIAhACAwJOAh4AAt0CAgJeAgQCBQIGAgcCCAIJAjkCCwIMAg0CCAIIAggCCHoAAAQAAggCCAIIAggCCAIIAggCCAIIAggCCAIIAggCEAIDAmACHgAC3QICAisCBAIFAgYCBwIIAgkCOQILAgwCDQIIAggCCAIIAggCCAIIAggCCAIIAggCCAIIAggCCAIIAggCEAIDAlwCHgAC3QICAlcCBAIFAgYCBwIIAgkCCgILAgwCDQIIAggCCAIIAggCCAIIAggCCAIIAggCCAIIAggCCAIIAggCEAIDAnECHgAC3QICAnMCBAIFAgYCBwIIAgkCTwILAgwCDQIIAggCCAIIAggCCAIIAggCCAIIAggCCAIIAggCCAIIAggCEAIDAnQCHgAC3QICAjMCBAIFAgYCBwIIAgkCCgILAgwCDQIIAggCCAIIAggCCAIIAggCCAIIAggCCAIIAggCCAIIAggCEAIDAjQCHgAC3QICAlMCBAIFAgYCBwIIAgkCCgILAgwCDQIIAggCCAIIAggCCAIIAggCCAIIAggCCAIIAggCCAIIAggCEAIDAnUCHgAC3QICAiUCBAIFAgYCBwIIAgkCOQILAgwCDQIIAggCCAIIAggCCAIIAggCCAIIAggCCAIIAggCCAIIAggCEAIDAmcCHgAC3QICAhsCBAIFAgYCBwIIAgkCTwILAgwCDQIIAggCCAIIAggCCAIIAggCCAIIAggCCAIIAggCCAIIAggCEAIDAnICHgAC3QICAlECBAIFAgYCBwIIAgkCOQILAgwCDQIIAggCCAIIAggCCAIIAggCCAIIAggCCAIIAggCCAIIAggCEAIDAlICHgAC3QICAmICBAIFAgYCBwIIAgkCOQILAgwCDQIIAggCCAIIAggCCAIIAggCCAIIAggCCAIIAggCCAIIAggCEAIDAokCHgAC3QICAlMCBAIFAgYCBwIIAgkCTwILAgwCDQIIAggCCAIIAggCCAIIAggCCAIIAggCCAIIAggCCAIIAggCEAIDAlQCHgAC3QICAi8CBAIFAgYCBwIIAgkCTwILAgwCDQIIAggCCAIIAggCCAIIAggCCAIIAggCCAIIAggCCAIIAggCEAIDAlACHgAC3QICAiECBAIFAgYCBwIIAgkCOQILAgwCDQIIAggCCAIIAggCCAIIAggCCAIIAggCCAIIAggCCAIIAggCEAIDAmYCHgAC3QICAmQCBAIFAgYCBwIIAgkCCgILAgwCDQIIAggCCAIIAggCCAIIAggCCAIIAggCCAIIAggCCAIIAggCEAIDAmUCHgAC3QICAiMCBAIFAgYCBwIIAgkCCgILAgwCDQIIAggCCAIIAggCCAIIAggCCAIIAggCCAIIAggCCAIIAggCEAIDAiQCHgAC3QICAmICBAIFAgYCBwIIAgkCCgILAnoAAAQADAINAggCCAIIAggCCAIIAggCCAIIAggCCAIIAggCCAIIAggCCAIQAgMCYwIeAALdAgICHQIEAgUCBgIHAggCCQIKAgsCDAINAggCCAIIAggCCAIIAggCCAIIAggCCAIIAggCCAIIAggCCAIQAgMCHgIeAALdAgICTQIEAgUCBgIHAggCCQI5AgsCDAINAggCCAIIAggCCAIIAggCCAIIAggCCAIIAggCCAIIAggCCAIQAgMCTgIeAALdAgICMQIEAgUCBgIHAggCCQI5AgsCDAINAggCCAIIAggCCAIIAggCCAIIAggCCAIIAggCCAIIAggCCAIQAgMCTgIeAALdAgICWQIEAgUCBgIHAggCCQI5AgsCDAINAggCCAIIAggCCAIIAggCCAIIAggCCAIIAggCCAIIAggCCAIQAgMCjAIeAALdAgICVQIEAgUCBgIHAggCCQIKAgsCDAINAggCCAIIAggCCAIIAggCCAIIAggCCAIIAggCCAIIAggCCAIQAgMCVgIeAALdAgICMwIEAgUCBgIHAggCCQJPAgsCDAINAggCCAIIAggCCAIIAggCCAIIAggCCAIIAggCCAIIAggCCAIQAgMCYQIeAALdAgICVQIEAgUCBgIHAggCCQJPAgsCDAINAggCCAIIAggCCAIIAggCCAIIAggCCAIIAggCCAIIAggCCAIQAgMCXQIeAALdAgICKQIEAgUCBgIHAggCCQI5AgsCDAINAggCCAIIAggCCAIIAggCCAIIAggCCAIIAggCCAIIAggCCAIQAgMCTgIeAALdAgICZAIEAgUCBgIHAggCCQJPAgsCDAINAggCCAIIAggCCAIIAggCCAIIAggCCAIIAggCCAIIAggCCAIQAgMClAIeAALdAgICMQIEAgUCBgIHAggCCQIKAgsCDAINAggCCAIIAggCCAIIAggCCAIIAggCCAIIAggCCAIIAggCCAIQAgMCMgIeAALdAgICNQIEAgUCBgIHAggCCQIKAgsCDAINAggCCAIIAggCCAIIAggCCAIIAggCCAIIAggCCAIIAggCCAIQAgMCNgIeAALdAgICGwIEAgUCBgIHAggCCQIKAgsCDAINAggCCAIIAggCCAIIAggCCAIIAggCCAIIAggCCAIIAggCCAIQAgMCHAIeAALdAgICLwIEAgUCBgIHAggCCQI5AgsCDAINAggCCAIIAggCCAIIAggCCAIIAggCCAIIAggCCAIIAggCCAIQAgMChQIeAALdAgICUwIEAgUCBgIHAggCCQI5AgsCDAINAggCCAIIAggCCAIIAggCCAIIAggCCAIIAggCCAIIAggCCAIQAgMCgwIeAALdAgICUQIEAgUCBnoAAAQAAgcCCAIJAgoCCwIMAg0CCAIIAggCCAIIAggCCAIIAggCCAIIAggCCAIIAggCCAIIAhACAwKIAh4AAt0CAgJNAgQCBQIGAgcCCAIJAgoCCwIMAg0CCAIIAggCCAIIAggCCAIIAggCCAIIAggCCAIIAggCCAIIAhACAwKHAh4AAt0CAgIhAgQCBQIGAgcCCAIJAgoCCwIMAg0CCAIIAggCCAIIAggCCAIIAggCCAIIAggCCAIIAggCCAIIAhACAwIiAh4AAt0CAgIdAgQCBQIGAgcCCAIJAjkCCwIMAg0CCAIIAggCCAIIAggCCAIIAggCCAIIAggCCAIIAggCCAIIAhACAwKWAh4AAt0CAgJ2AgQCBQIGAgcCCAIJAk8CCwIMAg0CCAIIAggCCAIIAggCCAIIAggCCAIIAggCCAIIAggCCAIIAhACAwKLAh4AAt0CAgJzAgQCBQIGAgcCCAIJAgoCCwIMAg0CCAIIAggCCAIIAggCCAIIAggCCAIIAggCCAIIAggCCAIIAhACAwKQAh4AAt0CAgJZAgQCBQIGAgcCCAIJAgoCCwIMAg0CCAIIAggCCAIIAggCCAIIAggCCAIIAggCCAIIAggCCAIIAhACAwJaAh4AAt0CAgIDAgQCBQIGAgcCCAIJAk8CCwIMAg0CCAIIAggCCAIIAggCCAIIAggCCAIIAggCCAIIAggCCAIIAhACAwKRAh4AAt0CAgInAgQCBQIGAgcCCAIJAjkCCwIMAg0CCAIIAggCCAIIAggCCAIIAggCCAIIAggCCAIIAggCCAIIAhACAwJbAh4AAt0CAgJtAgQCBQIGAgcCCAIJAjkCCwIMAg0CCAIIAggCCAIIAggCCAIIAggCCAIIAggCCAIIAggCCAIIAhACAwKKAh4AAt0CAgItAgQCBQIGAgcCCAIJAk8CCwIMAg0CCAIIAggCCAIIAggCCAIIAggCCAIIAggCCAIIAggCCAIIAhACAwKNAh4AAt0CAgIfAgQCBQIGAgcCCAIJAk8CCwIMAg0CCAIIAggCCAIIAggCCAIIAggCCAIIAggCCAIIAggCCAIIAhACAwKPAh4AAt0CAgIjAgQCBQIGAgcCCAIJAk8CCwIMAg0CCAIIAggCCAIIAggCCAIIAggCCAIIAggCCAIIAggCCAIIAhACAwKOAh4AAt0CAgJXAgQCBQIGAgcCCAIJAjkCCwIMAg0CCAIIAggCCAIIAggCCAIIAggCCAIIAggCCAIIAggCCAIIAhACAwKSAh4AAt0CAgIlAgQCBQIGAgcCCAIJAk8CCwIMAg0CCAIIAggCCAIIAggCCAIIAggCCAIIAggCCAIIAggCCAIIAhACAwKBAh4AAnoAAAQA3QICAl4CBAIFAgYCBwIIAgkCTwILAgwCDQIIAggCCAIIAggCCAIIAggCCAIIAggCCAIIAggCCAIIAggCEAIDApMCHgAC3QICAicCBAIFAgYCBwIIAgkCCgILAgwCDQIIAggCCAIIAggCCAIIAggCCAIIAggCCAIIAggCCAIIAggCEAIDAigCHgAC3QICAtoCBAIFAgYCBwIIAgkCTwILAgwCDQIIAggCCAIIAggCCAIIAggCCAIIAggCCAIIAggCCAIIAggCEAIDAn8CHgAC3QICAi0CBAIFAgYCBwIIAgkCOQILAgwCDQIIAggCCAIIAggCCAIIAggCCAIIAggCCAIIAggCCAIIAggCEAIDAnkCHgAC3QICAisCBAIFAgYCBwIIAgkCTwILAgwCDQIIAggCCAIIAggCCAIIAggCCAIIAggCCAIIAggCCAIIAggCEAIDApUCHgAC3QICAikCBAIFAgYCBwIIAgkCCgILAgwCDQIIAggCCAIIAggCCAIIAggCCAIIAggCCAIIAggCCAIIAggCEAIDAioCHgAC3QICAjECBAIFAgYCBwIIAgkCTwILAgwCDQIIAggCCAIIAggCCAIIAggCCAIIAggCCAIIAggCCAIIAggCEAIDAmoCHgAC3QICAnYCBAIFAgYCBwIIAgkCOQILAgwCDQIIAggCCAIIAggCCAIIAggCCAIIAggCCAIIAggCCAIIAggCEAIDAncCHgAC3QICAm0CBAIFAgYCBwIIAgkCCgILAgwCDQIIAggCCAIIAggCCAIIAggCCAIIAggCCAIIAggCCAIIAggCEAIDAnsCHgAC3QICAlkCBAIFAgYCBwIIAgkCTwILAgwCDQIIAggCCAIIAggCCAIIAggCCAIIAggCCAIIAggCCAIIAggCEAIDAmsCHgAC3QICAh8CBAIFAgYCBwIIAgkCCgILAgwCDQIIAggCCAIIAggCCAIIAggCCAIIAggCCAIIAggCCAIIAggCEAIDAiACHgAC3QICAjUCBAIFAgYCBwIIAgkCOQILAgwCDQIIAggCCAIIAggCCAIIAggCCAIIAggCCAIIAggCCAIIAggCEAIDAk4CHgAC3QICAk0CBAIFAgYCBwIIAgkCTwILAgwCDQIIAggCCAIIAggCCAIIAggCCAIIAggCCAIIAggCCAIIAggCEAIDAn8CHgAC3QICAnMCBAIFAgYCBwIIAgkCOQILAgwCDQIIAggCCAIIAggCCAIIAggCCAIIAggCCAIIAggCCAIIAggCEAIDAn0CHgAC3QICAhsCBAIFAgYCBwIIAgkCOQILAgwCDQIIAggCCAIIAggCCAIIAggCCAIIAggCCAIIAggCCAIIAnoAAAQACAIQAgMCgAIeAALdAgICUQIEAgUCBgIHAggCCQJPAgsCDAINAggCCAIIAggCCAIIAggCCAIIAggCCAIIAggCCAIIAggCCAIQAgMCfAIeAALdAgICIQIEAgUCBgIHAggCCQJPAgsCDAINAggCCAIIAggCCAIIAggCCAIIAggCCAIIAggCCAIIAggCCAIQAgMCfgIeAALdAgICAwIEAgUCBgIHAggCCQIKAgsCDAINAggCCAIIAggCCAIIAggCCAIIAggCCAIIAggCCAIIAggCCAIQAgMCDgIeAALdAgIC2gIEAgUCBgIHAggCCQIKAgsCDAINAggCCAIIAggCCAIIAggCCAIIAggCCAIIAggCCAIIAggCCAIQAgMChwIeAALdAgICKwIEAgUCBgIHAggCCQIKAgsCDAINAggCCAIIAggCCAIIAggCCAIIAggCCAIIAggCCAIIAggCCAIQAgMCLAIeAALdAgICXgIEAgUCBgIHAggCCQIKAgsCDAINAggCCAIIAggCCAIIAggCCAIIAggCCAIIAggCCAIIAggCCAIQAgMCXwIeAALdAgICLQIEAgUCBgIHAggCCQIKAgsCDAINAggCCAIIAggCCAIIAggCCAIIAggCCAIIAggCCAIIAggCCAIQAgMCLgIeAALdAgICdgIEAgUCBgIHAggCCQIKAgsCDAINAggCCAIIAggCCAIIAggCCAIIAggCCAIIAggCCAIIAggCCAIQAgMChAIeAALdAgICVwIEAgUCBgIHAggCCQJPAgsCDAINAggCCAIIAggCCAIIAggCCAIIAggCCAIIAggCCAIIAggCCAIQAgMCWAIeAALdAgICJwIEAgUCBgIHAggCCQJPAgsCDAINAggCCAIIAggCCAIIAggCCAIIAggCCAIIAggCCAIIAggCCAIQAgMCggIeAALdAgICbQIEAgUCBgIHAggCCQJPAgsCDAINAggCCAIIAggCCAIIAggCCAIIAggCCAIIAggCCAIIAggCCAIQAgMCbgIeAALdAgICHwIEAgUCBgIHAggCCQI5AgsCDAINAggCCAIIAggCCAIIAggCCAIIAggCCAIIAggCCAIIAggCCAIQAgMCegIeAALdAgICKQIEAgUCBgIHAggCCQJPAgsCDAINAggCCAIIAggCCAIIAggCCAIIAggCCAIIAggCCAIIAggCCAIQAgMChgIeAALdAgICZAIEAgUCBgIHAggCCQI5AgsCDAINAggCCAIIAggCCAIIAggCCAIIAggCCAIIAggCCAIIAggCCAIQAgMCaQIeAALdAgICIwIEAgUCBgIHAggCCQI5AgsCDAINAggCCAIIAggCCAIIAggCCAIIAggCCHoAAAQAAggCCAIIAggCCAIIAhACAwJOAh4AAt0CAgI1AgQCBQIGAgcCCAIJAk8CCwIMAg0CCAIIAggCCAIIAggCCAIIAggCCAIIAggCCAIIAggCCAIIAhACAwJ4Ah4AAt0CAgJiAgQCBQIGAgcCCAIJAk8CCwIMAg0CCAIIAggCCAIIAggCCAIIAggCCAIIAggCCAIIAggCCAIIAhACAwJsAh4AAt0CAgIDAgQCBQIGAgcCCAIJAjkCCwIMAg0CCAIIAggCCAIIAggCCAIIAggCCAIIAggCCAIIAggCCAIIAhACAwJOAh4AAt0CAgIlAgQCBQIGAgcCCAIJAgoCCwIMAg0CCAIIAggCCAIIAggCCAIIAggCCAIIAggCCAIIAggCCAIIAhACAwImAh4AAt0CAgIvAgQCBQIGAgcCCAIJAgoCCwIMAg0CCAIIAggCCAIIAggCCAIIAggCCAIIAggCCAIIAggCCAIIAhACAwIwAh4AAt0CAgIzAgQCBQIGAgcCCAIJAjkCCwIMAg0CCAIIAggCCAIIAggCCAIIAggCCAIIAggCCAIIAggCCAIIAhACAwJwAh4AAt0CAgJVAgQCBQIGAgcCCAIJAjkCCwIMAg0CCAIIAggCCAIIAggCCAIIAggCCAIIAggCCAIIAggCCAIIAhACAwJvAh4AAt0CAgIdAgQCBQIGAgcCCAIJAk8CCwIMAg0CCAIIAggCCAIIAggCCAIIAggCCAIIAggCCAIIAggCCAIIAhACAwJoAh4AAt4ACTM3MTI0OTE4NAICAm0CBAIFAgYCBwIIAgkCCgILAjwCDQIIAggCCAIIAggCCAIIAggCCAIIAggCCAIIAggCCAIIAggCEwIDAr4CHgAC3gICAjUCBAIFAgYCBwIIAgkCmQILAjwCDQIIAggCCAIIAggCCAIIAggCCAIIAggCCAIIAggCCAIIAggCEwIDAk4CHgAC3gICAlECBAIFAgYCBwIIAgkCTwILAjwCDQIIAggCCAIIAggCCAIIAggCCAIIAggCCAIIAggCCAIIAggCEwIDArsCHgAC3gICAh8CBAIFAgYCBwIIAgkCCgILAjwCDQIIAggCCAIIAggCCAIIAggCCAIIAggCCAIIAggCCAIIAggCEwIDAkkCHgAC3gICAi0CBAIFAgYCBwIIAgkCmQILAjwCDQIIAggCCAIIAggCCAIIAggCCAIIAggCCAIIAggCCAIIAggCEwIDAsoCHgAC3gICAicCBAIFAgYCBwIIAgkCTwILAjwCDQIIAggCCAIIAggCCAIIAggCCAIIAggCCAIIAggCCAIIAggCEwIDAsYCHgAC3gICAikCBAIFAgYCBwIIAgkCTwILAjwCDXoAAAQAAggCCAIIAggCCAIIAggCCAIIAggCCAIIAggCCAIIAggCCAITAgMC1AIeAALeAgICdgIEAgUCBgIHAggCCQKZAgsCPAINAggCCAIIAggCCAIIAggCCAIIAggCCAIIAggCCAIIAggCCAITAgMCxwIeAALeAgICNQIEAgUCBgIHAggCCQIKAgsCPAINAggCCAIIAggCCAIIAggCCAIIAggCCAIIAggCCAIIAggCCAITAgMCPwIeAALeAgICcwIEAgUCBgIHAggCCQKZAgsCPAINAggCCAIIAggCCAIIAggCCAIIAggCCAIIAggCCAIIAggCCAITAgMCtAIeAALeAgICGwIEAgUCBgIHAggCCQKZAgsCPAINAggCCAIIAggCCAIIAggCCAIIAggCCAIIAggCCAIIAggCCAITAgMCtwIeAALeAgICAwIEAgUCBgIHAggCCQJPAgsCPAINAggCCAIIAggCCAIIAggCCAIIAggCCAIIAggCCAIIAggCCAITAgMCsgIeAALeAgICHwIEAgUCBgIHAggCCQJPAgsCPAINAggCCAIIAggCCAIIAggCCAIIAggCCAIIAggCCAIIAggCCAITAgMCqwIeAALeAgICYgIEAgUCBgIHAggCCQJPAgsCPAINAggCCAIIAggCCAIIAggCCAIIAggCCAIIAggCCAIIAggCCAITAgMCzQIeAALeAgICHQIEAgUCBgIHAggCCQJPAgsCPAINAggCCAIIAggCCAIIAggCCAIIAggCCAIIAggCCAIIAggCCAITAgMCzAIeAALeAgICUwIEAgUCBgIHAggCCQKZAgsCPAINAggCCAIIAggCCAIIAggCCAIIAggCCAIIAggCCAIIAggCCAITAgMCowIeAALeAgICcwIEAgUCBgIHAggCCQIKAgsCPAINAggCCAIIAggCCAIIAggCCAIIAggCCAIIAggCCAIIAggCCAITAgMCtQIeAALeAgICGwIEAgUCBgIHAggCCQIKAgsCPAINAggCCAIIAggCCAIIAggCCAIIAggCCAIIAggCCAIIAggCCAITAgMCQgIeAALeAgICJQIEAgUCBgIHAggCCQIKAgsCPAINAggCCAIIAggCCAIIAggCCAIIAggCCAIIAggCCAIIAggCCAITAgMCSgIeAALeAgICWQIEAgUCBgIHAggCCQJPAgsCPAINAggCCAIIAggCCAIIAggCCAIIAggCCAIIAggCCAIIAggCCAITAgMCwAIeAALeAgICJwIEAgUCBgIHAggCCQKZAgsCPAINAggCCAIIAggCCAIIAggCCAIIAggCCAIIAggCCAIIAggCCAITAgMCwwIeAALeAgICLwIEAgUCBgIHAnoAAAQACAIJApkCCwI8Ag0CCAIIAggCCAIIAggCCAIIAggCCAIIAggCCAIIAggCCAIIAhMCAwKiAh4AAt4CAgJTAgQCBQIGAgcCCAIJAgoCCwI8Ag0CCAIIAggCCAIIAggCCAIIAggCCAIIAggCCAIIAggCCAIIAhMCAwKgAh4AAt4CAgIpAgQCBQIGAgcCCAIJApkCCwI8Ag0CCAIIAggCCAIIAggCCAIIAggCCAIIAggCCAIIAggCCAIIAhMCAwJOAh4AAt4CAgI1AgQCBQIGAgcCCAIJAk8CCwI8Ag0CCAIIAggCCAIIAggCCAIIAggCCAIIAggCCAIIAggCCAIIAhMCAwKfAh4AAt4CAgIxAgQCBQIGAgcCCAIJAk8CCwI8Ag0CCAIIAggCCAIIAggCCAIIAggCCAIIAggCCAIIAggCCAIIAhMCAwLBAh4AAt4CAgJXAgQCBQIGAgcCCAIJAgoCCwI8Ag0CCAIIAggCCAIIAggCCAIIAggCCAIIAggCCAIIAggCCAIIAhMCAwKYAh4AAt4CAgIpAgQCBQIGAgcCCAIJAgoCCwI8Ag0CCAIIAggCCAIIAggCCAIIAggCCAIIAggCCAIIAggCCAIIAhMCAwI+Ah4AAt4CAgInAgQCBQIGAgcCCAIJAgoCCwI8Ag0CCAIIAggCCAIIAggCCAIIAggCCAIIAggCCAIIAggCCAIIAhMCAwI9Ah4AAt4CAgJzAgQCBQIGAgcCCAIJAk8CCwI8Ag0CCAIIAggCCAIIAggCCAIIAggCCAIIAggCCAIIAggCCAIIAhMCAwKmAh4AAt4CAgJXAgQCBQIGAgcCCAIJApkCCwI8Ag0CCAIIAggCCAIIAggCCAIIAggCCAIIAggCCAIIAggCCAIIAhMCAwKnAh4AAt4CAgJtAgQCBQIGAgcCCAIJApkCCwI8Ag0CCAIIAggCCAIIAggCCAIIAggCCAIIAggCCAIIAggCCAIIAhMCAwLCAh4AAt4CAgIhAgQCBQIGAgcCCAIJAk8CCwI8Ag0CCAIIAggCCAIIAggCCAIIAggCCAIIAggCCAIIAggCCAIIAhMCAwK/Ah4AAt4CAgJkAgQCBQIGAgcCCAIJAgoCCwI8Ag0CCAIIAggCCAIIAggCCAIIAggCCAIIAggCCAIIAggCCAIIAhMCAwLLAh4AAt4CAgJiAgQCBQIGAgcCCAIJApkCCwI8Ag0CCAIIAggCCAIIAggCCAIIAggCCAIIAggCCAIIAggCCAIIAhMCAwKxAh4AAt4CAgIxAgQCBQIGAgcCCAIJApkCCwI8Ag0CCAIIAggCCAIIAggCCAIIAggCCAIIAggCCAIIAggCCAIIAhMCAwJOAh4AAt4CAnoAAAQAAlMCBAIFAgYCBwIIAgkCTwILAjwCDQIIAggCCAIIAggCCAIIAggCCAIIAggCCAIIAggCCAIIAggCEwIDAsgCHgAC3gICAh0CBAIFAgYCBwIIAgkCCgILAjwCDQIIAggCCAIIAggCCAIIAggCCAIIAggCCAIIAggCCAIIAggCEwIDAkgCHgAC3gICAiMCBAIFAgYCBwIIAgkCCgILAjwCDQIIAggCCAIIAggCCAIIAggCCAIIAggCCAIIAggCCAIIAggCEwIDAksCHgAC3gICAh0CBAIFAgYCBwIIAgkCmQILAjwCDQIIAggCCAIIAggCCAIIAggCCAIIAggCCAIIAggCCAIIAggCEwIDAqECHgAC3gICAjMCBAIFAgYCBwIIAgkCCgILAjwCDQIIAggCCAIIAggCCAIIAggCCAIIAggCCAIIAggCCAIIAggCEwIDAkACHgAC3gICAmICBAIFAgYCBwIIAgkCCgILAjwCDQIIAggCCAIIAggCCAIIAggCCAIIAggCCAIIAggCCAIIAggCEwIDAqwCHgAC3gICAmQCBAIFAgYCBwIIAgkCmQILAjwCDQIIAggCCAIIAggCCAIIAggCCAIIAggCCAIIAggCCAIIAggCEwIDApwCHgAC3gICAhsCBAIFAgYCBwIIAgkCTwILAjwCDQIIAggCCAIIAggCCAIIAggCCAIIAggCCAIIAggCCAIIAggCEwIDApsCHgAC3gICAjMCBAIFAgYCBwIIAgkCTwILAjwCDQIIAggCCAIIAggCCAIIAggCCAIIAggCCAIIAggCCAIIAggCEwIDAqoCHgAC3gICAlUCBAIFAgYCBwIIAgkCTwILAjwCDQIIAggCCAIIAggCCAIIAggCCAIIAggCCAIIAggCCAIIAggCEwIDArYCHgAC3gICAjECBAIFAgYCBwIIAgkCCgILAjwCDQIIAggCCAIIAggCCAIIAggCCAIIAggCCAIIAggCCAIIAggCEwIDAkECHgAC3gICAl4CBAIFAgYCBwIIAgkCCgILAjwCDQIIAggCCAIIAggCCAIIAggCCAIIAggCCAIIAggCCAIIAggCEwIDAs4CHgAC3gICAlkCBAIFAgYCBwIIAgkCCgILAjwCDQIIAggCCAIIAggCCAIIAggCCAIIAggCCAIIAggCCAIIAggCEwIDAqkCHgAC3gICAisCBAIFAgYCBwIIAgkCCgILAjwCDQIIAggCCAIIAggCCAIIAggCCAIIAggCCAIIAggCCAIIAggCEwIDAkMCHgAC3gICAiUCBAIFAgYCBwIIAgkCmQILAjwCDQIIAggCCAIIAggCCAIIAggCCAIIAggCCAIIAggCCAIIAggCE3oAAAQAAgMCyQIeAALeAgICVwIEAgUCBgIHAggCCQJPAgsCPAINAggCCAIIAggCCAIIAggCCAIIAggCCAIIAggCCAIIAggCCAITAgMCzwIeAALeAgICKwIEAgUCBgIHAggCCQKZAgsCPAINAggCCAIIAggCCAIIAggCCAIIAggCCAIIAggCCAIIAggCCAITAgMC0QIeAALeAgICZAIEAgUCBgIHAggCCQJPAgsCPAINAggCCAIIAggCCAIIAggCCAIIAggCCAIIAggCCAIIAggCCAITAgMCrQIeAALeAgICLwIEAgUCBgIHAggCCQIKAgsCPAINAggCCAIIAggCCAIIAggCCAIIAggCCAIIAggCCAIIAggCCAITAgMCRgIeAALeAgICdgIEAgUCBgIHAggCCQJPAgsCPAINAggCCAIIAggCCAIIAggCCAIIAggCCAIIAggCCAIIAggCCAITAgMCngIeAALeAgICLQIEAgUCBgIHAggCCQJPAgsCPAINAggCCAIIAggCCAIIAggCCAIIAggCCAIIAggCCAIIAggCCAITAgMCnQIeAALeAgICIwIEAgUCBgIHAggCCQJPAgsCPAINAggCCAIIAggCCAIIAggCCAIIAggCCAIIAggCCAIIAggCCAITAgMCrgIeAALeAgICXgIEAgUCBgIHAggCCQKZAgsCPAINAggCCAIIAggCCAIIAggCCAIIAggCCAIIAggCCAIIAggCCAITAgMCxQIeAALeAgICWQIEAgUCBgIHAggCCQKZAgsCPAINAggCCAIIAggCCAIIAggCCAIIAggCCAIIAggCCAIIAggCCAITAgMCswIeAALeAgICIQIEAgUCBgIHAggCCQIKAgsCPAINAggCCAIIAggCCAIIAggCCAIIAggCCAIIAggCCAIIAggCCAITAgMCRAIeAALeAgICUQIEAgUCBgIHAggCCQIKAgsCPAINAggCCAIIAggCCAIIAggCCAIIAggCCAIIAggCCAIIAggCCAITAgMCvAIeAALeAgICIQIEAgUCBgIHAggCCQKZAgsCPAINAggCCAIIAggCCAIIAggCCAIIAggCCAIIAggCCAIIAggCCAITAgMCsAIeAALeAgICbQIEAgUCBgIHAggCCQJPAgsCPAINAggCCAIIAggCCAIIAggCCAIIAggCCAIIAggCCAIIAggCCAITAgMC0AIeAALeAgICUQIEAgUCBgIHAggCCQKZAgsCPAINAggCCAIIAggCCAIIAggCCAIIAggCCAIIAggCCAIIAggCCAITAgMCrwIeAALeAgICKwIEAgUCBgIHAggCCQJPAgsCPAINAggCCAIIAggCCAIIAggCCAIIAggCCAIIAnoAAAQACAIIAggCCAIIAhMCAwK6Ah4AAt4CAgJ2AgQCBQIGAgcCCAIJAgoCCwI8Ag0CCAIIAggCCAIIAggCCAIIAggCCAIIAggCCAIIAggCCAIIAhMCAwLEAh4AAt4CAgJVAgQCBQIGAgcCCAIJApkCCwI8Ag0CCAIIAggCCAIIAggCCAIIAggCCAIIAggCCAIIAggCCAIIAhMCAwKaAh4AAt4CAgItAgQCBQIGAgcCCAIJAgoCCwI8Ag0CCAIIAggCCAIIAggCCAIIAggCCAIIAggCCAIIAggCCAIIAhMCAwJHAh4AAt4CAgJeAgQCBQIGAgcCCAIJAk8CCwI8Ag0CCAIIAggCCAIIAggCCAIIAggCCAIIAggCCAIIAggCCAIIAhMCAwK4Ah4AAt4CAgIjAgQCBQIGAgcCCAIJApkCCwI8Ag0CCAIIAggCCAIIAggCCAIIAggCCAIIAggCCAIIAggCCAIIAhMCAwJOAh4AAt4CAgIzAgQCBQIGAgcCCAIJApkCCwI8Ag0CCAIIAggCCAIIAggCCAIIAggCCAIIAggCCAIIAggCCAIIAhMCAwKoAh4AAt4CAgIfAgQCBQIGAgcCCAIJApkCCwI8Ag0CCAIIAggCCAIIAggCCAIIAggCCAIIAggCCAIIAggCCAIIAhMCAwK9Ah4AAt4CAgJVAgQCBQIGAgcCCAIJAgoCCwI8Ag0CCAIIAggCCAIIAggCCAIIAggCCAIIAggCCAIIAggCCAIIAhMCAwKlAh4AAt4CAgIDAgQCBQIGAgcCCAIJApkCCwI8Ag0CCAIIAggCCAIIAggCCAIIAggCCAIIAggCCAIIAggCCAIIAhMCAwJOAh4AAt4CAgIDAgQCBQIGAgcCCAIJAgoCCwI8Ag0CCAIIAggCCAIIAggCCAIIAggCCAIIAggCCAIIAggCCAIIAhMCAwJFAh4AAt4CAgIlAgQCBQIGAgcCCAIJAk8CCwI8Ag0CCAIIAggCCAIIAggCCAIIAggCCAIIAggCCAIIAggCCAIIAhMCAwK5Ah4AAt4CAgIvAgQCBQIGAgcCCAIJAk8CCwI8Ag0CCAIIAggCCAIIAggCCAIIAggCCAIIAggCCAIIAggCCAIIAhMCAwKkAh4AAt8ACTM3MTI1MzgyNAICAmICBAIFAgYCBwIIAgkCmQILAjwCDQIIAggCCAIIAggCCAIIAggCCAIIAggCCAIIAggCCAIIAggCFwIDArECHgAC3wICAh0CBAIFAgYCBwIIAgkCmQILAjwCDQIIAggCCAIIAggCCAIIAggCCAIIAggCCAIIAggCCAIIAggCFwIDAqECHgAC3wICAmQCBAIFAgYCBwIIAgkCCgILAjwCDQIIAnoAAAQACAIIAggCCAIIAggCCAIIAggCCAIIAggCCAIIAggCCAIXAgMCywIeAALfAgICIwIEAgUCBgIHAggCCQIKAgsCPAINAggCCAIIAggCCAIIAggCCAIIAggCCAIIAggCCAIIAggCCAIXAgMCSwIeAALfAgICWQIEAgUCBgIHAggCCQKZAgsCPAINAggCCAIIAggCCAIIAggCCAIIAggCCAIIAggCCAIIAggCCAIXAgMCswIeAALfAgICZAIEAgUCBgIHAggCCQKZAgsCPAINAggCCAIIAggCCAIIAggCCAIIAggCCAIIAggCCAIIAggCCAIXAgMCnAIeAALfAgICVQIEAgUCBgIHAggCCQIKAgsCPAINAggCCAIIAggCCAIIAggCCAIIAggCCAIIAggCCAIIAggCCAIXAgMCpQIeAALfAgICMQIEAgUCBgIHAggCCQKZAgsCPAINAggCCAIIAggCCAIIAggCCAIIAggCCAIIAggCCAIIAggCCAIXAgMCTgIeAALfAgICGwIEAgUCBgIHAggCCQJPAgsCPAINAggCCAIIAggCCAIIAggCCAIIAggCCAIIAggCCAIIAggCCAIXAgMCmwIeAALfAgICVwIEAgUCBgIHAggCCQJPAgsCPAINAggCCAIIAggCCAIIAggCCAIIAggCCAIIAggCCAIIAggCCAIXAgMCzwIeAALfAgICKwIEAgUCBgIHAggCCQKZAgsCPAINAggCCAIIAggCCAIIAggCCAIIAggCCAIIAggCCAIIAggCCAIXAgMC0QIeAALfAgICMQIEAgUCBgIHAggCCQIKAgsCPAINAggCCAIIAggCCAIIAggCCAIIAggCCAIIAggCCAIIAggCCAIXAgMCQQIeAALfAgICMwIEAgUCBgIHAggCCQIKAgsCPAINAggCCAIIAggCCAIIAggCCAIIAggCCAIIAggCCAIIAggCCAIXAgMCQAIeAALfAgICcwIEAgUCBgIHAggCCQJPAgsCPAINAggCCAIIAggCCAIIAggCCAIIAggCCAIIAggCCAIIAggCCAIXAgMCpgIeAALfAgICMwIEAgUCBgIHAggCCQKZAgsCPAINAggCCAIIAggCCAIIAggCCAIIAggCCAIIAggCCAIIAggCCAIXAgMCqAIeAALfAgICMwIEAgUCBgIHAggCCQJPAgsCPAINAggCCAIIAggCCAIIAggCCAIIAggCCAIIAggCCAIIAggCCAIXAgMCqgIeAALfAgICVwIEAgUCBgIHAggCCQIKAgsCPAINAggCCAIIAggCCAIIAggCCAIIAggCCAIIAggCCAIIAggCCAIXAgMCmAIeAALfAgICVQIEAgUCBgIHAggCCXoAAAQAApkCCwI8Ag0CCAIIAggCCAIIAggCCAIIAggCCAIIAggCCAIIAggCCAIIAhcCAwKaAh4AAt8CAgJXAgQCBQIGAgcCCAIJApkCCwI8Ag0CCAIIAggCCAIIAggCCAIIAggCCAIIAggCCAIIAggCCAIIAhcCAwKnAh4AAt8CAgIdAgQCBQIGAgcCCAIJAgoCCwI8Ag0CCAIIAggCCAIIAggCCAIIAggCCAIIAggCCAIIAggCCAIIAhcCAwJIAh4AAt8CAgJiAgQCBQIGAgcCCAIJAgoCCwI8Ag0CCAIIAggCCAIIAggCCAIIAggCCAIIAggCCAIIAggCCAIIAhcCAwKsAh4AAt8CAgIjAgQCBQIGAgcCCAIJApkCCwI8Ag0CCAIIAggCCAIIAggCCAIIAggCCAIIAggCCAIIAggCCAIIAhcCAwJOAh4AAt8CAgIvAgQCBQIGAgcCCAIJAk8CCwI8Ag0CCAIIAggCCAIIAggCCAIIAggCCAIIAggCCAIIAggCCAIIAhcCAwKkAh4AAt8CAgJTAgQCBQIGAgcCCAIJAk8CCwI8Ag0CCAIIAggCCAIIAggCCAIIAggCCAIIAggCCAIIAggCCAIIAhcCAwLIAh4AAt8CAgIdAgQCBQIGAgcCCAIJAk8CCwI8Ag0CCAIIAggCCAIIAggCCAIIAggCCAIIAggCCAIIAggCCAIIAhcCAwLMAh4AAt8CAgJTAgQCBQIGAgcCCAIJApkCCwI8Ag0CCAIIAggCCAIIAggCCAIIAggCCAIIAggCCAIIAggCCAIIAhcCAwKjAh4AAt8CAgI1AgQCBQIGAgcCCAIJAk8CCwI8Ag0CCAIIAggCCAIIAggCCAIIAggCCAIIAggCCAIIAggCCAIIAhcCAwKfAh4AAt8CAgJZAgQCBQIGAgcCCAIJAk8CCwI8Ag0CCAIIAggCCAIIAggCCAIIAggCCAIIAggCCAIIAggCCAIIAhcCAwLAAh4AAt8CAgIxAgQCBQIGAgcCCAIJAk8CCwI8Ag0CCAIIAggCCAIIAggCCAIIAggCCAIIAggCCAIIAggCCAIIAhcCAwLBAh4AAt8CAgInAgQCBQIGAgcCCAIJApkCCwI8Ag0CCAIIAggCCAIIAggCCAIIAggCCAIIAggCCAIIAggCCAIIAhcCAwLDAh4AAt8CAgJeAgQCBQIGAgcCCAIJAgoCCwI8Ag0CCAIIAggCCAIIAggCCAIIAggCCAIIAggCCAIIAggCCAIIAhcCAwLOAh4AAt8CAgIrAgQCBQIGAgcCCAIJAgoCCwI8Ag0CCAIIAggCCAIIAggCCAIIAggCCAIIAggCCAIIAggCCAIIAhcCAwJDAh4AAt8CAgJtAnoAAAQABAIFAgYCBwIIAgkCTwILAjwCDQIIAggCCAIIAggCCAIIAggCCAIIAggCCAIIAggCCAIIAggCFwIDAtACHgAC3wICAlMCBAIFAgYCBwIIAgkCCgILAjwCDQIIAggCCAIIAggCCAIIAggCCAIIAggCCAIIAggCCAIIAggCFwIDAqACHgAC3wICAl4CBAIFAgYCBwIIAgkCmQILAjwCDQIIAggCCAIIAggCCAIIAggCCAIIAggCCAIIAggCCAIIAggCFwIDAsUCHgAC3wICAi8CBAIFAgYCBwIIAgkCCgILAjwCDQIIAggCCAIIAggCCAIIAggCCAIIAggCCAIIAggCCAIIAggCFwIDAkYCHgAC3wICAiUCBAIFAgYCBwIIAgkCCgILAjwCDQIIAggCCAIIAggCCAIIAggCCAIIAggCCAIIAggCCAIIAggCFwIDAkoCHgAC3wICAiUCBAIFAgYCBwIIAgkCmQILAjwCDQIIAggCCAIIAggCCAIIAggCCAIIAggCCAIIAggCCAIIAggCFwIDAskCHgAC3wICAi8CBAIFAgYCBwIIAgkCmQILAjwCDQIIAggCCAIIAggCCAIIAggCCAIIAggCCAIIAggCCAIIAggCFwIDAqICHgAC3wICAmICBAIFAgYCBwIIAgkCTwILAjwCDQIIAggCCAIIAggCCAIIAggCCAIIAggCCAIIAggCCAIIAggCFwIDAs0CHgAC3wICAh8CBAIFAgYCBwIIAgkCCgILAjwCDQIIAggCCAIIAggCCAIIAggCCAIIAggCCAIIAggCCAIIAggCFwIDAkkCHgAC3wICAm0CBAIFAgYCBwIIAgkCCgILAjwCDQIIAggCCAIIAggCCAIIAggCCAIIAggCCAIIAggCCAIIAggCFwIDAr4CHgAC3wICAiECBAIFAgYCBwIIAgkCTwILAjwCDQIIAggCCAIIAggCCAIIAggCCAIIAggCCAIIAggCCAIIAggCFwIDAr8CHgAC3wICAm0CBAIFAgYCBwIIAgkCmQILAjwCDQIIAggCCAIIAggCCAIIAggCCAIIAggCCAIIAggCCAIIAggCFwIDAsICHgAC3wICAicCBAIFAgYCBwIIAgkCTwILAjwCDQIIAggCCAIIAggCCAIIAggCCAIIAggCCAIIAggCCAIIAggCFwIDAsYCHgAC3wICAjUCBAIFAgYCBwIIAgkCmQILAjwCDQIIAggCCAIIAggCCAIIAggCCAIIAggCCAIIAggCCAIIAggCFwIDAk4CHgAC3wICAicCBAIFAgYCBwIIAgkCCgILAjwCDQIIAggCCAIIAggCCAIIAggCCAIIAggCCAIIAggCCAIIAggCFwIDAnoAAAQAPQIeAALfAgICLQIEAgUCBgIHAggCCQIKAgsCPAINAggCCAIIAggCCAIIAggCCAIIAggCCAIIAggCCAIIAggCCAIXAgMCRwIeAALfAgICdgIEAgUCBgIHAggCCQIKAgsCPAINAggCCAIIAggCCAIIAggCCAIIAggCCAIIAggCCAIIAggCCAIXAgMCxAIeAALfAgICNQIEAgUCBgIHAggCCQIKAgsCPAINAggCCAIIAggCCAIIAggCCAIIAggCCAIIAggCCAIIAggCCAIXAgMCPwIeAALfAgICLQIEAgUCBgIHAggCCQKZAgsCPAINAggCCAIIAggCCAIIAggCCAIIAggCCAIIAggCCAIIAggCCAIXAgMCygIeAALfAgICdgIEAgUCBgIHAggCCQKZAgsCPAINAggCCAIIAggCCAIIAggCCAIIAggCCAIIAggCCAIIAggCCAIXAgMCxwIeAALfAgICHwIEAgUCBgIHAggCCQKZAgsCPAINAggCCAIIAggCCAIIAggCCAIIAggCCAIIAggCCAIIAggCCAIXAgMCvQIeAALfAgICJQIEAgUCBgIHAggCCQJPAgsCPAINAggCCAIIAggCCAIIAggCCAIIAggCCAIIAggCCAIIAggCCAIXAgMCuQIeAALfAgICUQIEAgUCBgIHAggCCQJPAgsCPAINAggCCAIIAggCCAIIAggCCAIIAggCCAIIAggCCAIIAggCCAIXAgMCuwIeAALfAgICcwIEAgUCBgIHAggCCQIKAgsCPAINAggCCAIIAggCCAIIAggCCAIIAggCCAIIAggCCAIIAggCCAIXAgMCtQIeAALfAgICUQIEAgUCBgIHAggCCQIKAgsCPAINAggCCAIIAggCCAIIAggCCAIIAggCCAIIAggCCAIIAggCCAIXAgMCvAIeAALfAgICUQIEAgUCBgIHAggCCQKZAgsCPAINAggCCAIIAggCCAIIAggCCAIIAggCCAIIAggCCAIIAggCCAIXAgMCrwIeAALfAgICGwIEAgUCBgIHAggCCQKZAgsCPAINAggCCAIIAggCCAIIAggCCAIIAggCCAIIAggCCAIIAggCCAIXAgMCtwIeAALfAgICGwIEAgUCBgIHAggCCQIKAgsCPAINAggCCAIIAggCCAIIAggCCAIIAggCCAIIAggCCAIIAggCCAIXAgMCQgIeAALfAgICXgIEAgUCBgIHAggCCQJPAgsCPAINAggCCAIIAggCCAIIAggCCAIIAggCCAIIAggCCAIIAggCCAIXAgMCuAIeAALfAgICVQIEAgUCBgIHAggCCQJPAgsCPAINAggCCAIIAggCCAIIAggCCAIIAggCCAIIAggCCHoAAAK+AggCCAIIAhcCAwK2Ah4AAt8CAgJZAgQCBQIGAgcCCAIJAgoCCwI8Ag0CCAIIAggCCAIIAggCCAIIAggCCAIIAggCCAIIAggCCAIIAhcCAwKpAh4AAt8CAgIrAgQCBQIGAgcCCAIJAk8CCwI8Ag0CCAIIAggCCAIIAggCCAIIAggCCAIIAggCCAIIAggCCAIIAhcCAwK6Ah4AAt8CAgJzAgQCBQIGAgcCCAIJApkCCwI8Ag0CCAIIAggCCAIIAggCCAIIAggCCAIIAggCCAIIAggCCAIIAhcCAwK0Ah4AAt8CAgIjAgQCBQIGAgcCCAIJAk8CCwI8Ag0CCAIIAggCCAIIAggCCAIIAggCCAIIAggCCAIIAggCCAIIAhcCAwKuAh4AAt8CAgItAgQCBQIGAgcCCAIJAk8CCwI8Ag0CCAIIAggCCAIIAggCCAIIAggCCAIIAggCCAIIAggCCAIIAhcCAwKdAh4AAt8CAgIfAgQCBQIGAgcCCAIJAk8CCwI8Ag0CCAIIAggCCAIIAggCCAIIAggCCAIIAggCCAIIAggCCAIIAhcCAwKrAh4AAt8CAgIhAgQCBQIGAgcCCAIJAgoCCwI8Ag0CCAIIAggCCAIIAggCCAIIAggCCAIIAggCCAIIAggCCAIIAhcCAwJEAh4AAt8CAgIhAgQCBQIGAgcCCAIJApkCCwI8Ag0CCAIIAggCCAIIAggCCAIIAggCCAIIAggCCAIIAggCCAIIAhcCAwKwAh4AAt8CAgJkAgQCBQIGAgcCCAIJAk8CCwI8Ag0CCAIIAggCCAIIAggCCAIIAggCCAIIAggCCAIIAggCCAIIAhcCAwKtAh4AAt8CAgJ2AgQCBQIGAgcCCAIJAk8CCwI8Ag0CCAIIAggCCAIIAggCCAIIAggCCAIIAggCCAIIAggCCAIIAhcCAwKe]]></xxe4awand>
</file>

<file path=customXml/item8.xml><?xml version="1.0" encoding="utf-8"?>
<xxe4awand xmlns="http://www.excel4apps.com"><![CDATA[rO0ABXfYCMCtii8CDwIPAh4AAERjb20uZXhjZWw0YXBwcy53YW5kLm9yYWNsZS5n
bHdhbmQuY2FsY3VsYXRpb25zLmdldGJhbGFuY2UuR2V0QmFsYW5jZQIBAAkyOTA0
MzY1MDQCAgABMAIDAAYyMDE3MTICBAADWVREAgUAA1VTRAIGAAVUb3RhbAIHAAFB
AggAAAIJAAMwMDECCgAGMTkxMDEwAgsAAkdEAgwAAldBAg0AAkRMAggCCAIIAggC
CAIIAggCCAIIAggCCAIIAggCCAIIAggCCAACAwIOc3ICDwAUamF2YS5tYXRoLkJp
Z0RlY2ltYWxUxxVX+YEoTwMAAkkCEAAFc2NhbGVMAhEABmludFZhbHQAFkxqYXZh
L21hdGgvQmlnSW50ZWdlcjt4cgISABBqYXZhLmxhbmcuTnVtYmVyhqyVHQuU4IsC
AAB4cAAAAAJzcgITABRqYXZhLm1hdGguQmlnSW50ZWdlcoz8nx+pO/sdAwAGSQIU
AAhiaXRDb3VudEkCFQAJYml0TGVuZ3RoSQIWABNmaXJzdE5vbnplcm9CeXRlTnVt
SQIXAAxsb3dlc3RTZXRCaXRJAhgABnNpZ251bVsCGQAJbWFnbml0dWRldAACW0J4cQB+AAL///////////////7////+/////3VyAhoAAltCrPMX+AYIVOACAAB4cAAAAARCNLx8eHh3TAIeAAIBAgICGwAGMjAxNzA4AgQCBQIGAgcCCAIJAgoCCwIMAg0CCAIIAggCCAIIAggCCAIIAggCCAIIAggCCAIIAggCCAIIAAIDAhxzcQB+AAAAAAACc3EAfgAE///////////////+/////v////91cQB+AAcAAAAEZTFBq3h4d0wCHgACAQICAh0ABjIwMTcwMQIEAgUCBgIHAggCCQIKAgsCDAINAggCCAIIAggCCAIIAggCCAIIAggCCAIIAggCCAIIAggCCAACAwIec3EAfgAAAAAAAnNxAH4ABP///////////////v////7/////dXEAfgAHAAAABD0VO3Z4eHdMAh4AAgECAgIfAAYyMDE4MDICBAIFAgYCBwIIAgkCCgILAgwCDQIIAggCCAIIAggCCAIIAggCCAIIAggCCAIIAggCCAIIAggAAgMCIHNxAH4AAAAAAAJzcQB+AAT///////////////7////+/////3VxAH4ABwAAAARPKnH5eHh3TAIeAAIBAgICIQAGMjAxNzA1AgQCBQIGAgcCCAIJAgoCCwIMAg0CCAIIAggCCAIIAggCCAIIAggCCAIIAggCCAIIAggCCAIIAAIDAiJzcQB+AAAAAAACc3EAfgAE///////////////+/////v////91cQB+AAcAAAAEWf3l8nh4d0wCHgACAQICAiMABjIwMTcwMwIEAgUCBgIHAggCCQIKAgsCDAINAggCCAIIAggCCAIIAggCCAIIAggCCAIIAggCCAIIAggCCAACAwIkc3EAfgAAAAAAAnNxAH4ABP///////////////v////7/////dXEAfgAHAAAABFNjmyZ4eHdMAh4AAgECAgIlAAYyMDE3MTACBAIFAgYCBwIIAgkCCgILAgwCDQIIAggCCAIIAggCCAIIAggCCAIIAggCCAIIAggCCAIIAggAAgMCJnNxAH4AAAAAAAJzcQB+AAT///////////////7////+/////3VxAH4ABwAAAASC3IjxeHh3TAIeAAIBAgICJwAGMjAxNzA3AgQCBQIGAgcCCAIJAgoCCwIMAg0CCAIIAggCCAIIAggCCAIIAggCCAIIAggCCAIIAggCCAIIAAIDAihzcQB+AAAAAAACc3EAfgAE///////////////+/////v////91cQB+AAcAAAAEXtRi+Hh4d0wCHgACAQICAikABjIwMTcwOQIEAgUCBgIHAggCCQIKAgsCDAINAggCCAIIAggCCAIIAggCCAIIAggCCAIIAggCCAIIAggCCAACAwIqc3EAfgAAAAAAAnNxAH4ABP///////////////v////7/////dXEAfgAHAAAABHEGWUl4eHdMAh4AAgECAgIrAAYyMDE3MDICBAIFAgYCBwIIAgkCCgILAgwCDQIIAggCCAIIAggCCAIIAggCCAIIAggCCAIIAggCCAIIAggAAgMCLHNxAH4AAAAAAAJzcQB+AAT///////////////7////+/////3VxAH4ABwAAAARJi1PJeHh3TAIeAAIBAgICLQAGMjAxNzExAgQCBQIGAgcCCAIJAgoCCwIMAg0CCAIIAggCCAIIAggCCAIIAggCCAIIAggCCAIIAggCCAIIAAIDAi5zcQB+AAAAAAACc3EAfgAE///////////////+/////v////91cQB+AAcAAAAEMNCqs3h4d0wCHgACAQICAi8ABjIwMTgwMQIEAgUCBgIHAggCCQIKAgsCDAINAggCCAIIAggCCAIIAggCCAIIAggCCAIIAggCCAIIAggCCAACAwIwc3EAfgAAAAAAAnNxAH4ABP///////////////v////7/////dXEAfgAHAAAABE7u6Np4eHdMAh4AAgECAgIxAAYyMDE4MDMCBAIFAgYCBwIIAgkCCgILAgwCDQIIAggCCAIIAggCCAIIAggCCAIIAggCCAIIAggCCAIIAggAAgMCMnNxAH4AAAAAAAJzcQB+AAT///////////////7////+/////3VxAH4ABwAAAARSfqMaeHh3TAIeAAIBAgICMwAGMjAxNzA0AgQCBQIGAgcCCAIJAgoCCwIMAg0CCAIIAggCCAIIAggCCAIIAggCCAIIAggCCAIIAggCCAIIAAIDAjRzcQB+AAAAAAACc3EAfgAE///////////////+/////v////91cQB+AAcAAAAEWnDZd3h4d0wCHgACAQICAjUABjIwMTcwNgIEAgUCBgIHAggCCQIKAgsCDAINAggCCAIIAggCCAIIAggCCAIIAggCCAIIAggCCAIIAggCCAACAwI2c3EAfgAAAAAAAnNxAH4ABP///////////////v////7/////dXEAfgAHAAAABFgLByx4eA==]]></xxe4awand>
</file>

<file path=customXml/item9.xml><?xml version="1.0" encoding="utf-8"?>
<xxe4awand xmlns="http://www.excel4apps.com"><![CDATA[rO0ABXfZCMCtii8ABEkDAh4AAERjb20uZXhjZWw0YXBwcy53YW5kLm9yYWNsZS5n
bHdhbmQuY2FsY3VsYXRpb25zLmdldGJhbGFuY2UuR2V0QmFsYW5jZQIBAAkyMTkw
NjcwOTYCAgABMAIDAAYyMDE3MDUCBAADWVREAgUAA1VTRAIGAAVUb3RhbAIHAAFB
AggAAAIJAAMwMDECCgAGMTkxMDAwAgsAAkdEAgwAAldBAg0AAkRMAggCCAIIAggC
CAIIAggCCAIIAggCCAIIAggCCAIIAggCCAIEAgMCDnNyAg8AFGphdmEubWF0aC5C
aWdEZWNpbWFsVMcVV/mBKE8DAAJJAhAABXNjYWxlTAIRAAZpbnRWYWx0ABZMamF2
YS9tYXRoL0JpZ0ludGVnZXI7eHICEgAQamF2YS5sYW5nLk51bWJlcoaslR0LlOCL
AgAAeHAAAAACc3ICEwAUamF2YS5tYXRoLkJpZ0ludGVnZXKM/J8fqTv7HQMABkkC
FAAIYml0Q291bnRJAhUACWJpdExlbmd0aEkCFgATZmlyc3ROb256ZXJvQnl0ZU51
bUkCFwAMbG93ZXN0U2V0Qml0SQIYAAZzaWdudW1bAhkACW1hZ25pdHVkZXQAAltC
eHEAfgAC///////////////+/////v////91cgIaAAJbQqzzF/gGCFTgAgAAeHAA
AAAEBiEYhXh4d00CHgACAQICAhsABjIwMTcwMwIEAgUCBgIHAggCCQIKAgsCDAIN
AggCCAIIAggCCAIIAggCCAIIAggCCAIIAggCCAIIAggCCAIEAgMCHHNxAH4AAAAA
AAJzcQB+AAT///////////////7////+/////3VxAH4ABwAAAAQQ/fIjeHh3TQIeAAIBAgICHQAGMjAxNzEyAgQCBQIGAgcCCAIJAgoCCwIMAg0CCAIIAggCCAIIAggCCAIIAggCCAIIAggCCAIIAggCCAIIAgQCAwIec3EAfgAAAAAAAnNxAH4ABP///////////////v////7/////dXEAfgAHAAAABDRJviN4eHdNAh4AAgECAgIfAAYyMDE3MDcCBAIFAgYCBwIIAgkCCgILAgwCDQIIAggCCAIIAggCCAIIAggCCAIIAggCCAIIAggCCAIIAggCBAIDAiBzcQB+AAAAAAACc3EAfgAE///////////////+/////v////91cQB+AAcAAAAEAgr29Hh4d00CHgACAQICAiEABjIwMTcxMQIEAgUCBgIHAggCCQIKAgsCDAINAggCCAIIAggCCAIIAggCCAIIAggCCAIIAggCCAIIAggCCAIEAgMCInNxAH4AAAAAAAJzcQB+AAT///////////////7////+/////3VxAH4ABwAAAAREule8eHh3TQIeAAIBAgICIwAGMjAxODAxAgQCBQIGAgcCCAIJAgoCCwIMAg0CCAIIAggCCAIIAggCCAIIAggCCAIIAggCCAIIAggCCAIIAgQCAwIkc3EAfgAAAAAAAnNxAH4ABP///////////////v////7/////dXEAfgAHAAAABCZxo1d4eHdNAh4AAgECAgIlAAYyMDE4MDMCBAIFAgYCBwIIAgkCCgILAgwCDQIIAggCCAIIAggCCAIIAggCCAIIAggCCAIIAggCCAIIAggCBAIDAiZzcQB+AAAAAAACc3EAfgAE///////////////+/////v////91cQB+AAcAAAAEDlPJjHh4d00CHgACAQICAicABjIwMTcwNgIEAgUCBgIHAggCCQIKAgsCDAINAggCCAIIAggCCAIIAggCCAIIAggCCAIIAggCCAIIAggCCAIEAgMCKHNxAH4AAAAAAAJzcQB+AAT///////////////7////+/////3VxAH4ABwAAAAQD3U0geHh3TQIeAAIBAgICKQAGMjAxNzAyAgQCBQIGAgcCCAIJAgoCCwIMAg0CCAIIAggCCAIIAggCCAIIAggCCAIIAggCCAIIAggCCAIIAgQCAwIqc3EAfgAAAAAAAnNxAH4ABP///////////////v////7/////dXEAfgAHAAAABBtHMdN4eHdNAh4AAgECAgIrAAYyMDE3MDQCBAIFAgYCBwIIAgkCCgILAgwCDQIIAggCCAIIAggCCAIIAggCCAIIAggCCAIIAggCCAIIAggCBAIDAixzcQB+AAAAAAACc3EAfgAE///////////////+/////v////91cQB+AAcAAAAECfBqRnh4d00CHgACAQICAi0ABjIwMTcxMAIEAgUCBgIHAggCCQIKAgsCDAINAggCCAIIAggCCAIIAggCCAIIAggCCAIIAggCCAIIAggCCAIEAgMCLnNxAH4AAAAAAAJzcQB+AAT///////////////7////+AAAAAXVxAH4ABwAAAAQJDRX9eHh3TQIeAAIBAgICLwAGMjAxNzA5AgQCBQIGAgcCCAIJAgoCCwIMAg0CCAIIAggCCAIIAggCCAIIAggCCAIIAggCCAIIAggCCAIIAgQCAwIwc3EAfgAAAAAAAnNxAH4ABP///////////////v////4AAAABdXEAfgAHAAAABAKOsKB4eHdNAh4AAgECAgIxAAYyMDE3MDgCBAIFAgYCBwIIAgkCCgILAgwCDQIIAggCCAIIAggCCAIIAggCCAIIAggCCAIIAggCCAIIAggCBAIDAjJzcQB+AAAAAAACc3EAfgAE///////////////+/////v////91cQB+AAcAAAADMpTWeHh3TQIeAAIBAgICMwAGMjAxODAyAgQCBQIGAgcCCAIJAgoCCwIMAg0CCAIIAggCCAIIAggCCAIIAggCCAIIAggCCAIIAggCCAIIAgQCAwI0c3EAfgAAAAAAAnNxAH4ABP///////////////v////7/////dXEAfgAHAAAABBli52V4eHdNAh4AAgECAgI1AAYyMDE3MDECBAIFAgYCBwIIAgkCCgILAgwCDQIIAggCCAIIAggCCAIIAggCCAIIAggCCAIIAggCCAIIAggCBAIDAjZzcQB+AAAAAAACc3EAfgAE///////////////+/////v////91cQB+AAcAAAAEKOmGtnh4d1gCHgACNwAJNDMxNzAzMDU2AgICMQIEAgUCBgIHAggCCQI4AAYxOTEwMTACCwIMAg0CCAIIAggCCAIIAggCCAIIAggCCAIIAggCCAIIAggCCAIIAgICAwI5c3EAfgAAAAAAAnNxAH4ABP///////////////v////7/////dXEAfgAHAAAABGUxQat4eHdFAh4AAjcCAgIhAgQCBQIGAgcCCAIJAjgCCwIMAg0CCAIIAggCCAIIAggCCAIIAggCCAIIAggCCAIIAggCCAIIAgICAwI6c3EAfgAAAAAAAnNxAH4ABP///////////////v////7/////dXEAfgAHAAAABDDQqrN4eHdFAh4AAjcCAgIjAgQCBQIGAgcCCAIJAjgCCwIMAg0CCAIIAggCCAIIAggCCAIIAggCCAIIAggCCAIIAggCCAIIAgICAwI7c3EAfgAAAAAAAnNxAH4ABP///////////////v////7/////dXEAfgAHAAAABE7u6Np4eHdFAh4AAjcCAgIlAgQCBQIGAgcCCAIJAjgCCwIMAg0CCAIIAggCCAIIAggCCAIIAggCCAIIAggCCAIIAggCCAIIAgICAwI8c3EAfgAAAAAAAnNxAH4ABP///////////////v////7/////dXEAfgAHAAAABFJ+oxp4eHdFAh4AAjcCAgIpAgQCBQIGAgcCCAIJAjgCCwIMAg0CCAIIAggCCAIIAggCCAIIAggCCAIIAggCCAIIAggCCAIIAgICAwI9c3EAfgAAAAAAAnNxAH4ABP///////////////v////7/////dXEAfgAHAAAABEmLU8l4eHdFAh4AAjcCAgInAgQCBQIGAgcCCAIJAjgCCwIMAg0CCAIIAggCCAIIAggCCAIIAggCCAIIAggCCAIIAggCCAIIAgICAwI+c3EAfgAAAAAAAnNxAH4ABP///////////////v////7/////dXEAfgAHAAAABFgLByx4eHdFAh4AAjcCAgIrAgQCBQIGAgcCCAIJAjgCCwIMAg0CCAIIAggCCAIIAggCCAIIAggCCAIIAggCCAIIAggCCAIIAgICAwI/c3EAfgAAAAAAAnNxAH4ABP///////////////v////7/////dXEAfgAHAAAABFpw2Xd4eHdFAh4AAjcCAgItAgQCBQIGAgcCCAIJAjgCCwIMAg0CCAIIAggCCAIIAggCCAIIAggCCAIIAggCCAIIAggCCAIIAgICAwJAc3EAfgAAAAAAAnNxAH4ABP///////////////v////7/////dXEAfgAHAAAABILciPF4eHdFAh4AAjcCAgIzAgQCBQIGAgcCCAIJAjgCCwIMAg0CCAIIAggCCAIIAggCCAIIAggCCAIIAggCCAIIAggCCAIIAgICAwJBc3EAfgAAAAAAAnNxAH4ABP///////////////v////7/////dXEAfgAHAAAABE8qcfl4eHdFAh4AAjcCAgIdAgQCBQIGAgcCCAIJAjgCCwIMAg0CCAIIAggCCAIIAggCCAIIAggCCAIIAggCCAIIAggCCAIIAgICAwJCc3EAfgAAAAAAAnNxAH4ABP///////////////v////7/////dXEAfgAHAAAABEI0vHx4eHdFAh4AAjcCAgIvAgQCBQIGAgcCCAIJAjgCCwIMAg0CCAIIAggCCAIIAggCCAIIAggCCAIIAggCCAIIAggCCAIIAgICAwJDc3EAfgAAAAAAAnNxAH4ABP///////////////v////7/////dXEAfgAHAAAABHEGWUl4eHdFAh4AAjcCAgIDAgQCBQIGAgcCCAIJAjgCCwIMAg0CCAIIAggCCAIIAggCCAIIAggCCAIIAggCCAIIAggCCAIIAgICAwJEc3EAfgAAAAAAAnNxAH4ABP///////////////v////7/////dXEAfgAHAAAABFn95fJ4eHdFAh4AAjcCAgI1AgQCBQIGAgcCCAIJAjgCCwIMAg0CCAIIAggCCAIIAggCCAIIAggCCAIIAggCCAIIAggCCAIIAgICAwJFc3EAfgAAAAAAAnNxAH4ABP///////////////v////7/////dXEAfgAHAAAABD0VO3Z4eHdFAh4AAjcCAgIbAgQCBQIGAgcCCAIJAjgCCwIMAg0CCAIIAggCCAIIAggCCAIIAggCCAIIAggCCAIIAggCCAIIAgICAwJGc3EAfgAAAAAAAnNxAH4ABP///////////////v////7/////dXEAfgAHAAAABFNjmyZ4eHdFAh4AAjcCAgIfAgQCBQIGAgcCCAIJAjgCCwIMAg0CCAIIAggCCAIIAggCCAIIAggCCAIIAggCCAIIAggCCAIIAgICAwJHc3EAfgAAAAAAAnNxAH4ABP///////////////v////7/////dXEAfgAHAAAABF7UYvh4eHdUAh4AAkgACTQxNzAxNTkwNAICAi0CBAIFAgYCBwIIAgkCOAILAkkAAklEAg0CCAIIAggCCAIIAggCCAIIAggCCAIIAggCCAIIAggCCAIIAhMCAwJKc3EAfgAAAAAAAnNxAH4ABP///////////////v////7/////dXEAfgAHAAAABENETeB4eHdVAh4AAkgCAgJLAAYyMDE2MDICBAIFAgYCBwIIAgkCTAAGMTkxMDE1AgsCSQINAggCCAIIAggCCAIIAggCCAIIAggCCAIIAggCCAIIAggCCAITAgMCTXNxAH4AAAAAAAJzcQB+AAT///////////////7////+/////3VxAH4ABwAAAAMSV794eHdFAh4AAkgCAgIbAgQCBQIGAgcCCAIJAkwCCwJJAg0CCAIIAggCCAIIAggCCAIIAggCCAIIAggCCAIIAggCCAIIAhMCAwJOc3EAfgAAAAAAAnNxAH4ABP///////////////v////7/////dXEAfgAHAAAAAxKK33h4d00CHgACSAICAk8ABjIwMTgwNAIEAgUCBgIHAggCCQJMAgsCSQINAggCCAIIAggCCAIIAggCCAIIAggCCAIIAggCCAIIAggCCAITAgMCUHNxAH4AAAAAAAJzcQB+AAT///////////////7////+AAAAAHVxAH4ABwAAAAB4eHdFAh4AAkgCAgIdAgQCBQIGAgcCCAIJAgoCCwJJAg0CCAIIAggCCAIIAggCCAIIAggCCAIIAggCCAIIAggCCAIIAhMCAwJRc3EAfgAAAAAAAnNxAH4ABP///////////////v////7/////dXEAfgAHAAAABBa3qKJ4eHdFAh4AAkgCAgIbAgQCBQIGAgcCCAIJAjgCCwJJAg0CCAIIAggCCAIIAggCCAIIAggCCAIIAggCCAIIAggCCAIIAhMCAwJSc3EAfgAAAAAAAnNxAH4ABP///////////////v////7/////dXEAfgAHAAAABCZ4H3F4eHdNAh4AAkgCAgJTAAYyMDE2MDQCBAIFAgYCBwIIAgkCCgILAkkCDQIIAggCCAIIAggCCAIIAggCCAIIAggCCAIIAggCCAIIAggCEwIDAlRzcQB+AAAAAAACc3EAfgAE///////////////+/////v////91cQB+AAcAAAAEAlAe6Xh4d0UCHgACSAICAisCBAIFAgYCBwIIAgkCOAILAkkCDQIIAggCCAIIAggCCAIIAggCCAIIAggCCAIIAggCCAIIAggCEwIDAlVzcQB+AAAAAAACc3EAfgAE///////////////+/////v////91cQB+AAcAAAAEKeDlE3h4d00CHgACSAICAlYABjIwMTYxMQIEAgUCBgIHAggCCQIKAgsCSQINAggCCAIIAggCCAIIAggCCAIIAggCCAIIAggCCAIIAggCCAITAgMCV3NxAH4AAAAAAAJzcQB+AAT///////////////7////+/////3VxAH4ABwAAAAQlkNH7eHh3RQIeAAJIAgICTwIEAgUCBgIHAggCCQI4AgsCSQINAggCCAIIAggCCAIIAggCCAIIAggCCAIIAggCCAIIAggCCAITAgMCWHNxAH4AAAAAAAJzcQB+AAT///////////////7////+/////3VxAH4ABwAAAAQu9BT/eHh3TQIeAAJIAgICWQAGMjAxNjAzAgQCBQIGAgcCCAIJAjgCCwJJAg0CCAIIAggCCAIIAggCCAIIAggCCAIIAggCCAIIAggCCAIIAhMCAwJac3EAfgAAAAAAAnNxAH4ABP///////////////v////7/////dXEAfgAHAAAABB6uCU94eHdFAh4AAkgCAgIDAgQCBQIGAgcCCAIJAgoCCwJJAg0CCAIIAggCCAIIAggCCAIIAggCCAIIAggCCAIIAggCCAIIAhMCAwJbc3EAfgAAAAAAAnNxAH4ABP///////////////v////7/////dXEAfgAHAAAABALXZ1R4eHdFAh4AAkgCAgIrAgQCBQIGAgcCCAIJAgoCCwJJAg0CCAIIAggCCAIIAggCCAIIAggCCAIIAggCCAIIAggCCAIIAhMCAwJcc3EAfgAAAAAAAnNxAH4ABP///////////////v////7/////dXEAfgAHAAAABAUEo0F4eHeKAh4AAkgCAgIlAgQCBQIGAgcCCAIJAkwCCwJJAg0CCAIIAggCCAIIAggCCAIIAggCCAIIAggCCAIIAggCCAIIAhMCAwJQAh4AAkgCAgIpAgQCBQIGAgcCCAIJAkwCCwJJAg0CCAIIAggCCAIIAggCCAIIAggCCAIIAggCCAIIAggCCAIIAhMCAwJdc3EAfgAAAAAAAnNxAH4ABP///////////////v////7/////dXEAfgAHAAAAAxKG63h4d0UCHgACSAICAikCBAIFAgYCBwIIAgkCOAILAkkCDQIIAggCCAIIAggCCAIIAggCCAIIAggCCAIIAggCCAIIAggCEwIDAl5zcQB+AAAAAAACc3EAfgAE///////////////+/////v////91cQB+AAcAAAAEIgqsMXh4d00CHgACSAICAl8ABjIwMTYxMAIEAgUCBgIHAggCCQIKAgsCSQINAggCCAIIAggCCAIIAggCCAIIAggCCAIIAggCCAIIAggCCAITAgMCYHNxAH4AAAAAAAJzcQB+AAT///////////////7////+AAAAAXVxAH4ABwAAAAO5cnx4eHdFAh4AAkgCAgJZAgQCBQIGAgcCCAIJAgoCCwJJAg0CCAIIAggCCAIIAggCCAIIAggCCAIIAggCCAIIAggCCAIIAhMCAwJhc3EAfgAAAAAAAnNxAH4ABP///////////////v////7/////dXEAfgAHAAAABAL7S4t4eHdFAh4AAkgCAgItAgQCBQIGAgcCCAIJAkwCCwJJAg0CCAIIAggCCAIIAggCCAIIAggCCAIIAggCCAIIAggCCAIIAhMCAwJic3EAfgAAAAAAAnNxAH4ABP///////////////v////7/////dXEAfgAHAAAAAxKmonh4d0UCHgACSAICAiUCBAIFAgYCBwIIAgkCOAILAkkCDQIIAggCCAIIAggCCAIIAggCCAIIAggCCAIIAggCCAIIAggCEwIDAmNzcQB+AAAAAAACc3EAfgAE///////////////+/////v////91cQB+AAcAAAAEKsKx+Hh4d0UCHgACSAICAksCBAIFAgYCBwIIAgkCOAILAkkCDQIIAggCCAIIAggCCAIIAggCCAIIAggCCAIIAggCCAIIAggCEwIDAmRzcQB+AAAAAAACc3EAfgAE///////////////+/////v////91cQB+AAcAAAAEG7MeXHh4d0UCHgACSAICAiECBAIFAgYCBwIIAgkCCgILAkkCDQIIAggCCAIIAggCCAIIAggCCAIIAggCCAIIAggCCAIIAggCEwIDAmVzcQB+AAAAAAACc3EAfgAE///////////////+/////v////91cQB+AAcAAAAEHsB0bHh4d00CHgACSAICAmYABjIwMTgwNQIEAgUCBgIHAggCCQIKAgsCSQINAggCCAIIAggCCAIIAggCCAIIAggCCAIIAggCCAIIAggCCAITAgMCZ3NxAH4AAAAAAAJzcQB+AAT///////////////7////+AAAAAXVxAH4ABwAAAAM2pbZ4eHdFAh4AAkgCAgIzAgQCBQIGAgcCCAIJAjgCCwJJAg0CCAIIAggCCAIIAggCCAIIAggCCAIIAggCCAIIAggCCAIIAhMCAwJoc3EAfgAAAAAAAnNxAH4ABP///////////////v////7/////dXEAfgAHAAAABClGhLZ4eHdNAh4AAkgCAgJpAAYyMDE2MDUCBAIFAgYCBwIIAgkCOAILAkkCDQIIAggCCAIIAggCCAIIAggCCAIIAggCCAIIAggCCAIIAggCEwIDAmpzcQB+AAAAAAACc3EAfgAE///////////////+/////v////91cQB+AAcAAAAEJi8ywnh4d0UCHgACSAICAh0CBAIFAgYCBwIIAgkCOAILAkkCDQIIAggCCAIIAggCCAIIAggCCAIIAggCCAIIAggCCAIIAggCEwIDAmtzcQB+AAAAAAACc3EAfgAE///////////////+/////v////91cQB+AAcAAAAEJDRt9Hh4d4oCHgACSAICAh0CBAIFAgYCBwIIAgkCTAILAkkCDQIIAggCCAIIAggCCAIIAggCCAIIAggCCAIIAggCCAIIAggCEwIDAlACHgACSAICAjUCBAIFAgYCBwIIAgkCTAILAkkCDQIIAggCCAIIAggCCAIIAggCCAIIAggCCAIIAggCCAIIAggCEwIDAmxzcQB+AAAAAAACc3EAfgAE///////////////+/////v////91cQB+AAcAAAADEoL4eHh3RQIeAAJIAgICJwIEAgUCBgIHAggCCQI4AgsCSQINAggCCAIIAggCCAIIAggCCAIIAggCCAIIAggCCAIIAggCCAITAgMCbXNxAH4AAAAAAAJzcQB+AAT///////////////7////+/////3VxAH4ABwAAAAQqC0YheHh3RQIeAAJIAgICNQIEAgUCBgIHAggCCQI4AgsCSQINAggCCAIIAggCCAIIAggCCAIIAggCCAIIAggCCAIIAggCCAITAgMCbnNxAH4AAAAAAAJzcQB+AAT///////////////7////+/////3VxAH4ABwAAAAQdsfpMeHh3RQIeAAJIAgICHwIEAgUCBgIHAggCCQIKAgsCSQINAggCCAIIAggCCAIIAggCCAIIAggCCAIIAggCCAIIAggCCAITAgMCb3NxAH4AAAAAAAJzcQB+AAT///////////////7////+/////3VxAH4ABwAAAANOuAp4eHeKAh4AAkgCAgIzAgQCBQIGAgcCCAIJAkwCCwJJAg0CCAIIAggCCAIIAggCCAIIAggCCAIIAggCCAIIAggCCAIIAhMCAwJQAh4AAkgCAgItAgQCBQIGAgcCCAIJAgoCCwJJAg0CCAIIAggCCAIIAggCCAIIAggCCAIIAggCCAIIAggCCAIIAhMCAwJwc3EAfgAAAAAAAnNxAH4ABP///////////////v////4AAAABdXEAfgAHAAAABAYbWmp4eHdFAh4AAkgCAgJpAgQCBQIGAgcCCAIJAkwCCwJJAg0CCAIIAggCCAIIAggCCAIIAggCCAIIAggCCAIIAggCCAIIAhMCAwJxc3EAfgAAAAAAAnNxAH4ABP///////////////v////7/////dXEAfgAHAAAAAxJjf3h4d4oCHgACSAICAmYCBAIFAgYCBwIIAgkCTAILAkkCDQIIAggCCAIIAggCCAIIAggCCAIIAggCCAIIAggCCAIIAggCEwIDAlACHgACSAICAlkCBAIFAgYCBwIIAgkCTAILAkkCDQIIAggCCAIIAggCCAIIAggCCAIIAggCCAIIAggCCAIIAggCEwIDAnJzcQB+AAAAAAACc3EAfgAE///////////////+/////v////91cQB+AAcAAAADElupeHh3RQIeAAJIAgICKwIEAgUCBgIHAggCCQJMAgsCSQINAggCCAIIAggCCAIIAggCCAIIAggCCAIIAggCCAIIAggCCAITAgMCc3NxAH4AAAAAAAJzcQB+AAT///////////////7////+/////3VxAH4ABwAAAAMSjtR4eHdFAh4AAkgCAgIpAgQCBQIGAgcCCAIJAgoCCwJJAg0CCAIIAggCCAIIAggCCAIIAggCCAIIAggCCAIIAggCCAIIAhMCAwJ0c3EAfgAAAAAAAnNxAH4ABP///////////////v////7/////dXEAfgAHAAAABA4LHEp4eHdNAh4AAkgCAgJ1AAYyMDE2MDgCBAIFAgYCBwIIAgkCOAILAkkCDQIIAggCCAIIAggCCAIIAggCCAIIAggCCAIIAggCCAIIAggCEwIDAnZzcQB+AAAAAAACc3EAfgAE///////////////+/////v////91cQB+AAcAAAAEMe+1GXh4d0UCHgACSAICAi8CBAIFAgYCBwIIAgkCTAILAkkCDQIIAggCCAIIAggCCAIIAggCCAIIAggCCAIIAggCCAIIAggCEwIDAndzcQB+AAAAAAACc3EAfgAE///////////////+/////v////91cQB+AAcAAAADEqKoeHh3TQIeAAJIAgICeAAGMjAxNjA2AgQCBQIGAgcCCAIJAgoCCwJJAg0CCAIIAggCCAIIAggCCAIIAggCCAIIAggCCAIIAggCCAIIAhMCAwJ5c3EAfgAAAAAAAnNxAH4ABP///////////////v////7/////dXEAfgAHAAAABAFkyvJ4eHdFAh4AAkgCAgIvAgQCBQIGAgcCCAIJAjgCCwJJAg0CCAIIAggCCAIIAggCCAIIAggCCAIIAggCCAIIAggCCAIIAhMCAwJ6c3EAfgAAAAAAAnNxAH4ABP///////////////v////7/////dXEAfgAHAAAABDlFLv54eHdNAh4AAkgCAgJ7AAYyMDE2MTICBAIFAgYCBwIIAgkCCgILAkkCDQIIAggCCAIIAggCCAIIAggCCAIIAggCCAIIAggCCAIIAggCEwIDAnxzcQB+AAAAAAACc3EAfgAE///////////////+/////v////91cQB+AAcAAAAEHRCpdHh4d0UCHgACSAICAmYCBAIFAgYCBwIIAgkCOAILAkkCDQIIAggCCAIIAggCCAIIAggCCAIIAggCCAIIAggCCAIIAggCEwIDAn1zcQB+AAAAAAACc3EAfgAE///////////////+/////v////91cQB+AAcAAAAEL/7GXHh4d0UCHgACSAICAlYCBAIFAgYCBwIIAgkCOAILAkkCDQIIAggCCAIIAggCCAIIAggCCAIIAggCCAIIAggCCAIIAggCEwIDAn5zcQB+AAAAAAACc3EAfgAE///////////////+/////v////91cQB+AAcAAAAEC9ESdHh4d0UCHgACSAICAlYCBAIFAgYCBwIIAgkCTAILAkkCDQIIAggCCAIIAggCCAIIAggCCAIIAggCCAIIAggCCAIIAggCEwIDAn9zcQB+AAAAAAACc3EAfgAE///////////////+/////v////91cQB+AAcAAAADEnsVeHh3RQIeAAJIAgICdQIEAgUCBgIHAggCCQJMAgsCSQINAggCCAIIAggCCAIIAggCCAIIAggCCAIIAggCCAIIAggCCAITAgMCgHNxAH4AAAAAAAJzcQB+AAT///////////////7////+/////3VxAH4ABwAAAAMSb0Z4eHdFAh4AAkgCAgIlAgQCBQIGAgcCCAIJAgoCCwJJAg0CCAIIAggCCAIIAggCCAIIAggCCAIIAggCCAIIAggCCAIIAhMCAwKBc3EAfgAAAAAAAnNxAH4ABP///////////////v////7/////dXEAfgAHAAAABATh3pl4eHdNAh4AAkgCAgKCAAYyMDE2MDcCBAIFAgYCBwIIAgkCOAILAkkCDQIIAggCCAIIAggCCAIIAggCCAIIAggCCAIIAggCCAIIAggCEwIDAoNzcQB+AAAAAAACc3EAfgAE///////////////+/////v////91cQB+AAcAAAAELv3gknh4d0UCHgACSAICAjECBAIFAgYCBwIIAgkCOAILAkkCDQIIAggCCAIIAggCCAIIAggCCAIIAggCCAIIAggCCAIIAggCEwIDAoRzcQB+AAAAAAACc3EAfgAE///////////////+/////v////91cQB+AAcAAAAENDlU6Hh4d00CHgACSAICAoUABjIwMTYwOQIEAgUCBgIHAggCCQIKAgsCSQINAggCCAIIAggCCAIIAggCCAIIAggCCAIIAggCCAIIAggCCAITAgMChnNxAH4AAAAAAAJzcQB+AAT///////////////7////+/////3VxAH4ABwAAAAMy9xF4eHdFAh4AAkgCAgIxAgQCBQIGAgcCCAIJAkwCCwJJAg0CCAIIAggCCAIIAggCCAIIAggCCAIIAggCCAIIAggCCAIIAhMCAwKHc3EAfgAAAAAAAnNxAH4ABP///////////////v////7/////dXEAfgAHAAAAAxKer3h4d0UCHgACSAICAoICBAIFAgYCBwIIAgkCTAILAkkCDQIIAggCCAIIAggCCAIIAggCCAIIAggCCAIIAggCCAIIAggCEwIDAohzcQB+AAAAAAACc3EAfgAE///////////////+/////v////91cQB+AAcAAAADEmtYeHh3RQIeAAJIAgICLwIEAgUCBgIHAggCCQIKAgsCSQINAggCCAIIAggCCAIIAggCCAIIAggCCAIIAggCCAIIAggCCAITAgMCiXNxAH4AAAAAAAJzcQB+AAT///////////////7////+AAAAAXVxAH4ABwAAAAQCWhLSeHh3RQIeAAJIAgICNQIEAgUCBgIHAggCCQIKAgsCSQINAggCCAIIAggCCAIIAggCCAIIAggCCAIIAggCCAIIAggCCAITAgMCinNxAH4AAAAAAAJzcQB+AAT///////////////7////+/////3VxAH4ABwAAAAQUOveDeHh3RQIeAAJIAgICMwIEAgUCBgIHAggCCQIKAgsCSQINAggCCAIIAggCCAIIAggCCAIIAggCCAIIAggCCAIIAggCCAITAgMCi3NxAH4AAAAAAAJzcQB+AAT///////////////7////+/////3VxAH4ABwAAAAQKK9PneHh3RQIeAAJIAgICewIEAgUCBgIHAggCCQJMAgsCSQINAggCCAIIAggCCAIIAggCCAIIAggCCAIIAggCCAIIAggCCAITAgMCjHNxAH4AAAAAAAJzcQB+AAT///////////////7////+/////3VxAH4ABwAAAAMSfwZ4eHdFAh4AAkgCAgJ4AgQCBQIGAgcCCAIJAjgCCwJJAg0CCAIIAggCCAIIAggCCAIIAggCCAIIAggCCAIIAggCCAIIAhMCAwKNc3EAfgAAAAAAAnNxAH4ABP///////////////v////7/////dXEAfgAHAAAABCsQC1F4eHdFAh4AAkgCAgInAgQCBQIGAgcCCAIJAkwCCwJJAg0CCAIIAggCCAIIAggCCAIIAggCCAIIAggCCAIIAggCCAIIAhMCAwKOc3EAfgAAAAAAAnNxAH4ABP///////////////v////7/////dXEAfgAHAAAAAxKWwHh4d0UCHgACSAICAh8CBAIFAgYCBwIIAgkCOAILAkkCDQIIAggCCAIIAggCCAIIAggCCAIIAggCCAIIAggCCAIIAggCEwIDAo9zcQB+AAAAAAACc3EAfgAE///////////////+/////v////91cQB+AAcAAAAELpGFK3h4d0UCHgACSAICAnUCBAIFAgYCBwIIAgkCCgILAkkCDQIIAggCCAIIAggCCAIIAggCCAIIAggCCAIIAggCCAIIAggCEwIDApBzcQB+AAAAAAACc3EAfgAE///////////////+/////v////91cQB+AAcAAAADnrKqeHh3RQIeAAJIAgICeAIEAgUCBgIHAggCCQJMAgsCSQINAggCCAIIAggCCAIIAggCCAIIAggCCAIIAggCCAIIAggCCAITAgMCkXNxAH4AAAAAAAJzcQB+AAT///////////////7////+/////3VxAH4ABwAAAAMSZ2t4eHdFAh4AAkgCAgIfAgQCBQIGAgcCCAIJAkwCCwJJAg0CCAIIAggCCAIIAggCCAIIAggCCAIIAggCCAIIAggCCAIIAhMCAwKSc3EAfgAAAAAAAnNxAH4ABP///////////////v////7/////dXEAfgAHAAAAAxKat3h4d0UCHgACSAICAjECBAIFAgYCBwIIAgkCCgILAkkCDQIIAggCCAIIAggCCAIIAggCCAIIAggCCAIIAggCCAIIAggCEwIDApNzcQB+AAAAAAACc3EAfgAE///////////////+/////gAAAAF1cQB+AAcAAAAD/4leeHh3RQIeAAJIAgICIwIEAgUCBgIHAggCCQIKAgsCSQINAggCCAIIAggCCAIIAggCCAIIAggCCAIIAggCCAIIAggCCAITAgMClHNxAH4AAAAAAAJzcQB+AAT///////////////7////+/////3VxAH4ABwAAAAQQposkeHh3RQIeAAJIAgICTwIEAgUCBgIHAggCCQIKAgsCSQINAggCCAIIAggCCAIIAggCCAIIAggCCAIIAggCCAIIAggCCAITAgMClXNxAH4AAAAAAAJzcQB+AAT///////////////7////+/////3VxAH4ABwAAAAQBMmvPeHh3RQIeAAJIAgICSwIEAgUCBgIHAggCCQIKAgsCSQINAggCCAIIAggCCAIIAggCCAIIAggCCAIIAggCCAIIAggCCAITAgMClnNxAH4AAAAAAAJzcQB+AAT///////////////7////+/////3VxAH4ABwAAAAQEW5IQeHh3RQIeAAJIAgICGwIEAgUCBgIHAggCCQIKAgsCSQINAggCCAIIAggCCAIIAggCCAIIAggCCAIIAggCCAIIAggCCAITAgMCl3NxAH4AAAAAAAJzcQB+AAT///////////////7////+/////3VxAH4ABwAAAAQIvUgheHh3RQIeAAJIAgICAwIEAgUCBgIHAggCCQJMAgsCSQINAggCCAIIAggCCAIIAggCCAIIAggCCAIIAggCCAIIAggCCAITAgMCmHNxAH4AAAAAAAJzcQB+AAT///////////////7////+/////3VxAH4ABwAAAAMSksp4eHdFAh4AAkgCAgKCAgQCBQIGAgcCCAIJAgoCCwJJAg0CCAIIAggCCAIIAggCCAIIAggCCAIIAggCCAIIAggCCAIIAhMCAwKZc3EAfgAAAAAAAnNxAH4ABP///////////////v////7/////dXEAfgAHAAAABAEGlGB4eHdFAh4AAkgCAgJ7AgQCBQIGAgcCCAIJAjgCCwJJAg0CCAIIAggCCAIIAggCCAIIAggCCAIIAggCCAIIAggCCAIIAhMCAwKac3EAfgAAAAAAAnNxAH4ABP///////////////v////7/////dXEAfgAHAAAABBWstZ94eHeKAh4AAkgCAgIhAgQCBQIGAgcCCAIJAkwCCwJJAg0CCAIIAggCCAIIAggCCAIIAggCCAIIAggCCAIIAggCCAIIAhMCAwJQAh4AAkgCAgKFAgQCBQIGAgcCCAIJAjgCCwJJAg0CCAIIAggCCAIIAggCCAIIAggCCAIIAggCCAIIAggCCAIIAhMCAwKbc3EAfgAAAAAAAnNxAH4ABP///////////////v////7/////dXEAfgAHAAAABDO8lpJ4eHdFAh4AAkgCAgKFAgQCBQIGAgcCCAIJAkwCCwJJAg0CCAIIAggCCAIIAggCCAIIAggCCAIIAggCCAIIAggCCAIIAhMCAwKcc3EAfgAAAAAAAnNxAH4ABP///////////////v////7/////dXEAfgAHAAAAAxJzNXh4d0UCHgACSAICAl8CBAIFAgYCBwIIAgkCTAILAkkCDQIIAggCCAIIAggCCAIIAggCCAIIAggCCAIIAggCCAIIAggCEwIDAp1zcQB+AAAAAAACc3EAfgAE///////////////+/////v////91cQB+AAcAAAADEncleHh3RQIeAAJIAgICXwIEAgUCBgIHAggCCQI4AgsCSQINAggCCAIIAggCCAIIAggCCAIIAggCCAIIAggCCAIIAggCCAITAgMCnnNxAH4AAAAAAAJzcQB+AAT///////////////7////+/////3VxAH4ABwAAAAQ0mEcjeHh3RQIeAAJIAgICIwIEAgUCBgIHAggCCQI4AgsCSQINAggCCAIIAggCCAIIAggCCAIIAggCCAIIAggCCAIIAggCCAITAgMCn3NxAH4AAAAAAAJzcQB+AAT///////////////7////+/////3VxAH4ABwAAAAQpII+FeHh3RQIeAAJIAgICIQIEAgUCBgIHAggCCQI4AgsCSQINAggCCAIIAggCCAIIAggCCAIIAggCCAIIAggCCAIIAggCCAITAgMCoHNxAH4AAAAAAAJzcQB+AAT///////////////7////+/////3VxAH4ABwAAAAQcI3yQeHh3RQIeAAJIAgICAwIEAgUCBgIHAggCCQI4AgsCSQINAggCCAIIAggCCAIIAggCCAIIAggCCAIIAggCCAIIAggCCAITAgMCoXNxAH4AAAAAAAJzcQB+AAT///////////////7////+/////3VxAH4ABwAAAAQqJk8LeHh3RQIeAAJIAgICaQIEAgUCBgIHAggCCQIKAgsCSQINAggCCAIIAggCCAIIAggCCAIIAggCCAIIAggCCAIIAggCCAITAgMConNxAH4AAAAAAAJzcQB+AAT///////////////7////+/////3VxAH4ABwAAAAQBzUp3eHh3igIeAAJIAgICIwIEAgUCBgIHAggCCQJMAgsCSQINAggCCAIIAggCCAIIAggCCAIIAggCCAIIAggCCAIIAggCCAITAgMCUAIeAAJIAgICJwIEAgUCBgIHAggCCQIKAgsCSQINAggCCAIIAggCCAIIAggCCAIIAggCCAIIAggCCAIIAggCCAITAgMCo3NxAH4AAAAAAAJzcQB+AAT///////////////7////+/////3VxAH4ABwAAAAQBbUrSeHh3RQIeAAJIAgICUwIEAgUCBgIHAggCCQI4AgsCSQINAggCCAIIAggCCAIIAggCCAIIAggCCAIIAggCCAIIAggCCAITAgMCpHNxAH4AAAAAAAJzcQB+AAT///////////////7////+/////3VxAH4ABwAAAAQjxnj9eHh3RQIeAAJIAgICUwIEAgUCBgIHAggCCQJMAgsCSQINAggCCAIIAggCCAIIAggCCAIIAggCCAIIAggCCAIIAggCCAITAgMCpXNxAH4AAAAAAAJzcQB+AAT///////////////7////+/////3VxAH4ABwAAAAMSX5R4eHoAAAQAAh4AAqYACTIxOTA2ODI1NgICAicCBAIFAgYCBwIIAgkCCgILAkkCDQIIAggCCAIIAggCCAIIAggCCAIIAggCCAIIAggCCAIIAggCBQIDAqMCHgACpgICAh0CBAIFAgYCBwIIAgkCCgILAkkCDQIIAggCCAIIAggCCAIIAggCCAIIAggCCAIIAggCCAIIAggCBQIDAlECHgACpgICAi8CBAIFAgYCBwIIAgkCCgILAkkCDQIIAggCCAIIAggCCAIIAggCCAIIAggCCAIIAggCCAIIAggCBQIDAokCHgACpgICAjUCBAIFAgYCBwIIAgkCCgILAkkCDQIIAggCCAIIAggCCAIIAggCCAIIAggCCAIIAggCCAIIAggCBQIDAooCHgACpgICAjMCBAIFAgYCBwIIAgkCCgILAkkCDQIIAggCCAIIAggCCAIIAggCCAIIAggCCAIIAggCCAIIAggCBQIDAosCHgACpgICAi0CBAIFAgYCBwIIAgkCCgILAkkCDQIIAggCCAIIAggCCAIIAggCCAIIAggCCAIIAggCCAIIAggCBQIDAnACHgACpgICAh8CBAIFAgYCBwIIAgkCCgILAkkCDQIIAggCCAIIAggCCAIIAggCCAIIAggCCAIIAggCCAIIAggCBQIDAm8CHgACpgICAhsCBAIFAgYCBwIIAgkCCgILAkkCDQIIAggCCAIIAggCCAIIAggCCAIIAggCCAIIAggCCAIIAggCBQIDApcCHgACpgICAgMCBAIFAgYCBwIIAgkCCgILAkkCDQIIAggCCAIIAggCCAIIAggCCAIIAggCCAIIAggCCAIIAggCBQIDAlsCHgACpgICAiMCBAIFAgYCBwIIAgkCCgILAkkCDQIIAggCCAIIAggCCAIIAggCCAIIAggCCAIIAggCCAIIAggCBQIDApQCHgACpgICAikCBAIFAgYCBwIIAgkCCgILAkkCDQIIAggCCAIIAggCCAIIAggCCAIIAggCCAIIAggCCAIIAggCBQIDAnQCHgACpgICAiUCBAIFAgYCBwIIAgkCCgILAkkCDQIIAggCCAIIAggCCAIIAggCCAIIAggCCAIIAggCCAIIAggCBQIDAoECHgACpgICAjECBAIFAgYCBwIIAgkCCgILAkkCDQIIAggCCAIIAggCCAIIAggCCAIIAggCCAIIAggCCAIIAggCBQIDApMCHgACpgICAisCBAIFAgYCBwIIAgkCCgILAkkCDQIIAggCCAIIAggCCAIIAggCCAIIAggCCAIIAggCCAIIAggCBQIDAlwCHgACpgICAiECBAIFAgYCBwIIAgkCCgILAkkCDQIIAggCCAIIAggCCAIIAggCCHd2AggCCAIIAggCCAIIAggCCAIFAgMCZQIeAAKnAAk0OTQwMTYxMDQCAgKoAAYyMDEzMTICBAIFAgYCBwIIAgkCqQAGMTkxMDI1AgsCDAINAggCCAIIAggCCAIIAggCCAIIAggCCAIIAggCCAIIAggCCAIiAgMCqnNxAH4AAAAAAAJzcQB+AAT///////////////7////+/////3VxAH4ABwAAAAMU5eR4eHoAAAQAAh4AAqsACTQzMDk4NDMxMgICAi8CBAIFAgYCBwIIAgkCTAILAkkCDQIIAggCCAIIAggCCAIIAggCCAIIAggCCAIIAggCCAIIAggCGQIDAncCHgACqwICAnUCBAIFAgYCBwIIAgkCTAILAkkCDQIIAggCCAIIAggCCAIIAggCCAIIAggCCAIIAggCCAIIAggCGQIDAoACHgACqwICAoUCBAIFAgYCBwIIAgkCOAILAkkCDQIIAggCCAIIAggCCAIIAggCCAIIAggCCAIIAggCCAIIAggCGQIDApsCHgACqwICAjMCBAIFAgYCBwIIAgkCOAILAkkCDQIIAggCCAIIAggCCAIIAggCCAIIAggCCAIIAggCCAIIAggCGQIDAmgCHgACqwICAjUCBAIFAgYCBwIIAgkCOAILAkkCDQIIAggCCAIIAggCCAIIAggCCAIIAggCCAIIAggCCAIIAggCGQIDAm4CHgACqwICAksCBAIFAgYCBwIIAgkCCgILAkkCDQIIAggCCAIIAggCCAIIAggCCAIIAggCCAIIAggCCAIIAggCGQIDApYCHgACqwICAi8CBAIFAgYCBwIIAgkCOAILAkkCDQIIAggCCAIIAggCCAIIAggCCAIIAggCCAIIAggCCAIIAggCGQIDAnoCHgACqwICAhsCBAIFAgYCBwIIAgkCCgILAkkCDQIIAggCCAIIAggCCAIIAggCCAIIAggCCAIIAggCCAIIAggCGQIDApcCHgACqwICAoUCBAIFAgYCBwIIAgkCTAILAkkCDQIIAggCCAIIAggCCAIIAggCCAIIAggCCAIIAggCCAIIAggCGQIDApwCHgACqwICAisCBAIFAgYCBwIIAgkCCgILAkkCDQIIAggCCAIIAggCCAIIAggCCAIIAggCCAIIAggCCAIIAggCGQIDAlwCHgACqwICAlkCBAIFAgYCBwIIAgkCCgILAkkCDQIIAggCCAIIAggCCAIIAggCCAIIAggCCAIIAggCCAIIAggCGQIDAmECHgACqwICAikCBAIFAgYCBwIIAgkCOAILAkkCDQIIAggCCAIIAggCCAIIAggCCAIIAggCCAIIAggCCAIIAggCGQIDAl4CHgACqwICAiECBAIFAgYCBwIIAgkCCgILAkkCDQIIAggCCAIIAggCCAIIAggCCAIIAggCCAIIAggCCAIIAggCGQIDAmUCHgACqwICAiMCBAIFAgYCBwIIAgkCCgILAkkCDQIIAggCCAIIAggCCAIIAggCCAIIAggCCAIIAggCCAIIAggCGQIDApQCHgACqwICAh8CBAIFAgYCBwIIAgkCTAILAkkCDQIIAggCCAIIAggCCAIIAggCCHoAAAQAAggCCAIIAggCCAIIAggCCAIZAgMCkgIeAAKrAgICeAIEAgUCBgIHAggCCQJMAgsCSQINAggCCAIIAggCCAIIAggCCAIIAggCCAIIAggCCAIIAggCCAIZAgMCkQIeAAKrAgICeAIEAgUCBgIHAggCCQI4AgsCSQINAggCCAIIAggCCAIIAggCCAIIAggCCAIIAggCCAIIAggCCAIZAgMCjQIeAAKrAgICUwIEAgUCBgIHAggCCQIKAgsCSQINAggCCAIIAggCCAIIAggCCAIIAggCCAIIAggCCAIIAggCCAIZAgMCVAIeAAKrAgICLQIEAgUCBgIHAggCCQI4AgsCSQINAggCCAIIAggCCAIIAggCCAIIAggCCAIIAggCCAIIAggCCAIZAgMCSgIeAAKrAgICHwIEAgUCBgIHAggCCQI4AgsCSQINAggCCAIIAggCCAIIAggCCAIIAggCCAIIAggCCAIIAggCCAIZAgMCjwIeAAKrAgICLQIEAgUCBgIHAggCCQIKAgsCSQINAggCCAIIAggCCAIIAggCCAIIAggCCAIIAggCCAIIAggCCAIZAgMCcAIeAAKrAgICAwIEAgUCBgIHAggCCQIKAgsCSQINAggCCAIIAggCCAIIAggCCAIIAggCCAIIAggCCAIIAggCCAIZAgMCWwIeAAKrAgICMwIEAgUCBgIHAggCCQJMAgsCSQINAggCCAIIAggCCAIIAggCCAIIAggCCAIIAggCCAIIAggCCAIZAgMCUAIeAAKrAgICNQIEAgUCBgIHAggCCQJMAgsCSQINAggCCAIIAggCCAIIAggCCAIIAggCCAIIAggCCAIIAggCCAIZAgMCbAIeAAKrAgICHQIEAgUCBgIHAggCCQJMAgsCSQINAggCCAIIAggCCAIIAggCCAIIAggCCAIIAggCCAIIAggCCAIZAgMCUAIeAAKrAgICVgIEAgUCBgIHAggCCQJMAgsCSQINAggCCAIIAggCCAIIAggCCAIIAggCCAIIAggCCAIIAggCCAIZAgMCfwIeAAKrAgICKwIEAgUCBgIHAggCCQI4AgsCSQINAggCCAIIAggCCAIIAggCCAIIAggCCAIIAggCCAIIAggCCAIZAgMCVQIeAAKrAgICWQIEAgUCBgIHAggCCQI4AgsCSQINAggCCAIIAggCCAIIAggCCAIIAggCCAIIAggCCAIIAggCCAIZAgMCWgIeAAKrAgICdQIEAgUCBgIHAggCCQI4AgsCSQINAggCCAIIAggCCAIIAggCCAIIAggCCAIIAggCCAIIAggCCAIZAgMCdgIeAAKrAgICKwIEAgUCBgIHAggCCQJMAgsCSQINAggCCAIIAnoAAAQACAIIAggCCAIIAggCCAIIAggCCAIIAggCCAIIAhkCAwJzAh4AAqsCAgJ7AgQCBQIGAgcCCAIJAgoCCwJJAg0CCAIIAggCCAIIAggCCAIIAggCCAIIAggCCAIIAggCCAIIAhkCAwJ8Ah4AAqsCAgIpAgQCBQIGAgcCCAIJAgoCCwJJAg0CCAIIAggCCAIIAggCCAIIAggCCAIIAggCCAIIAggCCAIIAhkCAwJ0Ah4AAqsCAgKFAgQCBQIGAgcCCAIJAgoCCwJJAg0CCAIIAggCCAIIAggCCAIIAggCCAIIAggCCAIIAggCCAIIAhkCAwKGAh4AAqsCAgIDAgQCBQIGAgcCCAIJAjgCCwJJAg0CCAIIAggCCAIIAggCCAIIAggCCAIIAggCCAIIAggCCAIIAhkCAwKhAh4AAqsCAgJfAgQCBQIGAgcCCAIJAkwCCwJJAg0CCAIIAggCCAIIAggCCAIIAggCCAIIAggCCAIIAggCCAIIAhkCAwKdAh4AAqsCAgIhAgQCBQIGAgcCCAIJAkwCCwJJAg0CCAIIAggCCAIIAggCCAIIAggCCAIIAggCCAIIAggCCAIIAhkCAwJQAh4AAqsCAgJ4AgQCBQIGAgcCCAIJAgoCCwJJAg0CCAIIAggCCAIIAggCCAIIAggCCAIIAggCCAIIAggCCAIIAhkCAwJ5Ah4AAqsCAgJZAgQCBQIGAgcCCAIJAkwCCwJJAg0CCAIIAggCCAIIAggCCAIIAggCCAIIAggCCAIIAggCCAIIAhkCAwJyAh4AAqsCAgJWAgQCBQIGAgcCCAIJAjgCCwJJAg0CCAIIAggCCAIIAggCCAIIAggCCAIIAggCCAIIAggCCAIIAhkCAwJ+Ah4AAqsCAgJfAgQCBQIGAgcCCAIJAjgCCwJJAg0CCAIIAggCCAIIAggCCAIIAggCCAIIAggCCAIIAggCCAIIAhkCAwKeAh4AAqsCAgJTAgQCBQIGAgcCCAIJAjgCCwJJAg0CCAIIAggCCAIIAggCCAIIAggCCAIIAggCCAIIAggCCAIIAhkCAwKkAh4AAqsCAgIDAgQCBQIGAgcCCAIJAkwCCwJJAg0CCAIIAggCCAIIAggCCAIIAggCCAIIAggCCAIIAggCCAIIAhkCAwKYAh4AAqsCAgIdAgQCBQIGAgcCCAIJAjgCCwJJAg0CCAIIAggCCAIIAggCCAIIAggCCAIIAggCCAIIAggCCAIIAhkCAwJrAh4AAqsCAgIfAgQCBQIGAgcCCAIJAgoCCwJJAg0CCAIIAggCCAIIAggCCAIIAggCCAIIAggCCAIIAggCCAIIAhkCAwJvAh4AAqsCAgIxAgQCBQIGAgcCCAIJAgoCC3oAAAQAAkkCDQIIAggCCAIIAggCCAIIAggCCAIIAggCCAIIAggCCAIIAggCGQIDApMCHgACqwICAoICBAIFAgYCBwIIAgkCCgILAkkCDQIIAggCCAIIAggCCAIIAggCCAIIAggCCAIIAggCCAIIAggCGQIDApkCHgACqwICAicCBAIFAgYCBwIIAgkCOAILAkkCDQIIAggCCAIIAggCCAIIAggCCAIIAggCCAIIAggCCAIIAggCGQIDAm0CHgACqwICAlYCBAIFAgYCBwIIAgkCCgILAkkCDQIIAggCCAIIAggCCAIIAggCCAIIAggCCAIIAggCCAIIAggCGQIDAlcCHgACqwICAksCBAIFAgYCBwIIAgkCTAILAkkCDQIIAggCCAIIAggCCAIIAggCCAIIAggCCAIIAggCCAIIAggCGQIDAk0CHgACqwICAnsCBAIFAgYCBwIIAgkCOAILAkkCDQIIAggCCAIIAggCCAIIAggCCAIIAggCCAIIAggCCAIIAggCGQIDApoCHgACqwICAhsCBAIFAgYCBwIIAgkCTAILAkkCDQIIAggCCAIIAggCCAIIAggCCAIIAggCCAIIAggCCAIIAggCGQIDAk4CHgACqwICAi0CBAIFAgYCBwIIAgkCTAILAkkCDQIIAggCCAIIAggCCAIIAggCCAIIAggCCAIIAggCCAIIAggCGQIDAmICHgACqwICAmkCBAIFAgYCBwIIAgkCTAILAkkCDQIIAggCCAIIAggCCAIIAggCCAIIAggCCAIIAggCCAIIAggCGQIDAnECHgACqwICAmkCBAIFAgYCBwIIAgkCOAILAkkCDQIIAggCCAIIAggCCAIIAggCCAIIAggCCAIIAggCCAIIAggCGQIDAmoCHgACqwICAicCBAIFAgYCBwIIAgkCTAILAkkCDQIIAggCCAIIAggCCAIIAggCCAIIAggCCAIIAggCCAIIAggCGQIDAo4CHgACqwICAikCBAIFAgYCBwIIAgkCTAILAkkCDQIIAggCCAIIAggCCAIIAggCCAIIAggCCAIIAggCCAIIAggCGQIDAl0CHgACqwICAnUCBAIFAgYCBwIIAgkCCgILAkkCDQIIAggCCAIIAggCCAIIAggCCAIIAggCCAIIAggCCAIIAggCGQIDApACHgACqwICAl8CBAIFAgYCBwIIAgkCCgILAkkCDQIIAggCCAIIAggCCAIIAggCCAIIAggCCAIIAggCCAIIAggCGQIDAmACHgACqwICAnsCBAIFAgYCBwIIAgkCTAILAkkCDQIIAggCCAIIAggCCAIIAggCCAIIAggCCAIIAggCCAIIAggCGQIDAowCHgACqwICAksCBAIFAnoAAAQABgIHAggCCQI4AgsCSQINAggCCAIIAggCCAIIAggCCAIIAggCCAIIAggCCAIIAggCCAIZAgMCZAIeAAKrAgICGwIEAgUCBgIHAggCCQI4AgsCSQINAggCCAIIAggCCAIIAggCCAIIAggCCAIIAggCCAIIAggCCAIZAgMCUgIeAAKrAgICLwIEAgUCBgIHAggCCQIKAgsCSQINAggCCAIIAggCCAIIAggCCAIIAggCCAIIAggCCAIIAggCCAIZAgMCiQIeAAKrAgICNQIEAgUCBgIHAggCCQIKAgsCSQINAggCCAIIAggCCAIIAggCCAIIAggCCAIIAggCCAIIAggCCAIZAgMCigIeAAKrAgICHQIEAgUCBgIHAggCCQIKAgsCSQINAggCCAIIAggCCAIIAggCCAIIAggCCAIIAggCCAIIAggCCAIZAgMCUQIeAAKrAgICggIEAgUCBgIHAggCCQJMAgsCSQINAggCCAIIAggCCAIIAggCCAIIAggCCAIIAggCCAIIAggCCAIZAgMCiAIeAAKrAgICMwIEAgUCBgIHAggCCQIKAgsCSQINAggCCAIIAggCCAIIAggCCAIIAggCCAIIAggCCAIIAggCCAIZAgMCiwIeAAKrAgICMQIEAgUCBgIHAggCCQJMAgsCSQINAggCCAIIAggCCAIIAggCCAIIAggCCAIIAggCCAIIAggCCAIZAgMChwIeAAKrAgICggIEAgUCBgIHAggCCQI4AgsCSQINAggCCAIIAggCCAIIAggCCAIIAggCCAIIAggCCAIIAggCCAIZAgMCgwIeAAKrAgICUwIEAgUCBgIHAggCCQJMAgsCSQINAggCCAIIAggCCAIIAggCCAIIAggCCAIIAggCCAIIAggCCAIZAgMCpQIeAAKrAgICMQIEAgUCBgIHAggCCQI4AgsCSQINAggCCAIIAggCCAIIAggCCAIIAggCCAIIAggCCAIIAggCCAIZAgMChAIeAAKrAgICIQIEAgUCBgIHAggCCQI4AgsCSQINAggCCAIIAggCCAIIAggCCAIIAggCCAIIAggCCAIIAggCCAIZAgMCoAIeAAKrAgICJwIEAgUCBgIHAggCCQIKAgsCSQINAggCCAIIAggCCAIIAggCCAIIAggCCAIIAggCCAIIAggCCAIZAgMCowIeAAKrAgICaQIEAgUCBgIHAggCCQIKAgsCSQINAggCCAIIAggCCAIIAggCCAIIAggCCAIIAggCCAIIAggCCAIZAgMCogIeAAKrAgICIwIEAgUCBgIHAggCCQI4AgsCSQINAggCCAIIAggCCAIIAggCCAIIAggCCAIIAggCCAIIAggCCAIZAgMCnwIeAHoAAAQAAqsCAgIjAgQCBQIGAgcCCAIJAkwCCwJJAg0CCAIIAggCCAIIAggCCAIIAggCCAIIAggCCAIIAggCCAIIAhkCAwJQAh4AAqwACTQzMDk4NjYzMgICAoICBAIFAgYCBwIIAgkCTAILAkkCDQIIAggCCAIIAggCCAIIAggCCAIIAggCCAIIAggCCAIIAggCGwIDAogCHgACrAICAoUCBAIFAgYCBwIIAgkCCgILAkkCDQIIAggCCAIIAggCCAIIAggCCAIIAggCCAIIAggCCAIIAggCGwIDAoYCHgACrAICAjECBAIFAgYCBwIIAgkCTAILAkkCDQIIAggCCAIIAggCCAIIAggCCAIIAggCCAIIAggCCAIIAggCGwIDAocCHgACrAICAiMCBAIFAgYCBwIIAgkCOAILAkkCDQIIAggCCAIIAggCCAIIAggCCAIIAggCCAIIAggCCAIIAggCGwIDAp8CHgACrAICAjECBAIFAgYCBwIIAgkCOAILAkkCDQIIAggCCAIIAggCCAIIAggCCAIIAggCCAIIAggCCAIIAggCGwIDAoQCHgACrAICAnUCBAIFAgYCBwIIAgkCOAILAkkCDQIIAggCCAIIAggCCAIIAggCCAIIAggCCAIIAggCCAIIAggCGwIDAnYCHgACrAICAikCBAIFAgYCBwIIAgkCCgILAkkCDQIIAggCCAIIAggCCAIIAggCCAIIAggCCAIIAggCCAIIAggCGwIDAnQCHgACrAICAnUCBAIFAgYCBwIIAgkCTAILAkkCDQIIAggCCAIIAggCCAIIAggCCAIIAggCCAIIAggCCAIIAggCGwIDAoACHgACrAICAoUCBAIFAgYCBwIIAgkCOAILAkkCDQIIAggCCAIIAggCCAIIAggCCAIIAggCCAIIAggCCAIIAggCGwIDApsCHgACrAICAi8CBAIFAgYCBwIIAgkCTAILAkkCDQIIAggCCAIIAggCCAIIAggCCAIIAggCCAIIAggCCAIIAggCGwIDAncCHgACrAICAksCBAIFAgYCBwIIAgkCCgILAkkCDQIIAggCCAIIAggCCAIIAggCCAIIAggCCAIIAggCCAIIAggCGwIDApYCHgACrAICAi8CBAIFAgYCBwIIAgkCOAILAkkCDQIIAggCCAIIAggCCAIIAggCCAIIAggCCAIIAggCCAIIAggCGwIDAnoCHgACrAICAjUCBAIFAgYCBwIIAgkCOAILAkkCDQIIAggCCAIIAggCCAIIAggCCAIIAggCCAIIAggCCAIIAggCGwIDAm4CHgACrAICAmkCBAIFAgYCBwIIAgkCTAILAkkCDQIIAggCCAIIAggCCAIIAggCCAIIAnoAAAQACAIIAggCCAIIAggCCAIbAgMCcQIeAAKsAgICewIEAgUCBgIHAggCCQJMAgsCSQINAggCCAIIAggCCAIIAggCCAIIAggCCAIIAggCCAIIAggCCAIbAgMCjAIeAAKsAgICGwIEAgUCBgIHAggCCQIKAgsCSQINAggCCAIIAggCCAIIAggCCAIIAggCCAIIAggCCAIIAggCCAIbAgMClwIeAAKsAgICJwIEAgUCBgIHAggCCQI4AgsCSQINAggCCAIIAggCCAIIAggCCAIIAggCCAIIAggCCAIIAggCCAIbAgMCbQIeAAKsAgICaQIEAgUCBgIHAggCCQI4AgsCSQINAggCCAIIAggCCAIIAggCCAIIAggCCAIIAggCCAIIAggCCAIbAgMCagIeAAKsAgICJwIEAgUCBgIHAggCCQJMAgsCSQINAggCCAIIAggCCAIIAggCCAIIAggCCAIIAggCCAIIAggCCAIbAgMCjgIeAAKsAgICKwIEAgUCBgIHAggCCQIKAgsCSQINAggCCAIIAggCCAIIAggCCAIIAggCCAIIAggCCAIIAggCCAIbAgMCXAIeAAKsAgICWQIEAgUCBgIHAggCCQIKAgsCSQINAggCCAIIAggCCAIIAggCCAIIAggCCAIIAggCCAIIAggCCAIbAgMCYQIeAAKsAgICUwIEAgUCBgIHAggCCQJMAgsCSQINAggCCAIIAggCCAIIAggCCAIIAggCCAIIAggCCAIIAggCCAIbAgMCpQIeAAKsAgICXwIEAgUCBgIHAggCCQJMAgsCSQINAggCCAIIAggCCAIIAggCCAIIAggCCAIIAggCCAIIAggCCAIbAgMCnQIeAAKsAgICIQIEAgUCBgIHAggCCQJMAgsCSQINAggCCAIIAggCCAIIAggCCAIIAggCCAIIAggCCAIIAggCCAIbAgMCUAIeAAKsAgICIwIEAgUCBgIHAggCCQJMAgsCSQINAggCCAIIAggCCAIIAggCCAIIAggCCAIIAggCCAIIAggCCAIbAgMCUAIeAAKsAgICGwIEAgUCBgIHAggCCQI4AgsCSQINAggCCAIIAggCCAIIAggCCAIIAggCCAIIAggCCAIIAggCCAIbAgMCUgIeAAKsAgICSwIEAgUCBgIHAggCCQI4AgsCSQINAggCCAIIAggCCAIIAggCCAIIAggCCAIIAggCCAIIAggCCAIbAgMCZAIeAAKsAgICdQIEAgUCBgIHAggCCQIKAgsCSQINAggCCAIIAggCCAIIAggCCAIIAggCCAIIAggCCAIIAggCCAIbAgMCkAIeAAKsAgICggIEAgUCBgIHAggCCQI4AgsCSQINAggCCAIIAggCCHoAAAQAAggCCAIIAggCCAIIAggCCAIIAggCCAIIAhsCAwKDAh4AAqwCAgJfAgQCBQIGAgcCCAIJAjgCCwJJAg0CCAIIAggCCAIIAggCCAIIAggCCAIIAggCCAIIAggCCAIIAhsCAwKeAh4AAqwCAgIvAgQCBQIGAgcCCAIJAgoCCwJJAg0CCAIIAggCCAIIAggCCAIIAggCCAIIAggCCAIIAggCCAIIAhsCAwKJAh4AAqwCAgIdAgQCBQIGAgcCCAIJAgoCCwJJAg0CCAIIAggCCAIIAggCCAIIAggCCAIIAggCCAIIAggCCAIIAhsCAwJRAh4AAqwCAgI1AgQCBQIGAgcCCAIJAgoCCwJJAg0CCAIIAggCCAIIAggCCAIIAggCCAIIAggCCAIIAggCCAIIAhsCAwKKAh4AAqwCAgJZAgQCBQIGAgcCCAIJAjgCCwJJAg0CCAIIAggCCAIIAggCCAIIAggCCAIIAggCCAIIAggCCAIIAhsCAwJaAh4AAqwCAgIrAgQCBQIGAgcCCAIJAjgCCwJJAg0CCAIIAggCCAIIAggCCAIIAggCCAIIAggCCAIIAggCCAIIAhsCAwJVAh4AAqwCAgJWAgQCBQIGAgcCCAIJAgoCCwJJAg0CCAIIAggCCAIIAggCCAIIAggCCAIIAggCCAIIAggCCAIIAhsCAwJXAh4AAqwCAgJpAgQCBQIGAgcCCAIJAgoCCwJJAg0CCAIIAggCCAIIAggCCAIIAggCCAIIAggCCAIIAggCCAIIAhsCAwKiAh4AAqwCAgItAgQCBQIGAgcCCAIJAjgCCwJJAg0CCAIIAggCCAIIAggCCAIIAggCCAIIAggCCAIIAggCCAIIAhsCAwJKAh4AAqwCAgItAgQCBQIGAgcCCAIJAkwCCwJJAg0CCAIIAggCCAIIAggCCAIIAggCCAIIAggCCAIIAggCCAIIAhsCAwJiAh4AAqwCAgIbAgQCBQIGAgcCCAIJAkwCCwJJAg0CCAIIAggCCAIIAggCCAIIAggCCAIIAggCCAIIAggCCAIIAhsCAwJOAh4AAqwCAgIhAgQCBQIGAgcCCAIJAjgCCwJJAg0CCAIIAggCCAIIAggCCAIIAggCCAIIAggCCAIIAggCCAIIAhsCAwKgAh4AAqwCAgJLAgQCBQIGAgcCCAIJAkwCCwJJAg0CCAIIAggCCAIIAggCCAIIAggCCAIIAggCCAIIAggCCAIIAhsCAwJNAh4AAqwCAgInAgQCBQIGAgcCCAIJAgoCCwJJAg0CCAIIAggCCAIIAggCCAIIAggCCAIIAggCCAIIAggCCAIIAhsCAwKjAh4AAqwCAgJ4AgQCBQIGAgcCCAIJAgoCCwJJAnoAAAQADQIIAggCCAIIAggCCAIIAggCCAIIAggCCAIIAggCCAIIAggCGwIDAnkCHgACrAICAgMCBAIFAgYCBwIIAgkCOAILAkkCDQIIAggCCAIIAggCCAIIAggCCAIIAggCCAIIAggCCAIIAggCGwIDAqECHgACrAICAlMCBAIFAgYCBwIIAgkCOAILAkkCDQIIAggCCAIIAggCCAIIAggCCAIIAggCCAIIAggCCAIIAggCGwIDAqQCHgACrAICAiECBAIFAgYCBwIIAgkCCgILAkkCDQIIAggCCAIIAggCCAIIAggCCAIIAggCCAIIAggCCAIIAggCGwIDAmUCHgACrAICAl8CBAIFAgYCBwIIAgkCCgILAkkCDQIIAggCCAIIAggCCAIIAggCCAIIAggCCAIIAggCCAIIAggCGwIDAmACHgACrAICAh0CBAIFAgYCBwIIAgkCOAILAkkCDQIIAggCCAIIAggCCAIIAggCCAIIAggCCAIIAggCCAIIAggCGwIDAmsCHgACrAICAikCBAIFAgYCBwIIAgkCTAILAkkCDQIIAggCCAIIAggCCAIIAggCCAIIAggCCAIIAggCCAIIAggCGwIDAl0CHgACrAICAgMCBAIFAgYCBwIIAgkCTAILAkkCDQIIAggCCAIIAggCCAIIAggCCAIIAggCCAIIAggCCAIIAggCGwIDApgCHgACrAICAh8CBAIFAgYCBwIIAgkCCgILAkkCDQIIAggCCAIIAggCCAIIAggCCAIIAggCCAIIAggCCAIIAggCGwIDAm8CHgACrAICAi0CBAIFAgYCBwIIAgkCCgILAkkCDQIIAggCCAIIAggCCAIIAggCCAIIAggCCAIIAggCCAIIAggCGwIDAnACHgACrAICAjECBAIFAgYCBwIIAgkCCgILAkkCDQIIAggCCAIIAggCCAIIAggCCAIIAggCCAIIAggCCAIIAggCGwIDApMCHgACrAICAoICBAIFAgYCBwIIAgkCCgILAkkCDQIIAggCCAIIAggCCAIIAggCCAIIAggCCAIIAggCCAIIAggCGwIDApkCHgACrAICAlYCBAIFAgYCBwIIAgkCTAILAkkCDQIIAggCCAIIAggCCAIIAggCCAIIAggCCAIIAggCCAIIAggCGwIDAn8CHgACrAICAoUCBAIFAgYCBwIIAgkCTAILAkkCDQIIAggCCAIIAggCCAIIAggCCAIIAggCCAIIAggCCAIIAggCGwIDApwCHgACrAICAnsCBAIFAgYCBwIIAgkCOAILAkkCDQIIAggCCAIIAggCCAIIAggCCAIIAggCCAIIAggCCAIIAggCGwIDApoCHgACrAICAikCBAIFAgYCB3oAAAQAAggCCQI4AgsCSQINAggCCAIIAggCCAIIAggCCAIIAggCCAIIAggCCAIIAggCCAIbAgMCXgIeAAKsAgICHQIEAgUCBgIHAggCCQJMAgsCSQINAggCCAIIAggCCAIIAggCCAIIAggCCAIIAggCCAIIAggCCAIbAgMCUAIeAAKsAgICNQIEAgUCBgIHAggCCQJMAgsCSQINAggCCAIIAggCCAIIAggCCAIIAggCCAIIAggCCAIIAggCCAIbAgMCbAIeAAKsAgICVgIEAgUCBgIHAggCCQI4AgsCSQINAggCCAIIAggCCAIIAggCCAIIAggCCAIIAggCCAIIAggCCAIbAgMCfgIeAAKsAgICeAIEAgUCBgIHAggCCQI4AgsCSQINAggCCAIIAggCCAIIAggCCAIIAggCCAIIAggCCAIIAggCCAIbAgMCjQIeAAKsAgICIwIEAgUCBgIHAggCCQIKAgsCSQINAggCCAIIAggCCAIIAggCCAIIAggCCAIIAggCCAIIAggCCAIbAgMClAIeAAKsAgICeAIEAgUCBgIHAggCCQJMAgsCSQINAggCCAIIAggCCAIIAggCCAIIAggCCAIIAggCCAIIAggCCAIbAgMCkQIeAAKsAgICHwIEAgUCBgIHAggCCQI4AgsCSQINAggCCAIIAggCCAIIAggCCAIIAggCCAIIAggCCAIIAggCCAIbAgMCjwIeAAKsAgICUwIEAgUCBgIHAggCCQIKAgsCSQINAggCCAIIAggCCAIIAggCCAIIAggCCAIIAggCCAIIAggCCAIbAgMCVAIeAAKsAgICewIEAgUCBgIHAggCCQIKAgsCSQINAggCCAIIAggCCAIIAggCCAIIAggCCAIIAggCCAIIAggCCAIbAgMCfAIeAAKsAgICHwIEAgUCBgIHAggCCQJMAgsCSQINAggCCAIIAggCCAIIAggCCAIIAggCCAIIAggCCAIIAggCCAIbAgMCkgIeAAKsAgICKwIEAgUCBgIHAggCCQJMAgsCSQINAggCCAIIAggCCAIIAggCCAIIAggCCAIIAggCCAIIAggCCAIbAgMCcwIeAAKsAgICWQIEAgUCBgIHAggCCQJMAgsCSQINAggCCAIIAggCCAIIAggCCAIIAggCCAIIAggCCAIIAggCCAIbAgMCcgIeAAKsAgICAwIEAgUCBgIHAggCCQIKAgsCSQINAggCCAIIAggCCAIIAggCCAIIAggCCAIIAggCCAIIAggCCAIbAgMCWwIeAAKtAAk0MTcwMjE3MDQCAgIvAgQCBQIGAgcCCAIJAqkCCwIMAg0CCAIIAggCCAIIAggCCAIIAggCCAIIAggCCAIIAggCCAIIAncFGAIDAq5zcQB+AAAAAAACc3EAfgAE///////////////+/////v////91cQB+AAcAAAADBA6ueHh3RQIeAAKtAgICWQIEAgUCBgIHAggCCQIKAgsCDAINAggCCAIIAggCCAIIAggCCAIIAggCCAIIAggCCAIIAggCCAIYAgMCr3NxAH4AAAAAAAJzcQB+AAT///////////////7////+/////3VxAH4ABwAAAAQF6I5ueHh3igIeAAKtAgICKwIEAgUCBgIHAggCCQIKAgsCDAINAggCCAIIAggCCAIIAggCCAIIAggCCAIIAggCCAIIAggCCAIYAgMCLAIeAAKtAgICdQIEAgUCBgIHAggCCQKpAgsCDAINAggCCAIIAggCCAIIAggCCAIIAggCCAIIAggCCAIIAggCCAIYAgMCsHNxAH4AAAAAAAJzcQB+AAT///////////////7////+/////3VxAH4ABwAAAAMItpx4eHfPAh4AAq0CAgIhAgQCBQIGAgcCCAIJAgoCCwIMAg0CCAIIAggCCAIIAggCCAIIAggCCAIIAggCCAIIAggCCAIIAhgCAwIiAh4AAq0CAgIpAgQCBQIGAgcCCAIJAjgCCwIMAg0CCAIIAggCCAIIAggCCAIIAggCCAIIAggCCAIIAggCCAIIAhgCAwI9Ah4AAq0CAgJfAgQCBQIGAgcCCAIJAgoCCwIMAg0CCAIIAggCCAIIAggCCAIIAggCCAIIAggCCAIIAggCCAIIAhgCAwKxc3EAfgAAAAAAAnNxAH4ABP///////////////v////7/////dXEAfgAHAAAAA7xcsnh4d88CHgACrQICAiMCBAIFAgYCBwIIAgkCqQILAgwCDQIIAggCCAIIAggCCAIIAggCCAIIAggCCAIIAggCCAIIAggCGAIDAlACHgACrQICAjMCBAIFAgYCBwIIAgkCqQILAgwCDQIIAggCCAIIAggCCAIIAggCCAIIAggCCAIIAggCCAIIAggCGAIDAlACHgACrQICAjUCBAIFAgYCBwIIAgkCqQILAgwCDQIIAggCCAIIAggCCAIIAggCCAIIAggCCAIIAggCCAIIAggCGAIDArJzcQB+AAAAAAACc3EAfgAE///////////////+/////v////91cQB+AAcAAAADBWT/eHh3zwIeAAKtAgICHQIEAgUCBgIHAggCCQIKAgsCDAINAggCCAIIAggCCAIIAggCCAIIAggCCAIIAggCCAIIAggCCAIYAgMCHgIeAAKtAgICAwIEAgUCBgIHAggCCQIKAgsCDAINAggCCAIIAggCCAIIAggCCAIIAggCCAIIAggCCAIIAggCCAIYAgMCDgIeAAKtAgIChQIEAgUCBgIHAggCCQKpAgsCDAINAggCCAIIAggCCAIIAggCCAIIAggCCAIIAggCCAIIAggCCAIYAgMCs3NxAH4AAAAAAAJzcQB+AAT///////////////7////+/////3VxAH4ABwAAAAMHjdR4eHdFAh4AAq0CAgJLAgQCBQIGAgcCCAIJAjgCCwIMAg0CCAIIAggCCAIIAggCCAIIAggCCAIIAggCCAIIAggCCAIIAhgCAwK0c3EAfgAAAAAAAnNxAH4ABP///////////////v////7/////dXEAfgAHAAAABDc49U94eHdFAh4AAq0CAgJWAgQCBQIGAgcCCAIJAgoCCwIMAg0CCAIIAggCCAIIAggCCAIIAggCCAIIAggCCAIIAggCCAIIAhgCAwK1c3EAfgAAAAAAAnNxAH4ABP///////////////v////7/////dXEAfgAHAAAABExDDhV4eHdFAh4AAq0CAgJTAgQCBQIGAgcCCAIJAgoCCwIMAg0CCAIIAggCCAIIAggCCAIIAggCCAIIAggCCAIIAggCCAIIAhgCAwK2c3EAfgAAAAAAAnNxAH4ABP///////////////v////7/////dXEAfgAHAAAABATkMA94eHfPAh4AAq0CAgIbAgQCBQIGAgcCCAIJAjgCCwIMAg0CCAIIAggCCAIIAggCCAIIAggCCAIIAggCCAIIAggCCAIIAhgCAwJGAh4AAq0CAgItAgQCBQIGAgcCCAIJAjgCCwIMAg0CCAIIAggCCAIIAggCCAIIAggCCAIIAggCCAIIAggCCAIIAhgCAwJAAh4AAq0CAgJ1AgQCBQIGAgcCCAIJAjgCCwIMAg0CCAIIAggCCAIIAggCCAIIAggCCAIIAggCCAIIAggCCAIIAhgCAwK3c3EAfgAAAAAAAnNxAH4ABP///////////////v////7/////dXEAfgAHAAAABF1XUMl4eHeKAh4AAq0CAgIpAgQCBQIGAgcCCAIJAgoCCwIMAg0CCAIIAggCCAIIAggCCAIIAggCCAIIAggCCAIIAggCCAIIAhgCAwIqAh4AAq0CAgJZAgQCBQIGAgcCCAIJAjgCCwIMAg0CCAIIAggCCAIIAggCCAIIAggCCAIIAggCCAIIAggCCAIIAhgCAwK4c3EAfgAAAAAAAnNxAH4ABP///////////////v////7/////dXEAfgAHAAAABD37VuJ4eHeKAh4AAq0CAgIrAgQCBQIGAgcCCAIJAjgCCwIMAg0CCAIIAggCCAIIAggCCAIIAggCCAIIAggCCAIIAggCCAIIAhgCAwI/Ah4AAq0CAgInAgQCBQIGAgcCCAIJAqkCCwIMAg0CCAIIAggCCAIIAggCCAIIAggCCAIIAggCCAIIAggCCAIIAhgCAwK5c3EAfgAAAAAAAnNxAH4ABP///////////////v////7/////dXEAfgAHAAAAAwRDenh4d0UCHgACrQICAnsCBAIFAgYCBwIIAgkCCgILAgwCDQIIAggCCAIIAggCCAIIAggCCAIIAggCCAIIAggCCAIIAggCGAIDArpzcQB+AAAAAAACc3EAfgAE///////////////+/////v////91cQB+AAcAAAAEO4uIvXh4d0UCHgACrQICAoUCBAIFAgYCBwIIAgkCCgILAgwCDQIIAggCCAIIAggCCAIIAggCCAIIAggCCAIIAggCCAIIAggCGAIDArtzcQB+AAAAAAACc3EAfgAE///////////////+/////v////91cQB+AAcAAAAEAhunbnh4d0UCHgACrQICAoICBAIFAgYCBwIIAgkCqQILAgwCDQIIAggCCAIIAggCCAIIAggCCAIIAggCCAIIAggCCAIIAggCGAIDArxzcQB+AAAAAAACc3EAfgAE///////////////+/////v////91cQB+AAcAAAADCZ5/eHh3igIeAAKtAgICMwIEAgUCBgIHAggCCQI4AgsCDAINAggCCAIIAggCCAIIAggCCAIIAggCCAIIAggCCAIIAggCCAIYAgMCQQIeAAKtAgICMQIEAgUCBgIHAggCCQKpAgsCDAINAggCCAIIAggCCAIIAggCCAIIAggCCAIIAggCCAIIAggCCAIYAgMCvXNxAH4AAAAAAAJzcQB+AAT///////////////7////+/////3VxAH4ABwAAAAMEJQl4eHdFAh4AAq0CAgJWAgQCBQIGAgcCCAIJAjgCCwIMAg0CCAIIAggCCAIIAggCCAIIAggCCAIIAggCCAIIAggCCAIIAhgCAwK+c3EAfgAAAAAAAnNxAH4ABP///////////////v////7/////dXEAfgAHAAAABBJUFap4eHdFAh4AAq0CAgIbAgQCBQIGAgcCCAIJAqkCCwIMAg0CCAIIAggCCAIIAggCCAIIAggCCAIIAggCCAIIAggCCAIIAhgCAwK/c3EAfgAAAAAAAnNxAH4ABP///////////////v////7/////dXEAfgAHAAAAAwSrl3h4d0UCHgACrQICAksCBAIFAgYCBwIIAgkCqQILAgwCDQIIAggCCAIIAggCCAIIAggCCAIIAggCCAIIAggCCAIIAggCGAIDAsBzcQB+AAAAAAACc3EAfgAE///////////////+/////v////91cQB+AAcAAAADEhXLeHh3igIeAAKtAgICLQIEAgUCBgIHAggCCQIKAgsCDAINAggCCAIIAggCCAIIAggCCAIIAggCCAIIAggCCAIIAggCCAIYAgMCLgIeAAKtAgICeAIEAgUCBgIHAggCCQIKAgsCDAINAggCCAIIAggCCAIIAggCCAIIAggCCAIIAggCCAIIAggCCAIYAgMCwXNxAH4AAAAAAAJzcQB+AAT///////////////7////+/////3VxAH4ABwAAAAQDq4uteHh6AAABngIeAAKtAgICHwIEAgUCBgIHAggCCQIKAgsCDAINAggCCAIIAggCCAIIAggCCAIIAggCCAIIAggCCAIIAggCCAIYAgMCIAIeAAKtAgICLwIEAgUCBgIHAggCCQI4AgsCDAINAggCCAIIAggCCAIIAggCCAIIAggCCAIIAggCCAIIAggCCAIYAgMCQwIeAAKtAgICNQIEAgUCBgIHAggCCQI4AgsCDAINAggCCAIIAggCCAIIAggCCAIIAggCCAIIAggCCAIIAggCCAIYAgMCRQIeAAKtAgICHQIEAgUCBgIHAggCCQI4AgsCDAINAggCCAIIAggCCAIIAggCCAIIAggCCAIIAggCCAIIAggCCAIYAgMCQgIeAAKtAgICIQIEAgUCBgIHAggCCQKpAgsCDAINAggCCAIIAggCCAIIAggCCAIIAggCCAIIAggCCAIIAggCCAIYAgMCUAIeAAKtAgICXwIEAgUCBgIHAggCCQKpAgsCDAINAggCCAIIAggCCAIIAggCCAIIAggCCAIIAggCCAIIAggCCAIYAgMCwnNxAH4AAAAAAAJzcQB+AAT///////////////7////+/////3VxAH4ABwAAAAMFP694eHdFAh4AAq0CAgJ4AgQCBQIGAgcCCAIJAjgCCwIMAg0CCAIIAggCCAIIAggCCAIIAggCCAIIAggCCAIIAggCCAIIAhgCAwLDc3EAfgAAAAAAAnNxAH4ABP///////////////v////7/////dXEAfgAHAAAABFSIS5t4eHeKAh4AAq0CAgIvAgQCBQIGAgcCCAIJAgoCCwIMAg0CCAIIAggCCAIIAggCCAIIAggCCAIIAggCCAIIAggCCAIIAhgCAwIwAh4AAq0CAgJTAgQCBQIGAgcCCAIJAqkCCwIMAg0CCAIIAggCCAIIAggCCAIIAggCCAIIAggCCAIIAggCCAIIAhgCAwLEc3EAfgAAAAAAAnNxAH4ABP///////////////v////7/////dXEAfgAHAAAAAwzG/nh4d4oCHgACrQICAjECBAIFAgYCBwIIAgkCCgILAgwCDQIIAggCCAIIAggCCAIIAggCCAIIAggCCAIIAggCCAIIAggCGAIDAjICHgACrQICAisCBAIFAgYCBwIIAgkCqQILAgwCDQIIAggCCAIIAggCCAIIAggCCAIIAggCCAIIAggCCAIIAggCGAIDAsVzcQB+AAAAAAACc3EAfgAE///////////////+/////v////91cQB+AAcAAAADBHSNeHh3RQIeAAKtAgICewIEAgUCBgIHAggCCQI4AgsCDAINAggCCAIIAggCCAIIAggCCAIIAggCCAIIAggCCAIIAggCCAIYAgMCxnNxAH4AAAAAAAJzcQB+AAT///////////////7////+/////3VxAH4ABwAAAAQoo9pZeHh3RQIeAAKtAgICaQIEAgUCBgIHAggCCQI4AgsCDAINAggCCAIIAggCCAIIAggCCAIIAggCCAIIAggCCAIIAggCCAIYAgMCx3NxAH4AAAAAAAJzcQB+AAT///////////////7////+/////3VxAH4ABwAAAARMKwuAeHh3igIeAAKtAgICJwIEAgUCBgIHAggCCQI4AgsCDAINAggCCAIIAggCCAIIAggCCAIIAggCCAIIAggCCAIIAggCCAIYAgMCPgIeAAKtAgICggIEAgUCBgIHAggCCQIKAgsCDAINAggCCAIIAggCCAIIAggCCAIIAggCCAIIAggCCAIIAggCCAIYAgMCyHNxAH4AAAAAAAJzcQB+AAT///////////////7////+/////3VxAH4ABwAAAAQDNpKZeHh3RQIeAAKtAgICggIEAgUCBgIHAggCCQI4AgsCDAINAggCCAIIAggCCAIIAggCCAIIAggCCAIIAggCCAIIAggCCAIYAgMCyXNxAH4AAAAAAAJzcQB+AAT///////////////7////+/////3VxAH4ABwAAAARaL7WteHh3RQIeAAKtAgICVgIEAgUCBgIHAggCCQKpAgsCDAINAggCCAIIAggCCAIIAggCCAIIAggCCAIIAggCCAIIAggCCAIYAgMCynNxAH4AAAAAAAJzcQB+AAT///////////////7////+/////3VxAH4ABwAAAAMGaCt4eHoAAAEUAh4AAq0CAgIdAgQCBQIGAgcCCAIJAqkCCwIMAg0CCAIIAggCCAIIAggCCAIIAggCCAIIAggCCAIIAggCCAIIAhgCAwJQAh4AAq0CAgIzAgQCBQIGAgcCCAIJAgoCCwIMAg0CCAIIAggCCAIIAggCCAIIAggCCAIIAggCCAIIAggCCAIIAhgCAwI0Ah4AAq0CAgI1AgQCBQIGAgcCCAIJAgoCCwIMAg0CCAIIAggCCAIIAggCCAIIAggCCAIIAggCCAIIAggCCAIIAhgCAwI2Ah4AAq0CAgJpAgQCBQIGAgcCCAIJAqkCCwIMAg0CCAIIAggCCAIIAggCCAIIAggCCAIIAggCCAIIAggCCAIIAhgCAwLLc3EAfgAAAAAAAnNxAH4ABP///////////////v////7/////dXEAfgAHAAAAAwuCrXh4d0UCHgACrQICAgMCBAIFAgYCBwIIAgkCqQILAgwCDQIIAggCCAIIAggCCAIIAggCCAIIAggCCAIIAggCCAIIAggCGAIDAsxzcQB+AAAAAAACc3EAfgAE///////////////+/////v////91cQB+AAcAAAADBFYreHh3igIeAAKtAgICIwIEAgUCBgIHAggCCQIKAgsCDAINAggCCAIIAggCCAIIAggCCAIIAggCCAIIAggCCAIIAggCCAIYAgMCJAIeAAKtAgICdQIEAgUCBgIHAggCCQIKAgsCDAINAggCCAIIAggCCAIIAggCCAIIAggCCAIIAggCCAIIAggCCAIYAgMCzXNxAH4AAAAAAAJzcQB+AAT///////////////7////+/////3VxAH4ABwAAAAQCvT+keHh3zwIeAAKtAgICHwIEAgUCBgIHAggCCQI4AgsCDAINAggCCAIIAggCCAIIAggCCAIIAggCCAIIAggCCAIIAggCCAIYAgMCRwIeAAKtAgICIwIEAgUCBgIHAggCCQI4AgsCDAINAggCCAIIAggCCAIIAggCCAIIAggCCAIIAggCCAIIAggCCAIYAgMCOwIeAAKtAgICKQIEAgUCBgIHAggCCQKpAgsCDAINAggCCAIIAggCCAIIAggCCAIIAggCCAIIAggCCAIIAggCCAIYAgMCznNxAH4AAAAAAAJzcQB+AAT///////////////7////+/////3VxAH4ABwAAAAME+2h4eHdFAh4AAq0CAgJfAgQCBQIGAgcCCAIJAjgCCwIMAg0CCAIIAggCCAIIAggCCAIIAggCCAIIAggCCAIIAggCCAIIAhgCAwLPc3EAfgAAAAAAAnNxAH4ABP///////////////v////7/////dXEAfgAHAAAABGKNyxZ4eHdFAh4AAq0CAgIfAgQCBQIGAgcCCAIJAqkCCwIMAg0CCAIIAggCCAIIAggCCAIIAggCCAIIAggCCAIIAggCCAIIAhgCAwLQc3EAfgAAAAAAAnNxAH4ABP///////////////v////7/////dXEAfgAHAAAAAwQ0OHh4d0UCHgACrQICAnsCBAIFAgYCBwIIAgkCqQILAgwCDQIIAggCCAIIAggCCAIIAggCCAIIAggCCAIIAggCCAIIAggCGAIDAtFzcQB+AAAAAAACc3EAfgAE///////////////+/////v////91cQB+AAcAAAADBtyTeHh3igIeAAKtAgICJwIEAgUCBgIHAggCCQIKAgsCDAINAggCCAIIAggCCAIIAggCCAIIAggCCAIIAggCCAIIAggCCAIYAgMCKAIeAAKtAgICeAIEAgUCBgIHAggCCQKpAgsCDAINAggCCAIIAggCCAIIAggCCAIIAggCCAIIAggCCAIIAggCCAIYAgMC0nNxAH4AAAAAAAJzcQB+AAT///////////////7////+/////3VxAH4ABwAAAAMKgFR4eHdFAh4AAq0CAgKFAgQCBQIGAgcCCAIJAjgCCwIMAg0CCAIIAggCCAIIAggCCAIIAggCCAIIAggCCAIIAggCCAIIAhgCAwLTc3EAfgAAAAAAAnNxAH4ABP///////////////v////7/////dXEAfgAHAAAABGExCBR4eHdFAh4AAq0CAgJpAgQCBQIGAgcCCAIJAgoCCwIMAg0CCAIIAggCCAIIAggCCAIIAggCCAIIAggCCAIIAggCCAIIAhgCAwLUc3EAfgAAAAAAAnNxAH4ABP///////////////v////7/////dXEAfgAHAAAABAQ2ieN4eHfPAh4AAq0CAgIhAgQCBQIGAgcCCAIJAjgCCwIMAg0CCAIIAggCCAIIAggCCAIIAggCCAIIAggCCAIIAggCCAIIAhgCAwI6Ah4AAq0CAgIxAgQCBQIGAgcCCAIJAjgCCwIMAg0CCAIIAggCCAIIAggCCAIIAggCCAIIAggCCAIIAggCCAIIAhgCAwI5Ah4AAq0CAgJLAgQCBQIGAgcCCAIJAgoCCwIMAg0CCAIIAggCCAIIAggCCAIIAggCCAIIAggCCAIIAggCCAIIAhgCAwLVc3EAfgAAAAAAAnNxAH4ABP///////////////v////7/////dXEAfgAHAAAABAgl/7F4eHeKAh4AAq0CAgIbAgQCBQIGAgcCCAIJAgoCCwIMAg0CCAIIAggCCAIIAggCCAIIAggCCAIIAggCCAIIAggCCAIIAhgCAwIcAh4AAq0CAgItAgQCBQIGAgcCCAIJAqkCCwIMAg0CCAIIAggCCAIIAggCCAIIAggCCAIIAggCCAIIAggCCAIIAhgCAwLWc3EAfgAAAAAAAnNxAH4ABP///////////////v////7/////dXEAfgAHAAAAAwPcq3h4d0UCHgACrQICAlkCBAIFAgYCBwIIAgkCqQILAgwCDQIIAggCCAIIAggCCAIIAggCCAIIAggCCAIIAggCCAIIAggCGAIDAtdzcQB+AAAAAAACc3EAfgAE///////////////+/////v////91cQB+AAcAAAADDoPdeHh3RQIeAAKtAgICUwIEAgUCBgIHAggCCQI4AgsCDAINAggCCAIIAggCCAIIAggCCAIIAggCCAIIAggCCAIIAggCCAIYAgMC2HNxAH4AAAAAAAJzcQB+AAT///////////////7////+/////3VxAH4ABwAAAARIcHiveHh6AAAEAAIeAAKtAgICAwIEAgUCBgIHAggCCQI4AgsCDAINAggCCAIIAggCCAIIAggCCAIIAggCCAIIAggCCAIIAggCCAIYAgMCRAIeAALZAAk0MTcwMTQ3NDQCAgJ7AgQCBQIGAgcCCAIJAgoCCwIMAg0CCAIIAggCCAIIAggCCAIIAggCCAIIAggCCAIIAggCCAIIAhICAwK6Ah4AAtkCAgJfAgQCBQIGAgcCCAIJAjgCCwIMAg0CCAIIAggCCAIIAggCCAIIAggCCAIIAggCCAIIAggCCAIIAhICAwLPAh4AAtkCAgJTAgQCBQIGAgcCCAIJAjgCCwIMAg0CCAIIAggCCAIIAggCCAIIAggCCAIIAggCCAIIAggCCAIIAhICAwLYAh4AAtkCAgIpAgQCBQIGAgcCCAIJAqkCCwIMAg0CCAIIAggCCAIIAggCCAIIAggCCAIIAggCCAIIAggCCAIIAhICAwLOAh4AAtkCAgIfAgQCBQIGAgcCCAIJAgoCCwIMAg0CCAIIAggCCAIIAggCCAIIAggCCAIIAggCCAIIAggCCAIIAhICAwIgAh4AAtkCAgJPAgQCBQIGAgcCCAIJAqkCCwIMAg0CCAIIAggCCAIIAggCCAIIAggCCAIIAggCCAIIAggCCAIIAhICAwJQAh4AAtkCAgIDAgQCBQIGAgcCCAIJAjgCCwIMAg0CCAIIAggCCAIIAggCCAIIAggCCAIIAggCCAIIAggCCAIIAhICAwJEAh4AAtkCAgIdAgQCBQIGAgcCCAIJAjgCCwIMAg0CCAIIAggCCAIIAggCCAIIAggCCAIIAggCCAIIAggCCAIIAhICAwJCAh4AAtkCAgJ4AgQCBQIGAgcCCAIJAgoCCwIMAg0CCAIIAggCCAIIAggCCAIIAggCCAIIAggCCAIIAggCCAIIAhICAwLBAh4AAtkCAgJWAgQCBQIGAgcCCAIJAgoCCwIMAg0CCAIIAggCCAIIAggCCAIIAggCCAIIAggCCAIIAggCCAIIAhICAwK1Ah4AAtkCAgJpAgQCBQIGAgcCCAIJAjgCCwIMAg0CCAIIAggCCAIIAggCCAIIAggCCAIIAggCCAIIAggCCAIIAhICAwLHAh4AAtkCAgItAgQCBQIGAgcCCAIJAjgCCwIMAg0CCAIIAggCCAIIAggCCAIIAggCCAIIAggCCAIIAggCCAIIAhICAwJAAh4AAtkCAgIzAgQCBQIGAgcCCAIJAqkCCwIMAg0CCAIIAggCCAIIAggCCAIIAggCCAIIAggCCAIIAggCCAIIAhICAwJQAh4AAtkCAgI1AgQCBQIGAgcCCAIJAqkCCwIMAg0CCAIIAggCCAIIAggCCAIIAgh6AAAEAAIIAggCCAIIAggCCAIIAggCEgIDArICHgAC2QICAisCBAIFAgYCBwIIAgkCqQILAgwCDQIIAggCCAIIAggCCAIIAggCCAIIAggCCAIIAggCCAIIAggCEgIDAsUCHgAC2QICAnsCBAIFAgYCBwIIAgkCOAILAgwCDQIIAggCCAIIAggCCAIIAggCCAIIAggCCAIIAggCCAIIAggCEgIDAsYCHgAC2QICAmYCBAIFAgYCBwIIAgkCqQILAgwCDQIIAggCCAIIAggCCAIIAggCCAIIAggCCAIIAggCCAIIAggCEgIDAlACHgAC2QICAjECBAIFAgYCBwIIAgkCCgILAgwCDQIIAggCCAIIAggCCAIIAggCCAIIAggCCAIIAggCCAIIAggCEgIDAjICHgAC2QICAoICBAIFAgYCBwIIAgkCCgILAgwCDQIIAggCCAIIAggCCAIIAggCCAIIAggCCAIIAggCCAIIAggCEgIDAsgCHgAC2QICAiECBAIFAgYCBwIIAgkCCgILAgwCDQIIAggCCAIIAggCCAIIAggCCAIIAggCCAIIAggCCAIIAggCEgIDAiICHgAC2QICAl8CBAIFAgYCBwIIAgkCCgILAgwCDQIIAggCCAIIAggCCAIIAggCCAIIAggCCAIIAggCCAIIAggCEgIDArECHgAC2QICAicCBAIFAgYCBwIIAgkCOAILAgwCDQIIAggCCAIIAggCCAIIAggCCAIIAggCCAIIAggCCAIIAggCEgIDAj4CHgAC2QICAh8CBAIFAgYCBwIIAgkCOAILAgwCDQIIAggCCAIIAggCCAIIAggCCAIIAggCCAIIAggCCAIIAggCEgIDAkcCHgAC2QICAngCBAIFAgYCBwIIAgkCOAILAgwCDQIIAggCCAIIAggCCAIIAggCCAIIAggCCAIIAggCCAIIAggCEgIDAsMCHgAC2QICAl8CBAIFAgYCBwIIAgkCqQILAgwCDQIIAggCCAIIAggCCAIIAggCCAIIAggCCAIIAggCCAIIAggCEgIDAsICHgAC2QICAiMCBAIFAgYCBwIIAgkCqQILAgwCDQIIAggCCAIIAggCCAIIAggCCAIIAggCCAIIAggCCAIIAggCEgIDAlACHgAC2QICAnUCBAIFAgYCBwIIAgkCqQILAgwCDQIIAggCCAIIAggCCAIIAggCCAIIAggCCAIIAggCCAIIAggCEgIDArACHgAC2QICAiECBAIFAgYCBwIIAgkCqQILAgwCDQIIAggCCAIIAggCCAIIAggCCAIIAggCCAIIAggCCAIIAggCEgIDAlACHgAC2QICAiMCBAIFAgYCBwIIAgkCCgILAgwCDQIIAggCCAJ6AAADGAgCCAIIAggCCAIIAggCCAIIAggCCAIIAggCCAISAgMCJAIeAALZAgICLwIEAgUCBgIHAggCCQKpAgsCDAINAggCCAIIAggCCAIIAggCCAIIAggCCAIIAggCCAIIAggCCAISAgMCrgIeAALZAgICLQIEAgUCBgIHAggCCQIKAgsCDAINAggCCAIIAggCCAIIAggCCAIIAggCCAIIAggCCAIIAggCCAISAgMCLgIeAALZAgICAwIEAgUCBgIHAggCCQIKAgsCDAINAggCCAIIAggCCAIIAggCCAIIAggCCAIIAggCCAIIAggCCAISAgMCDgIeAALZAgICUwIEAgUCBgIHAggCCQIKAgsCDAINAggCCAIIAggCCAIIAggCCAIIAggCCAIIAggCCAIIAggCCAISAgMCtgIeAALZAgIChQIEAgUCBgIHAggCCQIKAgsCDAINAggCCAIIAggCCAIIAggCCAIIAggCCAIIAggCCAIIAggCCAISAgMCuwIeAALZAgICaQIEAgUCBgIHAggCCQKpAgsCDAINAggCCAIIAggCCAIIAggCCAIIAggCCAIIAggCCAIIAggCCAISAgMCywIeAALZAgICWQIEAgUCBgIHAggCCQI4AgsCDAINAggCCAIIAggCCAIIAggCCAIIAggCCAIIAggCCAIIAggCCAISAgMCuAIeAALZAgICVgIEAgUCBgIHAggCCQI4AgsCDAINAggCCAIIAggCCAIIAggCCAIIAggCCAIIAggCCAIIAggCCAISAgMCvgIeAALZAgICGwIEAgUCBgIHAggCCQKpAgsCDAINAggCCAIIAggCCAIIAggCCAIIAggCCAIIAggCCAIIAggCCAISAgMCvwIeAALZAgICJwIEAgUCBgIHAggCCQKpAgsCDAINAggCCAIIAggCCAIIAggCCAIIAggCCAIIAggCCAIIAggCCAISAgMCuQIeAALZAgICZgIEAgUCBgIHAggCCQI4AgsCDAINAggCCAIIAggCCAIIAggCCAIIAggCCAIIAggCCAIIAggCCAISAgMC2nNxAH4AAAAAAAJzcQB+AAT///////////////7////+/////3VxAH4ABwAAAARc5cCweHh6AAAEAAIeAALZAgICSwIEAgUCBgIHAggCCQKpAgsCDAINAggCCAIIAggCCAIIAggCCAIIAggCCAIIAggCCAIIAggCCAISAgMCwAIeAALZAgICKwIEAgUCBgIHAggCCQI4AgsCDAINAggCCAIIAggCCAIIAggCCAIIAggCCAIIAggCCAIIAggCCAISAgMCPwIeAALZAgICKQIEAgUCBgIHAggCCQIKAgsCDAINAggCCAIIAggCCAIIAggCCAIIAggCCAIIAggCCAIIAggCCAISAgMCKgIeAALZAgICIwIEAgUCBgIHAggCCQI4AgsCDAINAggCCAIIAggCCAIIAggCCAIIAggCCAIIAggCCAIIAggCCAISAgMCOwIeAALZAgICeAIEAgUCBgIHAggCCQKpAgsCDAINAggCCAIIAggCCAIIAggCCAIIAggCCAIIAggCCAIIAggCCAISAgMC0gIeAALZAgICdQIEAgUCBgIHAggCCQI4AgsCDAINAggCCAIIAggCCAIIAggCCAIIAggCCAIIAggCCAIIAggCCAISAgMCtwIeAALZAgICHwIEAgUCBgIHAggCCQKpAgsCDAINAggCCAIIAggCCAIIAggCCAIIAggCCAIIAggCCAIIAggCCAISAgMC0AIeAALZAgICJQIEAgUCBgIHAggCCQIKAgsCDAINAggCCAIIAggCCAIIAggCCAIIAggCCAIIAggCCAIIAggCCAISAgMCJgIeAALZAgICewIEAgUCBgIHAggCCQKpAgsCDAINAggCCAIIAggCCAIIAggCCAIIAggCCAIIAggCCAIIAggCCAISAgMC0QIeAALZAgICNQIEAgUCBgIHAggCCQI4AgsCDAINAggCCAIIAggCCAIIAggCCAIIAggCCAIIAggCCAIIAggCCAISAgMCRQIeAALZAgICMwIEAgUCBgIHAggCCQI4AgsCDAINAggCCAIIAggCCAIIAggCCAIIAggCCAIIAggCCAIIAggCCAISAgMCQQIeAALZAgICLwIEAgUCBgIHAggCCQI4AgsCDAINAggCCAIIAggCCAIIAggCCAIIAggCCAIIAggCCAIIAggCCAISAgMCQwIeAALZAgICSwIEAgUCBgIHAggCCQIKAgsCDAINAggCCAIIAggCCAIIAggCCAIIAggCCAIIAggCCAIIAggCCAISAgMC1QIeAALZAgICGwIEAgUCBgIHAggCCQIKAgsCDAINAggCCAIIAggCCAIIAggCCAIIAggCCAIIAggCCAIIAggCCAISAgMCHAIeAALZAgICggIEAgUCBgIHAggCCQKpAgsCDAINAggCCAIIAggCCAIIAggCCAIIAggCCAIIAggCCAJ3lQgCCAIIAhICAwK8Ah4AAtkCAgIdAgQCBQIGAgcCCAIJAqkCCwIMAg0CCAIIAggCCAIIAggCCAIIAggCCAIIAggCCAIIAggCCAIIAhICAwJQAh4AAtkCAgJPAgQCBQIGAgcCCAIJAgoCCwIMAg0CCAIIAggCCAIIAggCCAIIAggCCAIIAggCCAIIAggCCAIIAhICAwLbc3EAfgAAAAAAAnNxAH4ABP///////////////v////7/////dXEAfgAHAAAABAcZP5l4eHoAAAKyAh4AAtkCAgIxAgQCBQIGAgcCCAIJAqkCCwIMAg0CCAIIAggCCAIIAggCCAIIAggCCAIIAggCCAIIAggCCAIIAhICAwK9Ah4AAtkCAgKFAgQCBQIGAgcCCAIJAjgCCwIMAg0CCAIIAggCCAIIAggCCAIIAggCCAIIAggCCAIIAggCCAIIAhICAwLTAh4AAtkCAgIlAgQCBQIGAgcCCAIJAjgCCwIMAg0CCAIIAggCCAIIAggCCAIIAggCCAIIAggCCAIIAggCCAIIAhICAwI8Ah4AAtkCAgJTAgQCBQIGAgcCCAIJAqkCCwIMAg0CCAIIAggCCAIIAggCCAIIAggCCAIIAggCCAIIAggCCAIIAhICAwLEAh4AAtkCAgJWAgQCBQIGAgcCCAIJAqkCCwIMAg0CCAIIAggCCAIIAggCCAIIAggCCAIIAggCCAIIAggCCAIIAhICAwLKAh4AAtkCAgJZAgQCBQIGAgcCCAIJAgoCCwIMAg0CCAIIAggCCAIIAggCCAIIAggCCAIIAggCCAIIAggCCAIIAhICAwKvAh4AAtkCAgIrAgQCBQIGAgcCCAIJAgoCCwIMAg0CCAIIAggCCAIIAggCCAIIAggCCAIIAggCCAIIAggCCAIIAhICAwIsAh4AAtkCAgIpAgQCBQIGAgcCCAIJAjgCCwIMAg0CCAIIAggCCAIIAggCCAIIAggCCAIIAggCCAIIAggCCAIIAhICAwI9Ah4AAtkCAgIvAgQCBQIGAgcCCAIJAgoCCwIMAg0CCAIIAggCCAIIAggCCAIIAggCCAIIAggCCAIIAggCCAIIAhICAwIwAh4AAtkCAgJmAgQCBQIGAgcCCAIJAgoCCwIMAg0CCAIIAggCCAIIAggCCAIIAggCCAIIAggCCAIIAggCCAIIAhICAwLcc3EAfgAAAAAAAnNxAH4ABP///////////////v////7/////dXEAfgAHAAAABARKQZV4eHeKAh4AAtkCAgIDAgQCBQIGAgcCCAIJAqkCCwIMAg0CCAIIAggCCAIIAggCCAIIAggCCAIIAggCCAIIAggCCAIIAhICAwLMAh4AAtkCAgJPAgQCBQIGAgcCCAIJAjgCCwIMAg0CCAIIAggCCAIIAggCCAIIAggCCAIIAggCCAIIAggCCAIIAhICAwLdc3EAfgAAAAAAAnNxAH4ABP///////////////v////7/////dXEAfgAHAAAABFqpyF94eHoAAAQAAh4AAtkCAgIbAgQCBQIGAgcCCAIJAjgCCwIMAg0CCAIIAggCCAIIAggCCAIIAggCCAIIAggCCAIIAggCCAIIAhICAwJGAh4AAtkCAgJLAgQCBQIGAgcCCAIJAjgCCwIMAg0CCAIIAggCCAIIAggCCAIIAggCCAIIAggCCAIIAggCCAIIAhICAwK0Ah4AAtkCAgJZAgQCBQIGAgcCCAIJAqkCCwIMAg0CCAIIAggCCAIIAggCCAIIAggCCAIIAggCCAIIAggCCAIIAhICAwLXAh4AAtkCAgKFAgQCBQIGAgcCCAIJAqkCCwIMAg0CCAIIAggCCAIIAggCCAIIAggCCAIIAggCCAIIAggCCAIIAhICAwKzAh4AAtkCAgJ1AgQCBQIGAgcCCAIJAgoCCwIMAg0CCAIIAggCCAIIAggCCAIIAggCCAIIAggCCAIIAggCCAIIAhICAwLNAh4AAtkCAgItAgQCBQIGAgcCCAIJAqkCCwIMAg0CCAIIAggCCAIIAggCCAIIAggCCAIIAggCCAIIAggCCAIIAhICAwLWAh4AAtkCAgIdAgQCBQIGAgcCCAIJAgoCCwIMAg0CCAIIAggCCAIIAggCCAIIAggCCAIIAggCCAIIAggCCAIIAhICAwIeAh4AAtkCAgI1AgQCBQIGAgcCCAIJAgoCCwIMAg0CCAIIAggCCAIIAggCCAIIAggCCAIIAggCCAIIAggCCAIIAhICAwI2Ah4AAtkCAgKCAgQCBQIGAgcCCAIJAjgCCwIMAg0CCAIIAggCCAIIAggCCAIIAggCCAIIAggCCAIIAggCCAIIAhICAwLJAh4AAtkCAgIzAgQCBQIGAgcCCAIJAgoCCwIMAg0CCAIIAggCCAIIAggCCAIIAggCCAIIAggCCAIIAggCCAIIAhICAwI0Ah4AAtkCAgInAgQCBQIGAgcCCAIJAgoCCwIMAg0CCAIIAggCCAIIAggCCAIIAggCCAIIAggCCAIIAggCCAIIAhICAwIoAh4AAtkCAgJpAgQCBQIGAgcCCAIJAgoCCwIMAg0CCAIIAggCCAIIAggCCAIIAggCCAIIAggCCAIIAggCCAIIAhICAwLUAh4AAtkCAgIlAgQCBQIGAgcCCAIJAqkCCwIMAg0CCAIIAggCCAIIAggCCAIIAggCCAIIAggCCAIIAggCCAIIAhICAwJQAh4AAtkCAgIxAgQCBQIGAgcCCAIJAjgCCwIMAg0CCAIIAggCCAIIAggCCAIIAggCCAIIAggCCAIIAggCCAIIAhICAwI5Ah4AAtkCAgIhAgQCBQIGAgcCCAIJAjgCCwIMAg0CCAIIAggCCAIIAggCCAIIAggCCAIIAggCCAIIAnoAAAQACAIIAggCEgIDAjoCHgAC3gAJNDMwOTg1NDcyAgIChQIEAgUCBgIHAggCCQI4AgsCDAINAggCCAIIAggCCAIIAggCCAIIAggCCAIIAggCCAIIAggCCAIaAgMC0wIeAALeAgICHwIEAgUCBgIHAggCCQKpAgsCDAINAggCCAIIAggCCAIIAggCCAIIAggCCAIIAggCCAIIAggCCAIaAgMC0AIeAALeAgICIwIEAgUCBgIHAggCCQI4AgsCDAINAggCCAIIAggCCAIIAggCCAIIAggCCAIIAggCCAIIAggCCAIaAgMCOwIeAALeAgICMQIEAgUCBgIHAggCCQKpAgsCDAINAggCCAIIAggCCAIIAggCCAIIAggCCAIIAggCCAIIAggCCAIaAgMCvQIeAALeAgICKQIEAgUCBgIHAggCCQIKAgsCDAINAggCCAIIAggCCAIIAggCCAIIAggCCAIIAggCCAIIAggCCAIaAgMCKgIeAALeAgICeAIEAgUCBgIHAggCCQKpAgsCDAINAggCCAIIAggCCAIIAggCCAIIAggCCAIIAggCCAIIAggCCAIaAgMC0gIeAALeAgICLQIEAgUCBgIHAggCCQIKAgsCDAINAggCCAIIAggCCAIIAggCCAIIAggCCAIIAggCCAIIAggCCAIaAgMCLgIeAALeAgICggIEAgUCBgIHAggCCQKpAgsCDAINAggCCAIIAggCCAIIAggCCAIIAggCCAIIAggCCAIIAggCCAIaAgMCvAIeAALeAgICSwIEAgUCBgIHAggCCQIKAgsCDAINAggCCAIIAggCCAIIAggCCAIIAggCCAIIAggCCAIIAggCCAIaAgMC1QIeAALeAgICGwIEAgUCBgIHAggCCQIKAgsCDAINAggCCAIIAggCCAIIAggCCAIIAggCCAIIAggCCAIIAggCCAIaAgMCHAIeAALeAgICdQIEAgUCBgIHAggCCQI4AgsCDAINAggCCAIIAggCCAIIAggCCAIIAggCCAIIAggCCAIIAggCCAIaAgMCtwIeAALeAgICLwIEAgUCBgIHAggCCQI4AgsCDAINAggCCAIIAggCCAIIAggCCAIIAggCCAIIAggCCAIIAggCCAIaAgMCQwIeAALeAgICNQIEAgUCBgIHAggCCQI4AgsCDAINAggCCAIIAggCCAIIAggCCAIIAggCCAIIAggCCAIIAggCCAIaAgMCRQIeAALeAgICUwIEAgUCBgIHAggCCQKpAgsCDAINAggCCAIIAggCCAIIAggCCAIIAggCCAIIAggCCAIIAggCCAIaAgMCxAIeAALeAgICAwIEAgUCBgIHAggCCQKpAgsCDAINAggCCAIIAnoAAAQACAIIAggCCAIIAggCCAIIAggCCAIIAggCCAIIAhoCAwLMAh4AAt4CAgJLAgQCBQIGAgcCCAIJAjgCCwIMAg0CCAIIAggCCAIIAggCCAIIAggCCAIIAggCCAIIAggCCAIIAhoCAwK0Ah4AAt4CAgIvAgQCBQIGAgcCCAIJAgoCCwIMAg0CCAIIAggCCAIIAggCCAIIAggCCAIIAggCCAIIAggCCAIIAhoCAwIwAh4AAt4CAgKFAgQCBQIGAgcCCAIJAqkCCwIMAg0CCAIIAggCCAIIAggCCAIIAggCCAIIAggCCAIIAggCCAIIAhoCAwKzAh4AAt4CAgIhAgQCBQIGAgcCCAIJAqkCCwIMAg0CCAIIAggCCAIIAggCCAIIAggCCAIIAggCCAIIAggCCAIIAhoCAwJQAh4AAt4CAgIjAgQCBQIGAgcCCAIJAqkCCwIMAg0CCAIIAggCCAIIAggCCAIIAggCCAIIAggCCAIIAggCCAIIAhoCAwJQAh4AAt4CAgIrAgQCBQIGAgcCCAIJAgoCCwIMAg0CCAIIAggCCAIIAggCCAIIAggCCAIIAggCCAIIAggCCAIIAhoCAwIsAh4AAt4CAgKCAgQCBQIGAgcCCAIJAjgCCwIMAg0CCAIIAggCCAIIAggCCAIIAggCCAIIAggCCAIIAggCCAIIAhoCAwLJAh4AAt4CAgJZAgQCBQIGAgcCCAIJAgoCCwIMAg0CCAIIAggCCAIIAggCCAIIAggCCAIIAggCCAIIAggCCAIIAhoCAwKvAh4AAt4CAgIxAgQCBQIGAgcCCAIJAjgCCwIMAg0CCAIIAggCCAIIAggCCAIIAggCCAIIAggCCAIIAggCCAIIAhoCAwI5Ah4AAt4CAgI1AgQCBQIGAgcCCAIJAgoCCwIMAg0CCAIIAggCCAIIAggCCAIIAggCCAIIAggCCAIIAggCCAIIAhoCAwI2Ah4AAt4CAgJ7AgQCBQIGAgcCCAIJAqkCCwIMAg0CCAIIAggCCAIIAggCCAIIAggCCAIIAggCCAIIAggCCAIIAhoCAwLRAh4AAt4CAgIpAgQCBQIGAgcCCAIJAqkCCwIMAg0CCAIIAggCCAIIAggCCAIIAggCCAIIAggCCAIIAggCCAIIAhoCAwLOAh4AAt4CAgIdAgQCBQIGAgcCCAIJAgoCCwIMAg0CCAIIAggCCAIIAggCCAIIAggCCAIIAggCCAIIAggCCAIIAhoCAwIeAh4AAt4CAgJ1AgQCBQIGAgcCCAIJAgoCCwIMAg0CCAIIAggCCAIIAggCCAIIAggCCAIIAggCCAIIAggCCAIIAhoCAwLNAh4AAt4CAgJWAgQCBQIGAgcCCAIJAgoCC3oAAAQAAgwCDQIIAggCCAIIAggCCAIIAggCCAIIAggCCAIIAggCCAIIAggCGgIDArUCHgAC3gICAhsCBAIFAgYCBwIIAgkCOAILAgwCDQIIAggCCAIIAggCCAIIAggCCAIIAggCCAIIAggCCAIIAggCGgIDAkYCHgAC3gICAngCBAIFAgYCBwIIAgkCCgILAgwCDQIIAggCCAIIAggCCAIIAggCCAIIAggCCAIIAggCCAIIAggCGgIDAsECHgAC3gICAh8CBAIFAgYCBwIIAgkCCgILAgwCDQIIAggCCAIIAggCCAIIAggCCAIIAggCCAIIAggCCAIIAggCGgIDAiACHgAC3gICAlMCBAIFAgYCBwIIAgkCOAILAgwCDQIIAggCCAIIAggCCAIIAggCCAIIAggCCAIIAggCCAIIAggCGgIDAtgCHgAC3gICAlYCBAIFAgYCBwIIAgkCOAILAgwCDQIIAggCCAIIAggCCAIIAggCCAIIAggCCAIIAggCCAIIAggCGgIDAr4CHgAC3gICAhsCBAIFAgYCBwIIAgkCqQILAgwCDQIIAggCCAIIAggCCAIIAggCCAIIAggCCAIIAggCCAIIAggCGgIDAr8CHgAC3gICAksCBAIFAgYCBwIIAgkCqQILAgwCDQIIAggCCAIIAggCCAIIAggCCAIIAggCCAIIAggCCAIIAggCGgIDAsACHgAC3gICAl8CBAIFAgYCBwIIAgkCOAILAgwCDQIIAggCCAIIAggCCAIIAggCCAIIAggCCAIIAggCCAIIAggCGgIDAs8CHgAC3gICAmkCBAIFAgYCBwIIAgkCOAILAgwCDQIIAggCCAIIAggCCAIIAggCCAIIAggCCAIIAggCCAIIAggCGgIDAscCHgAC3gICAmkCBAIFAgYCBwIIAgkCCgILAgwCDQIIAggCCAIIAggCCAIIAggCCAIIAggCCAIIAggCCAIIAggCGgIDAtQCHgAC3gICAoICBAIFAgYCBwIIAgkCCgILAgwCDQIIAggCCAIIAggCCAIIAggCCAIIAggCCAIIAggCCAIIAggCGgIDAsgCHgAC3gICAnsCBAIFAgYCBwIIAgkCCgILAgwCDQIIAggCCAIIAggCCAIIAggCCAIIAggCCAIIAggCCAIIAggCGgIDAroCHgAC3gICAiECBAIFAgYCBwIIAgkCOAILAgwCDQIIAggCCAIIAggCCAIIAggCCAIIAggCCAIIAggCCAIIAggCGgIDAjoCHgAC3gICAicCBAIFAgYCBwIIAgkCOAILAgwCDQIIAggCCAIIAggCCAIIAggCCAIIAggCCAIIAggCCAIIAggCGgIDAj4CHgAC3gICAlkCBAIFAnoAAAQABgIHAggCCQKpAgsCDAINAggCCAIIAggCCAIIAggCCAIIAggCCAIIAggCCAIIAggCCAIaAgMC1wIeAALeAgICKwIEAgUCBgIHAggCCQKpAgsCDAINAggCCAIIAggCCAIIAggCCAIIAggCCAIIAggCCAIIAggCCAIaAgMCxQIeAALeAgICJwIEAgUCBgIHAggCCQIKAgsCDAINAggCCAIIAggCCAIIAggCCAIIAggCCAIIAggCCAIIAggCCAIaAgMCKAIeAALeAgICewIEAgUCBgIHAggCCQI4AgsCDAINAggCCAIIAggCCAIIAggCCAIIAggCCAIIAggCCAIIAggCCAIaAgMCxgIeAALeAgICLQIEAgUCBgIHAggCCQKpAgsCDAINAggCCAIIAggCCAIIAggCCAIIAggCCAIIAggCCAIIAggCCAIaAgMC1gIeAALeAgICXwIEAgUCBgIHAggCCQKpAgsCDAINAggCCAIIAggCCAIIAggCCAIIAggCCAIIAggCCAIIAggCCAIaAgMCwgIeAALeAgICAwIEAgUCBgIHAggCCQI4AgsCDAINAggCCAIIAggCCAIIAggCCAIIAggCCAIIAggCCAIIAggCCAIaAgMCRAIeAALeAgICHQIEAgUCBgIHAggCCQI4AgsCDAINAggCCAIIAggCCAIIAggCCAIIAggCCAIIAggCCAIIAggCCAIaAgMCQgIeAALeAgICIwIEAgUCBgIHAggCCQIKAgsCDAINAggCCAIIAggCCAIIAggCCAIIAggCCAIIAggCCAIIAggCCAIaAgMCJAIeAALeAgICIQIEAgUCBgIHAggCCQIKAgsCDAINAggCCAIIAggCCAIIAggCCAIIAggCCAIIAggCCAIIAggCCAIaAgMCIgIeAALeAgICAwIEAgUCBgIHAggCCQIKAgsCDAINAggCCAIIAggCCAIIAggCCAIIAggCCAIIAggCCAIIAggCCAIaAgMCDgIeAALeAgICHQIEAgUCBgIHAggCCQKpAgsCDAINAggCCAIIAggCCAIIAggCCAIIAggCCAIIAggCCAIIAggCCAIaAgMCUAIeAALeAgICVgIEAgUCBgIHAggCCQKpAgsCDAINAggCCAIIAggCCAIIAggCCAIIAggCCAIIAggCCAIIAggCCAIaAgMCygIeAALeAgICdQIEAgUCBgIHAggCCQKpAgsCDAINAggCCAIIAggCCAIIAggCCAIIAggCCAIIAggCCAIIAggCCAIaAgMCsAIeAALeAgIChQIEAgUCBgIHAggCCQIKAgsCDAINAggCCAIIAggCCAIIAggCCAIIAggCCAIIAggCCAIIAggCCAIaAgMCuwIeAHoAAAQAAt4CAgJfAgQCBQIGAgcCCAIJAgoCCwIMAg0CCAIIAggCCAIIAggCCAIIAggCCAIIAggCCAIIAggCCAIIAhoCAwKxAh4AAt4CAgIrAgQCBQIGAgcCCAIJAjgCCwIMAg0CCAIIAggCCAIIAggCCAIIAggCCAIIAggCCAIIAggCCAIIAhoCAwI/Ah4AAt4CAgIpAgQCBQIGAgcCCAIJAjgCCwIMAg0CCAIIAggCCAIIAggCCAIIAggCCAIIAggCCAIIAggCCAIIAhoCAwI9Ah4AAt4CAgIxAgQCBQIGAgcCCAIJAgoCCwIMAg0CCAIIAggCCAIIAggCCAIIAggCCAIIAggCCAIIAggCCAIIAhoCAwIyAh4AAt4CAgJZAgQCBQIGAgcCCAIJAjgCCwIMAg0CCAIIAggCCAIIAggCCAIIAggCCAIIAggCCAIIAggCCAIIAhoCAwK4Ah4AAt4CAgInAgQCBQIGAgcCCAIJAqkCCwIMAg0CCAIIAggCCAIIAggCCAIIAggCCAIIAggCCAIIAggCCAIIAhoCAwK5Ah4AAt4CAgJpAgQCBQIGAgcCCAIJAqkCCwIMAg0CCAIIAggCCAIIAggCCAIIAggCCAIIAggCCAIIAggCCAIIAhoCAwLLAh4AAt4CAgIvAgQCBQIGAgcCCAIJAqkCCwIMAg0CCAIIAggCCAIIAggCCAIIAggCCAIIAggCCAIIAggCCAIIAhoCAwKuAh4AAt4CAgI1AgQCBQIGAgcCCAIJAqkCCwIMAg0CCAIIAggCCAIIAggCCAIIAggCCAIIAggCCAIIAggCCAIIAhoCAwKyAh4AAt4CAgJ4AgQCBQIGAgcCCAIJAjgCCwIMAg0CCAIIAggCCAIIAggCCAIIAggCCAIIAggCCAIIAggCCAIIAhoCAwLDAh4AAt4CAgJTAgQCBQIGAgcCCAIJAgoCCwIMAg0CCAIIAggCCAIIAggCCAIIAggCCAIIAggCCAIIAggCCAIIAhoCAwK2Ah4AAt4CAgItAgQCBQIGAgcCCAIJAjgCCwIMAg0CCAIIAggCCAIIAggCCAIIAggCCAIIAggCCAIIAggCCAIIAhoCAwJAAh4AAt4CAgIfAgQCBQIGAgcCCAIJAjgCCwIMAg0CCAIIAggCCAIIAggCCAIIAggCCAIIAggCCAIIAggCCAIIAhoCAwJHAh4AAt8ACTQxNzAyMDU0NAICAnsCBAIFAgYCBwIIAgkCOAILAkkCDQIIAggCCAIIAggCCAIIAggCCAIIAggCCAIIAggCCAIIAggCFwIDApoCHgAC3wICAmkCBAIFAgYCBwIIAgkCTAILAkkCDQIIAggCCAIIAggCCAIIAggCCAIIAnoAAAQACAIIAggCCAIIAggCCAIXAgMCcQIeAALfAgICggIEAgUCBgIHAggCCQIKAgsCSQINAggCCAIIAggCCAIIAggCCAIIAggCCAIIAggCCAIIAggCCAIXAgMCmQIeAALfAgICJwIEAgUCBgIHAggCCQJMAgsCSQINAggCCAIIAggCCAIIAggCCAIIAggCCAIIAggCCAIIAggCCAIXAgMCjgIeAALfAgICHQIEAgUCBgIHAggCCQJMAgsCSQINAggCCAIIAggCCAIIAggCCAIIAggCCAIIAggCCAIIAggCCAIXAgMCUAIeAALfAgICeAIEAgUCBgIHAggCCQI4AgsCSQINAggCCAIIAggCCAIIAggCCAIIAggCCAIIAggCCAIIAggCCAIXAgMCjQIeAALfAgICJwIEAgUCBgIHAggCCQI4AgsCSQINAggCCAIIAggCCAIIAggCCAIIAggCCAIIAggCCAIIAggCCAIXAgMCbQIeAALfAgICVgIEAgUCBgIHAggCCQJMAgsCSQINAggCCAIIAggCCAIIAggCCAIIAggCCAIIAggCCAIIAggCCAIXAgMCfwIeAALfAgICMQIEAgUCBgIHAggCCQIKAgsCSQINAggCCAIIAggCCAIIAggCCAIIAggCCAIIAggCCAIIAggCCAIXAgMCkwIeAALfAgICeAIEAgUCBgIHAggCCQIKAgsCSQINAggCCAIIAggCCAIIAggCCAIIAggCCAIIAggCCAIIAggCCAIXAgMCeQIeAALfAgICAwIEAgUCBgIHAggCCQI4AgsCSQINAggCCAIIAggCCAIIAggCCAIIAggCCAIIAggCCAIIAggCCAIXAgMCoQIeAALfAgICUwIEAgUCBgIHAggCCQI4AgsCSQINAggCCAIIAggCCAIIAggCCAIIAggCCAIIAggCCAIIAggCCAIXAgMCpAIeAALfAgICUwIEAgUCBgIHAggCCQJMAgsCSQINAggCCAIIAggCCAIIAggCCAIIAggCCAIIAggCCAIIAggCCAIXAgMCpQIeAALfAgICAwIEAgUCBgIHAggCCQJMAgsCSQINAggCCAIIAggCCAIIAggCCAIIAggCCAIIAggCCAIIAggCCAIXAgMCmAIeAALfAgICVgIEAgUCBgIHAggCCQI4AgsCSQINAggCCAIIAggCCAIIAggCCAIIAggCCAIIAggCCAIIAggCCAIXAgMCfgIeAALfAgICHQIEAgUCBgIHAggCCQI4AgsCSQINAggCCAIIAggCCAIIAggCCAIIAggCCAIIAggCCAIIAggCCAIXAgMCawIeAALfAgICaQIEAgUCBgIHAggCCQI4AgsCSQINAggCCAIIAggCCHoAAAQAAggCCAIIAggCCAIIAggCCAIIAggCCAIIAhcCAwJqAh4AAt8CAgJ7AgQCBQIGAgcCCAIJAkwCCwJJAg0CCAIIAggCCAIIAggCCAIIAggCCAIIAggCCAIIAggCCAIIAhcCAwKMAh4AAt8CAgIfAgQCBQIGAgcCCAIJAgoCCwJJAg0CCAIIAggCCAIIAggCCAIIAggCCAIIAggCCAIIAggCCAIIAhcCAwJvAh4AAt8CAgIrAgQCBQIGAgcCCAIJAjgCCwJJAg0CCAIIAggCCAIIAggCCAIIAggCCAIIAggCCAIIAggCCAIIAhcCAwJVAh4AAt8CAgIvAgQCBQIGAgcCCAIJAjgCCwJJAg0CCAIIAggCCAIIAggCCAIIAggCCAIIAggCCAIIAggCCAIIAhcCAwJ6Ah4AAt8CAgJ1AgQCBQIGAgcCCAIJAjgCCwJJAg0CCAIIAggCCAIIAggCCAIIAggCCAIIAggCCAIIAggCCAIIAhcCAwJ2Ah4AAt8CAgJZAgQCBQIGAgcCCAIJAjgCCwJJAg0CCAIIAggCCAIIAggCCAIIAggCCAIIAggCCAIIAggCCAIIAhcCAwJaAh4AAt8CAgIrAgQCBQIGAgcCCAIJAkwCCwJJAg0CCAIIAggCCAIIAggCCAIIAggCCAIIAggCCAIIAggCCAIIAhcCAwJzAh4AAt8CAgItAgQCBQIGAgcCCAIJAkwCCwJJAg0CCAIIAggCCAIIAggCCAIIAggCCAIIAggCCAIIAggCCAIIAhcCAwJiAh4AAt8CAgKFAgQCBQIGAgcCCAIJAgoCCwJJAg0CCAIIAggCCAIIAggCCAIIAggCCAIIAggCCAIIAggCCAIIAhcCAwKGAh4AAt8CAgJ7AgQCBQIGAgcCCAIJAgoCCwJJAg0CCAIIAggCCAIIAggCCAIIAggCCAIIAggCCAIIAggCCAIIAhcCAwJ8Ah4AAt8CAgIlAgQCBQIGAgcCCAIJAgoCCwJJAg0CCAIIAggCCAIIAggCCAIIAggCCAIIAggCCAIIAggCCAIIAhcCAwKBAh4AAt8CAgIpAgQCBQIGAgcCCAIJAgoCCwJJAg0CCAIIAggCCAIIAggCCAIIAggCCAIIAggCCAIIAggCCAIIAhcCAwJ0Ah4AAt8CAgJ4AgQCBQIGAgcCCAIJAkwCCwJJAg0CCAIIAggCCAIIAggCCAIIAggCCAIIAggCCAIIAggCCAIIAhcCAwKRAh4AAt8CAgIfAgQCBQIGAgcCCAIJAkwCCwJJAg0CCAIIAggCCAIIAggCCAIIAggCCAIIAggCCAIIAggCCAIIAhcCAwKSAh4AAt8CAgJTAgQCBQIGAgcCCAIJAgoCCwJJAnoAAAQADQIIAggCCAIIAggCCAIIAggCCAIIAggCCAIIAggCCAIIAggCFwIDAlQCHgAC3wICAiMCBAIFAgYCBwIIAgkCCgILAkkCDQIIAggCCAIIAggCCAIIAggCCAIIAggCCAIIAggCCAIIAggCFwIDApQCHgAC3wICAh8CBAIFAgYCBwIIAgkCOAILAkkCDQIIAggCCAIIAggCCAIIAggCCAIIAggCCAIIAggCCAIIAggCFwIDAo8CHgAC3wICAi0CBAIFAgYCBwIIAgkCOAILAkkCDQIIAggCCAIIAggCCAIIAggCCAIIAggCCAIIAggCCAIIAggCFwIDAkoCHgAC3wICAlkCBAIFAgYCBwIIAgkCTAILAkkCDQIIAggCCAIIAggCCAIIAggCCAIIAggCCAIIAggCCAIIAggCFwIDAnICHgAC3wICAgMCBAIFAgYCBwIIAgkCCgILAkkCDQIIAggCCAIIAggCCAIIAggCCAIIAggCCAIIAggCCAIIAggCFwIDAlsCHgAC3wICAikCBAIFAgYCBwIIAgkCOAILAkkCDQIIAggCCAIIAggCCAIIAggCCAIIAggCCAIIAggCCAIIAggCFwIDAl4CHgAC3wICAjUCBAIFAgYCBwIIAgkCTAILAkkCDQIIAggCCAIIAggCCAIIAggCCAIIAggCCAIIAggCCAIIAggCFwIDAmwCHgAC3wICAlkCBAIFAgYCBwIIAgkCCgILAkkCDQIIAggCCAIIAggCCAIIAggCCAIIAggCCAIIAggCCAIIAggCFwIDAmECHgAC3wICAiUCBAIFAgYCBwIIAgkCTAILAkkCDQIIAggCCAIIAggCCAIIAggCCAIIAggCCAIIAggCCAIIAggCFwIDAlACHgAC3wICAiECBAIFAgYCBwIIAgkCCgILAkkCDQIIAggCCAIIAggCCAIIAggCCAIIAggCCAIIAggCCAIIAggCFwIDAmUCHgAC3wICAiUCBAIFAgYCBwIIAgkCOAILAkkCDQIIAggCCAIIAggCCAIIAggCCAIIAggCCAIIAggCCAIIAggCFwIDAmMCHgAC3wICAisCBAIFAgYCBwIIAgkCCgILAkkCDQIIAggCCAIIAggCCAIIAggCCAIIAggCCAIIAggCCAIIAggCFwIDAlwCHgAC3wICAoUCBAIFAgYCBwIIAgkCOAILAkkCDQIIAggCCAIIAggCCAIIAggCCAIIAggCCAIIAggCCAIIAggCFwIDApsCHgAC3wICAjUCBAIFAgYCBwIIAgkCOAILAkkCDQIIAggCCAIIAggCCAIIAggCCAIIAggCCAIIAggCCAIIAggCFwIDAm4CHgAC3wICAi8CBAIFAgYCB3oAAAQAAggCCQJMAgsCSQINAggCCAIIAggCCAIIAggCCAIIAggCCAIIAggCCAIIAggCCAIXAgMCdwIeAALfAgICdQIEAgUCBgIHAggCCQJMAgsCSQINAggCCAIIAggCCAIIAggCCAIIAggCCAIIAggCCAIIAggCCAIXAgMCgAIeAALfAgICXwIEAgUCBgIHAggCCQIKAgsCSQINAggCCAIIAggCCAIIAggCCAIIAggCCAIIAggCCAIIAggCCAIXAgMCYAIeAALfAgICKQIEAgUCBgIHAggCCQJMAgsCSQINAggCCAIIAggCCAIIAggCCAIIAggCCAIIAggCCAIIAggCCAIXAgMCXQIeAALfAgICSwIEAgUCBgIHAggCCQIKAgsCSQINAggCCAIIAggCCAIIAggCCAIIAggCCAIIAggCCAIIAggCCAIXAgMClgIeAALfAgIChQIEAgUCBgIHAggCCQJMAgsCSQINAggCCAIIAggCCAIIAggCCAIIAggCCAIIAggCCAIIAggCCAIXAgMCnAIeAALfAgICMwIEAgUCBgIHAggCCQJMAgsCSQINAggCCAIIAggCCAIIAggCCAIIAggCCAIIAggCCAIIAggCCAIXAgMCUAIeAALfAgICMwIEAgUCBgIHAggCCQI4AgsCSQINAggCCAIIAggCCAIIAggCCAIIAggCCAIIAggCCAIIAggCCAIXAgMCaAIeAALfAgICLQIEAgUCBgIHAggCCQIKAgsCSQINAggCCAIIAggCCAIIAggCCAIIAggCCAIIAggCCAIIAggCCAIXAgMCcAIeAALfAgICGwIEAgUCBgIHAggCCQIKAgsCSQINAggCCAIIAggCCAIIAggCCAIIAggCCAIIAggCCAIIAggCCAIXAgMClwIeAALfAgICaQIEAgUCBgIHAggCCQIKAgsCSQINAggCCAIIAggCCAIIAggCCAIIAggCCAIIAggCCAIIAggCCAIXAgMCogIeAALfAgICggIEAgUCBgIHAggCCQJMAgsCSQINAggCCAIIAggCCAIIAggCCAIIAggCCAIIAggCCAIIAggCCAIXAgMCiAIeAALfAgICIQIEAgUCBgIHAggCCQI4AgsCSQINAggCCAIIAggCCAIIAggCCAIIAggCCAIIAggCCAIIAggCCAIXAgMCoAIeAALfAgICXwIEAgUCBgIHAggCCQI4AgsCSQINAggCCAIIAggCCAIIAggCCAIIAggCCAIIAggCCAIIAggCCAIXAgMCngIeAALfAgICMQIEAgUCBgIHAggCCQJMAgsCSQINAggCCAIIAggCCAIIAggCCAIIAggCCAIIAggCCAIIAggCCAIXAgMChwIeAALfAnoAAAQAAgJLAgQCBQIGAgcCCAIJAkwCCwJJAg0CCAIIAggCCAIIAggCCAIIAggCCAIIAggCCAIIAggCCAIIAhcCAwJNAh4AAt8CAgIxAgQCBQIGAgcCCAIJAjgCCwJJAg0CCAIIAggCCAIIAggCCAIIAggCCAIIAggCCAIIAggCCAIIAhcCAwKEAh4AAt8CAgIjAgQCBQIGAgcCCAIJAjgCCwJJAg0CCAIIAggCCAIIAggCCAIIAggCCAIIAggCCAIIAggCCAIIAhcCAwKfAh4AAt8CAgInAgQCBQIGAgcCCAIJAgoCCwJJAg0CCAIIAggCCAIIAggCCAIIAggCCAIIAggCCAIIAggCCAIIAhcCAwKjAh4AAt8CAgIbAgQCBQIGAgcCCAIJAjgCCwJJAg0CCAIIAggCCAIIAggCCAIIAggCCAIIAggCCAIIAggCCAIIAhcCAwJSAh4AAt8CAgJLAgQCBQIGAgcCCAIJAjgCCwJJAg0CCAIIAggCCAIIAggCCAIIAggCCAIIAggCCAIIAggCCAIIAhcCAwJkAh4AAt8CAgIjAgQCBQIGAgcCCAIJAkwCCwJJAg0CCAIIAggCCAIIAggCCAIIAggCCAIIAggCCAIIAggCCAIIAhcCAwJQAh4AAt8CAgJfAgQCBQIGAgcCCAIJAkwCCwJJAg0CCAIIAggCCAIIAggCCAIIAggCCAIIAggCCAIIAggCCAIIAhcCAwKdAh4AAt8CAgKCAgQCBQIGAgcCCAIJAjgCCwJJAg0CCAIIAggCCAIIAggCCAIIAggCCAIIAggCCAIIAggCCAIIAhcCAwKDAh4AAt8CAgIhAgQCBQIGAgcCCAIJAkwCCwJJAg0CCAIIAggCCAIIAggCCAIIAggCCAIIAggCCAIIAggCCAIIAhcCAwJQAh4AAt8CAgIbAgQCBQIGAgcCCAIJAkwCCwJJAg0CCAIIAggCCAIIAggCCAIIAggCCAIIAggCCAIIAggCCAIIAhcCAwJOAh4AAt8CAgJWAgQCBQIGAgcCCAIJAgoCCwJJAg0CCAIIAggCCAIIAggCCAIIAggCCAIIAggCCAIIAggCCAIIAhcCAwJXAh4AAt8CAgJ1AgQCBQIGAgcCCAIJAgoCCwJJAg0CCAIIAggCCAIIAggCCAIIAggCCAIIAggCCAIIAggCCAIIAhcCAwKQAh4AAt8CAgIzAgQCBQIGAgcCCAIJAgoCCwJJAg0CCAIIAggCCAIIAggCCAIIAggCCAIIAggCCAIIAggCCAIIAhcCAwKLAh4AAt8CAgIvAgQCBQIGAgcCCAIJAgoCCwJJAg0CCAIIAggCCAIIAggCCAIIAggCCAIIAggCCAIIAggCCAIIAnoAAAQAFwIDAokCHgAC3wICAh0CBAIFAgYCBwIIAgkCCgILAkkCDQIIAggCCAIIAggCCAIIAggCCAIIAggCCAIIAggCCAIIAggCFwIDAlECHgAC3wICAjUCBAIFAgYCBwIIAgkCCgILAkkCDQIIAggCCAIIAggCCAIIAggCCAIIAggCCAIIAggCCAIIAggCFwIDAooCHgAC4AAJNDE3MDE3MDY0AgICIQIEAgUCBgIHAggCCQKpAgsCDAINAggCCAIIAggCCAIIAggCCAIIAggCCAIIAggCCAIIAggCCAIUAgMCUAIeAALgAgICeAIEAgUCBgIHAggCCQI4AgsCDAINAggCCAIIAggCCAIIAggCCAIIAggCCAIIAggCCAIIAggCCAIUAgMCwwIeAALgAgICKwIEAgUCBgIHAggCCQKpAgsCDAINAggCCAIIAggCCAIIAggCCAIIAggCCAIIAggCCAIIAggCCAIUAgMCxQIeAALgAgICHwIEAgUCBgIHAggCCQI4AgsCDAINAggCCAIIAggCCAIIAggCCAIIAggCCAIIAggCCAIIAggCCAIUAgMCRwIeAALgAgICewIEAgUCBgIHAggCCQI4AgsCDAINAggCCAIIAggCCAIIAggCCAIIAggCCAIIAggCCAIIAggCCAIUAgMCxgIeAALgAgICIwIEAgUCBgIHAggCCQIKAgsCDAINAggCCAIIAggCCAIIAggCCAIIAggCCAIIAggCCAIIAggCCAIUAgMCJAIeAALgAgICAwIEAgUCBgIHAggCCQKpAgsCDAINAggCCAIIAggCCAIIAggCCAIIAggCCAIIAggCCAIIAggCCAIUAgMCzAIeAALgAgICLQIEAgUCBgIHAggCCQKpAgsCDAINAggCCAIIAggCCAIIAggCCAIIAggCCAIIAggCCAIIAggCCAIUAgMC1gIeAALgAgICggIEAgUCBgIHAggCCQIKAgsCDAINAggCCAIIAggCCAIIAggCCAIIAggCCAIIAggCCAIIAggCCAIUAgMCyAIeAALgAgICJwIEAgUCBgIHAggCCQI4AgsCDAINAggCCAIIAggCCAIIAggCCAIIAggCCAIIAggCCAIIAggCCAIUAgMCPgIeAALgAgICUwIEAgUCBgIHAggCCQKpAgsCDAINAggCCAIIAggCCAIIAggCCAIIAggCCAIIAggCCAIIAggCCAIUAgMCxAIeAALgAgICMQIEAgUCBgIHAggCCQIKAgsCDAINAggCCAIIAggCCAIIAggCCAIIAggCCAIIAggCCAIIAggCCAIUAgMCMgIeAALgAgICHQIEAgUCBgIHAggCCQI4AgsCDAINAggCCAIIAggCCAIIAnoAAAQACAIIAggCCAIIAggCCAIIAggCCAIIAhQCAwJCAh4AAuACAgJWAgQCBQIGAgcCCAIJAjgCCwIMAg0CCAIIAggCCAIIAggCCAIIAggCCAIIAggCCAIIAggCCAIIAhQCAwK+Ah4AAuACAgIbAgQCBQIGAgcCCAIJAqkCCwIMAg0CCAIIAggCCAIIAggCCAIIAggCCAIIAggCCAIIAggCCAIIAhQCAwK/Ah4AAuACAgJPAgQCBQIGAgcCCAIJAqkCCwIMAg0CCAIIAggCCAIIAggCCAIIAggCCAIIAggCCAIIAggCCAIIAhQCAwJQAh4AAuACAgJpAgQCBQIGAgcCCAIJAjgCCwIMAg0CCAIIAggCCAIIAggCCAIIAggCCAIIAggCCAIIAggCCAIIAhQCAwLHAh4AAuACAgJ4AgQCBQIGAgcCCAIJAgoCCwIMAg0CCAIIAggCCAIIAggCCAIIAggCCAIIAggCCAIIAggCCAIIAhQCAwLBAh4AAuACAgIDAgQCBQIGAgcCCAIJAjgCCwIMAg0CCAIIAggCCAIIAggCCAIIAggCCAIIAggCCAIIAggCCAIIAhQCAwJEAh4AAuACAgJZAgQCBQIGAgcCCAIJAqkCCwIMAg0CCAIIAggCCAIIAggCCAIIAggCCAIIAggCCAIIAggCCAIIAhQCAwLXAh4AAuACAgJfAgQCBQIGAgcCCAIJAqkCCwIMAg0CCAIIAggCCAIIAggCCAIIAggCCAIIAggCCAIIAggCCAIIAhQCAwLCAh4AAuACAgIfAgQCBQIGAgcCCAIJAgoCCwIMAg0CCAIIAggCCAIIAggCCAIIAggCCAIIAggCCAIIAggCCAIIAhQCAwIgAh4AAuACAgIvAgQCBQIGAgcCCAIJAjgCCwIMAg0CCAIIAggCCAIIAggCCAIIAggCCAIIAggCCAIIAggCCAIIAhQCAwJDAh4AAuACAgJ1AgQCBQIGAgcCCAIJAjgCCwIMAg0CCAIIAggCCAIIAggCCAIIAggCCAIIAggCCAIIAggCCAIIAhQCAwK3Ah4AAuACAgJ7AgQCBQIGAgcCCAIJAgoCCwIMAg0CCAIIAggCCAIIAggCCAIIAggCCAIIAggCCAIIAggCCAIIAhQCAwK6Ah4AAuACAgJZAgQCBQIGAgcCCAIJAjgCCwIMAg0CCAIIAggCCAIIAggCCAIIAggCCAIIAggCCAIIAggCCAIIAhQCAwK4Ah4AAuACAgIlAgQCBQIGAgcCCAIJAgoCCwIMAg0CCAIIAggCCAIIAggCCAIIAggCCAIIAggCCAIIAggCCAIIAhQCAwImAh4AAuACAgIrAgQCBQIGAgcCCAIJAjgCCwIMAg0CCHoAAAQAAggCCAIIAggCCAIIAggCCAIIAggCCAIIAggCCAIIAggCFAIDAj8CHgAC4AICAoUCBAIFAgYCBwIIAgkCCgILAgwCDQIIAggCCAIIAggCCAIIAggCCAIIAggCCAIIAggCCAIIAggCFAIDArsCHgAC4AICAksCBAIFAgYCBwIIAgkCqQILAgwCDQIIAggCCAIIAggCCAIIAggCCAIIAggCCAIIAggCCAIIAggCFAIDAsACHgAC4AICAlYCBAIFAgYCBwIIAgkCqQILAgwCDQIIAggCCAIIAggCCAIIAggCCAIIAggCCAIIAggCCAIIAggCFAIDAsoCHgAC4AICAikCBAIFAgYCBwIIAgkCCgILAgwCDQIIAggCCAIIAggCCAIIAggCCAIIAggCCAIIAggCCAIIAggCFAIDAioCHgAC4AICAjUCBAIFAgYCBwIIAgkCqQILAgwCDQIIAggCCAIIAggCCAIIAggCCAIIAggCCAIIAggCCAIIAggCFAIDArICHgAC4AICAh0CBAIFAgYCBwIIAgkCqQILAgwCDQIIAggCCAIIAggCCAIIAggCCAIIAggCCAIIAggCCAIIAggCFAIDAlACHgAC4AICAlMCBAIFAgYCBwIIAgkCCgILAgwCDQIIAggCCAIIAggCCAIIAggCCAIIAggCCAIIAggCCAIIAggCFAIDArYCHgAC4AICAi0CBAIFAgYCBwIIAgkCOAILAgwCDQIIAggCCAIIAggCCAIIAggCCAIIAggCCAIIAggCCAIIAggCFAIDAkACHgAC4AICAjMCBAIFAgYCBwIIAgkCqQILAgwCDQIIAggCCAIIAggCCAIIAggCCAIIAggCCAIIAggCCAIIAggCFAIDAlACHgAC4AICAicCBAIFAgYCBwIIAgkCqQILAgwCDQIIAggCCAIIAggCCAIIAggCCAIIAggCCAIIAggCCAIIAggCFAIDArkCHgAC4AICAmkCBAIFAgYCBwIIAgkCqQILAgwCDQIIAggCCAIIAggCCAIIAggCCAIIAggCCAIIAggCCAIIAggCFAIDAssCHgAC4AICAgMCBAIFAgYCBwIIAgkCCgILAgwCDQIIAggCCAIIAggCCAIIAggCCAIIAggCCAIIAggCCAIIAggCFAIDAg4CHgAC4AICAi8CBAIFAgYCBwIIAgkCqQILAgwCDQIIAggCCAIIAggCCAIIAggCCAIIAggCCAIIAggCCAIIAggCFAIDAq4CHgAC4AICAlkCBAIFAgYCBwIIAgkCCgILAgwCDQIIAggCCAIIAggCCAIIAggCCAIIAggCCAIIAggCCAIIAggCFAIDAq8CHgAC4AICAikCBAIFAgYCBwIIAnoAAAQACQI4AgsCDAINAggCCAIIAggCCAIIAggCCAIIAggCCAIIAggCCAIIAggCCAIUAgMCPQIeAALgAgICIwIEAgUCBgIHAggCCQKpAgsCDAINAggCCAIIAggCCAIIAggCCAIIAggCCAIIAggCCAIIAggCCAIUAgMCUAIeAALgAgICXwIEAgUCBgIHAggCCQIKAgsCDAINAggCCAIIAggCCAIIAggCCAIIAggCCAIIAggCCAIIAggCCAIUAgMCsQIeAALgAgICIQIEAgUCBgIHAggCCQIKAgsCDAINAggCCAIIAggCCAIIAggCCAIIAggCCAIIAggCCAIIAggCCAIUAgMCIgIeAALgAgICdQIEAgUCBgIHAggCCQKpAgsCDAINAggCCAIIAggCCAIIAggCCAIIAggCCAIIAggCCAIIAggCCAIUAgMCsAIeAALgAgICKwIEAgUCBgIHAggCCQIKAgsCDAINAggCCAIIAggCCAIIAggCCAIIAggCCAIIAggCCAIIAggCCAIUAgMCLAIeAALgAgICJQIEAgUCBgIHAggCCQI4AgsCDAINAggCCAIIAggCCAIIAggCCAIIAggCCAIIAggCCAIIAggCCAIUAgMCPAIeAALgAgICSwIEAgUCBgIHAggCCQIKAgsCDAINAggCCAIIAggCCAIIAggCCAIIAggCCAIIAggCCAIIAggCCAIUAgMC1QIeAALgAgICNQIEAgUCBgIHAggCCQI4AgsCDAINAggCCAIIAggCCAIIAggCCAIIAggCCAIIAggCCAIIAggCCAIUAgMCRQIeAALgAgICTwIEAgUCBgIHAggCCQIKAgsCDAINAggCCAIIAggCCAIIAggCCAIIAggCCAIIAggCCAIIAggCCAIUAgMC2wIeAALgAgICMQIEAgUCBgIHAggCCQKpAgsCDAINAggCCAIIAggCCAIIAggCCAIIAggCCAIIAggCCAIIAggCCAIUAgMCvQIeAALgAgIChQIEAgUCBgIHAggCCQI4AgsCDAINAggCCAIIAggCCAIIAggCCAIIAggCCAIIAggCCAIIAggCCAIUAgMC0wIeAALgAgICggIEAgUCBgIHAggCCQKpAgsCDAINAggCCAIIAggCCAIIAggCCAIIAggCCAIIAggCCAIIAggCCAIUAgMCvAIeAALgAgICLQIEAgUCBgIHAggCCQIKAgsCDAINAggCCAIIAggCCAIIAggCCAIIAggCCAIIAggCCAIIAggCCAIUAgMCLgIeAALgAgICMwIEAgUCBgIHAggCCQI4AgsCDAINAggCCAIIAggCCAIIAggCCAIIAggCCAIIAggCCAIIAggCCAIUAgMCQQIeAALgAgICG3oAAAQAAgQCBQIGAgcCCAIJAgoCCwIMAg0CCAIIAggCCAIIAggCCAIIAggCCAIIAggCCAIIAggCCAIIAhQCAwIcAh4AAuACAgIlAgQCBQIGAgcCCAIJAqkCCwIMAg0CCAIIAggCCAIIAggCCAIIAggCCAIIAggCCAIIAggCCAIIAhQCAwJQAh4AAuACAgIpAgQCBQIGAgcCCAIJAqkCCwIMAg0CCAIIAggCCAIIAggCCAIIAggCCAIIAggCCAIIAggCCAIIAhQCAwLOAh4AAuACAgJfAgQCBQIGAgcCCAIJAjgCCwIMAg0CCAIIAggCCAIIAggCCAIIAggCCAIIAggCCAIIAggCCAIIAhQCAwLPAh4AAuACAgIhAgQCBQIGAgcCCAIJAjgCCwIMAg0CCAIIAggCCAIIAggCCAIIAggCCAIIAggCCAIIAggCCAIIAhQCAwI6Ah4AAuACAgJpAgQCBQIGAgcCCAIJAgoCCwIMAg0CCAIIAggCCAIIAggCCAIIAggCCAIIAggCCAIIAggCCAIIAhQCAwLUAh4AAuACAgJTAgQCBQIGAgcCCAIJAjgCCwIMAg0CCAIIAggCCAIIAggCCAIIAggCCAIIAggCCAIIAggCCAIIAhQCAwLYAh4AAuACAgIfAgQCBQIGAgcCCAIJAqkCCwIMAg0CCAIIAggCCAIIAggCCAIIAggCCAIIAggCCAIIAggCCAIIAhQCAwLQAh4AAuACAgJ4AgQCBQIGAgcCCAIJAqkCCwIMAg0CCAIIAggCCAIIAggCCAIIAggCCAIIAggCCAIIAggCCAIIAhQCAwLSAh4AAuACAgInAgQCBQIGAgcCCAIJAgoCCwIMAg0CCAIIAggCCAIIAggCCAIIAggCCAIIAggCCAIIAggCCAIIAhQCAwIoAh4AAuACAgIjAgQCBQIGAgcCCAIJAjgCCwIMAg0CCAIIAggCCAIIAggCCAIIAggCCAIIAggCCAIIAggCCAIIAhQCAwI7Ah4AAuACAgKFAgQCBQIGAgcCCAIJAqkCCwIMAg0CCAIIAggCCAIIAggCCAIIAggCCAIIAggCCAIIAggCCAIIAhQCAwKzAh4AAuACAgIxAgQCBQIGAgcCCAIJAjgCCwIMAg0CCAIIAggCCAIIAggCCAIIAggCCAIIAggCCAIIAggCCAIIAhQCAwI5Ah4AAuACAgIbAgQCBQIGAgcCCAIJAjgCCwIMAg0CCAIIAggCCAIIAggCCAIIAggCCAIIAggCCAIIAggCCAIIAhQCAwJGAh4AAuACAgJLAgQCBQIGAgcCCAIJAjgCCwIMAg0CCAIIAggCCAIIAggCCAIIAggCCAIIAggCCAIIAggCCAIIAhQCA3oAAAQAArQCHgAC4AICAoICBAIFAgYCBwIIAgkCOAILAgwCDQIIAggCCAIIAggCCAIIAggCCAIIAggCCAIIAggCCAIIAggCFAIDAskCHgAC4AICAjMCBAIFAgYCBwIIAgkCCgILAgwCDQIIAggCCAIIAggCCAIIAggCCAIIAggCCAIIAggCCAIIAggCFAIDAjQCHgAC4AICAlYCBAIFAgYCBwIIAgkCCgILAgwCDQIIAggCCAIIAggCCAIIAggCCAIIAggCCAIIAggCCAIIAggCFAIDArUCHgAC4AICAnUCBAIFAgYCBwIIAgkCCgILAgwCDQIIAggCCAIIAggCCAIIAggCCAIIAggCCAIIAggCCAIIAggCFAIDAs0CHgAC4AICAh0CBAIFAgYCBwIIAgkCCgILAgwCDQIIAggCCAIIAggCCAIIAggCCAIIAggCCAIIAggCCAIIAggCFAIDAh4CHgAC4AICAk8CBAIFAgYCBwIIAgkCOAILAgwCDQIIAggCCAIIAggCCAIIAggCCAIIAggCCAIIAggCCAIIAggCFAIDAt0CHgAC4AICAi8CBAIFAgYCBwIIAgkCCgILAgwCDQIIAggCCAIIAggCCAIIAggCCAIIAggCCAIIAggCCAIIAggCFAIDAjACHgAC4AICAjUCBAIFAgYCBwIIAgkCCgILAgwCDQIIAggCCAIIAggCCAIIAggCCAIIAggCCAIIAggCCAIIAggCFAIDAjYCHgAC4AICAnsCBAIFAgYCBwIIAgkCqQILAgwCDQIIAggCCAIIAggCCAIIAggCCAIIAggCCAIIAggCCAIIAggCFAIDAtECHgAC4QAJNDE3MDE4MjI0AgICAwIEAgUCBgIHAggCCQJMAgsCSQINAggCCAIIAggCCAIIAggCCAIIAggCCAIIAggCCAIIAggCCAIVAgMCmAIeAALhAgICHQIEAgUCBgIHAggCCQI4AgsCSQINAggCCAIIAggCCAIIAggCCAIIAggCCAIIAggCCAIIAggCCAIVAgMCawIeAALhAgICeAIEAgUCBgIHAggCCQIKAgsCSQINAggCCAIIAggCCAIIAggCCAIIAggCCAIIAggCCAIIAggCCAIVAgMCeQIeAALhAgICHwIEAgUCBgIHAggCCQIKAgsCSQINAggCCAIIAggCCAIIAggCCAIIAggCCAIIAggCCAIIAggCCAIVAgMCbwIeAALhAgICHQIEAgUCBgIHAggCCQJMAgsCSQINAggCCAIIAggCCAIIAggCCAIIAggCCAIIAggCCAIIAggCCAIVAgMCUAIeAALhAgICVgIEAgUCBgIHAggCCQJMAgsCSQINAggCCAIIAggCCAIIAggCCHoAAAQAAggCCAIIAggCCAIIAggCCAIIAhUCAwJ/Ah4AAuECAgIDAgQCBQIGAgcCCAIJAjgCCwJJAg0CCAIIAggCCAIIAggCCAIIAggCCAIIAggCCAIIAggCCAIIAhUCAwKhAh4AAuECAgJTAgQCBQIGAgcCCAIJAjgCCwJJAg0CCAIIAggCCAIIAggCCAIIAggCCAIIAggCCAIIAggCCAIIAhUCAwKkAh4AAuECAgJTAgQCBQIGAgcCCAIJAkwCCwJJAg0CCAIIAggCCAIIAggCCAIIAggCCAIIAggCCAIIAggCCAIIAhUCAwKlAh4AAuECAgJWAgQCBQIGAgcCCAIJAjgCCwJJAg0CCAIIAggCCAIIAggCCAIIAggCCAIIAggCCAIIAggCCAIIAhUCAwJ+Ah4AAuECAgInAgQCBQIGAgcCCAIJAkwCCwJJAg0CCAIIAggCCAIIAggCCAIIAggCCAIIAggCCAIIAggCCAIIAhUCAwKOAh4AAuECAgJpAgQCBQIGAgcCCAIJAkwCCwJJAg0CCAIIAggCCAIIAggCCAIIAggCCAIIAggCCAIIAggCCAIIAhUCAwJxAh4AAuECAgIxAgQCBQIGAgcCCAIJAgoCCwJJAg0CCAIIAggCCAIIAggCCAIIAggCCAIIAggCCAIIAggCCAIIAhUCAwKTAh4AAuECAgInAgQCBQIGAgcCCAIJAjgCCwJJAg0CCAIIAggCCAIIAggCCAIIAggCCAIIAggCCAIIAggCCAIIAhUCAwJtAh4AAuECAgJpAgQCBQIGAgcCCAIJAjgCCwJJAg0CCAIIAggCCAIIAggCCAIIAggCCAIIAggCCAIIAggCCAIIAhUCAwJqAh4AAuECAgJ7AgQCBQIGAgcCCAIJAkwCCwJJAg0CCAIIAggCCAIIAggCCAIIAggCCAIIAggCCAIIAggCCAIIAhUCAwKMAh4AAuECAgKCAgQCBQIGAgcCCAIJAgoCCwJJAg0CCAIIAggCCAIIAggCCAIIAggCCAIIAggCCAIIAggCCAIIAhUCAwKZAh4AAuECAgJ7AgQCBQIGAgcCCAIJAjgCCwJJAg0CCAIIAggCCAIIAggCCAIIAggCCAIIAggCCAIIAggCCAIIAhUCAwKaAh4AAuECAgJTAgQCBQIGAgcCCAIJAgoCCwJJAg0CCAIIAggCCAIIAggCCAIIAggCCAIIAggCCAIIAggCCAIIAhUCAwJUAh4AAuECAgIDAgQCBQIGAgcCCAIJAgoCCwJJAg0CCAIIAggCCAIIAggCCAIIAggCCAIIAggCCAIIAggCCAIIAhUCAwJbAh4AAuECAgIfAgQCBQIGAgcCCAIJAkwCCwJJAg0CCAIIAnoAAAQACAIIAggCCAIIAggCCAIIAggCCAIIAggCCAIIAggCFQIDApICHgAC4QICAiECBAIFAgYCBwIIAgkCCgILAkkCDQIIAggCCAIIAggCCAIIAggCCAIIAggCCAIIAggCCAIIAggCFQIDAmUCHgAC4QICAiUCBAIFAgYCBwIIAgkCTAILAkkCDQIIAggCCAIIAggCCAIIAggCCAIIAggCCAIIAggCCAIIAggCFQIDAlACHgAC4QICAh8CBAIFAgYCBwIIAgkCOAILAkkCDQIIAggCCAIIAggCCAIIAggCCAIIAggCCAIIAggCCAIIAggCFQIDAo8CHgAC4QICAi0CBAIFAgYCBwIIAgkCOAILAkkCDQIIAggCCAIIAggCCAIIAggCCAIIAggCCAIIAggCCAIIAggCFQIDAkoCHgAC4QICAi0CBAIFAgYCBwIIAgkCTAILAkkCDQIIAggCCAIIAggCCAIIAggCCAIIAggCCAIIAggCCAIIAggCFQIDAmICHgAC4QICAiMCBAIFAgYCBwIIAgkCCgILAkkCDQIIAggCCAIIAggCCAIIAggCCAIIAggCCAIIAggCCAIIAggCFQIDApQCHgAC4QICAngCBAIFAgYCBwIIAgkCTAILAkkCDQIIAggCCAIIAggCCAIIAggCCAIIAggCCAIIAggCCAIIAggCFQIDApECHgAC4QICAngCBAIFAgYCBwIIAgkCOAILAkkCDQIIAggCCAIIAggCCAIIAggCCAIIAggCCAIIAggCCAIIAggCFQIDAo0CHgAC4QICAisCBAIFAgYCBwIIAgkCOAILAkkCDQIIAggCCAIIAggCCAIIAggCCAIIAggCCAIIAggCCAIIAggCFQIDAlUCHgAC4QICAnsCBAIFAgYCBwIIAgkCCgILAkkCDQIIAggCCAIIAggCCAIIAggCCAIIAggCCAIIAggCCAIIAggCFQIDAnwCHgAC4QICAoUCBAIFAgYCBwIIAgkCCgILAkkCDQIIAggCCAIIAggCCAIIAggCCAIIAggCCAIIAggCCAIIAggCFQIDAoYCHgAC4QICAlkCBAIFAgYCBwIIAgkCOAILAkkCDQIIAggCCAIIAggCCAIIAggCCAIIAggCCAIIAggCCAIIAggCFQIDAloCHgAC4QICAlkCBAIFAgYCBwIIAgkCTAILAkkCDQIIAggCCAIIAggCCAIIAggCCAIIAggCCAIIAggCCAIIAggCFQIDAnICHgAC4QICAisCBAIFAgYCBwIIAgkCTAILAkkCDQIIAggCCAIIAggCCAIIAggCCAIIAggCCAIIAggCCAIIAggCFQIDAnMCHgAC4QICAoUCBAIFAgYCBwIIAgkCOHoAAAQAAgsCSQINAggCCAIIAggCCAIIAggCCAIIAggCCAIIAggCCAIIAggCCAIVAgMCmwIeAALhAgICNQIEAgUCBgIHAggCCQI4AgsCSQINAggCCAIIAggCCAIIAggCCAIIAggCCAIIAggCCAIIAggCCAIVAgMCbgIeAALhAgICSwIEAgUCBgIHAggCCQIKAgsCSQINAggCCAIIAggCCAIIAggCCAIIAggCCAIIAggCCAIIAggCCAIVAgMClgIeAALhAgICGwIEAgUCBgIHAggCCQIKAgsCSQINAggCCAIIAggCCAIIAggCCAIIAggCCAIIAggCCAIIAggCCAIVAgMClwIeAALhAgICMwIEAgUCBgIHAggCCQI4AgsCSQINAggCCAIIAggCCAIIAggCCAIIAggCCAIIAggCCAIIAggCCAIVAgMCaAIeAALhAgICIwIEAgUCBgIHAggCCQJMAgsCSQINAggCCAIIAggCCAIIAggCCAIIAggCCAIIAggCCAIIAggCCAIVAgMCUAIeAALhAgICKQIEAgUCBgIHAggCCQIKAgsCSQINAggCCAIIAggCCAIIAggCCAIIAggCCAIIAggCCAIIAggCCAIVAgMCdAIeAALhAgICJQIEAgUCBgIHAggCCQIKAgsCSQINAggCCAIIAggCCAIIAggCCAIIAggCCAIIAggCCAIIAggCCAIVAgMCgQIeAALhAgICLwIEAgUCBgIHAggCCQJMAgsCSQINAggCCAIIAggCCAIIAggCCAIIAggCCAIIAggCCAIIAggCCAIVAgMCdwIeAALhAgICNQIEAgUCBgIHAggCCQJMAgsCSQINAggCCAIIAggCCAIIAggCCAIIAggCCAIIAggCCAIIAggCCAIVAgMCbAIeAALhAgICdQIEAgUCBgIHAggCCQI4AgsCSQINAggCCAIIAggCCAIIAggCCAIIAggCCAIIAggCCAIIAggCCAIVAgMCdgIeAALhAgICdQIEAgUCBgIHAggCCQJMAgsCSQINAggCCAIIAggCCAIIAggCCAIIAggCCAIIAggCCAIIAggCCAIVAgMCgAIeAALhAgICJQIEAgUCBgIHAggCCQI4AgsCSQINAggCCAIIAggCCAIIAggCCAIIAggCCAIIAggCCAIIAggCCAIVAgMCYwIeAALhAgICKQIEAgUCBgIHAggCCQI4AgsCSQINAggCCAIIAggCCAIIAggCCAIIAggCCAIIAggCCAIIAggCCAIVAgMCXgIeAALhAgICLwIEAgUCBgIHAggCCQI4AgsCSQINAggCCAIIAggCCAIIAggCCAIIAggCCAIIAggCCAIIAggCCAIVAgMCegIeAALhAgICWQIEAnoAAAQABQIGAgcCCAIJAgoCCwJJAg0CCAIIAggCCAIIAggCCAIIAggCCAIIAggCCAIIAggCCAIIAhUCAwJhAh4AAuECAgItAgQCBQIGAgcCCAIJAgoCCwJJAg0CCAIIAggCCAIIAggCCAIIAggCCAIIAggCCAIIAggCCAIIAhUCAwJwAh4AAuECAgIrAgQCBQIGAgcCCAIJAgoCCwJJAg0CCAIIAggCCAIIAggCCAIIAggCCAIIAggCCAIIAggCCAIIAhUCAwJcAh4AAuECAgIzAgQCBQIGAgcCCAIJAkwCCwJJAg0CCAIIAggCCAIIAggCCAIIAggCCAIIAggCCAIIAggCCAIIAhUCAwJQAh4AAuECAgIpAgQCBQIGAgcCCAIJAkwCCwJJAg0CCAIIAggCCAIIAggCCAIIAggCCAIIAggCCAIIAggCCAIIAhUCAwJdAh4AAuECAgKFAgQCBQIGAgcCCAIJAkwCCwJJAg0CCAIIAggCCAIIAggCCAIIAggCCAIIAggCCAIIAggCCAIIAhUCAwKcAh4AAuECAgJfAgQCBQIGAgcCCAIJAgoCCwJJAg0CCAIIAggCCAIIAggCCAIIAggCCAIIAggCCAIIAggCCAIIAhUCAwJgAh4AAuECAgJPAgQCBQIGAgcCCAIJAgoCCwJJAg0CCAIIAggCCAIIAggCCAIIAggCCAIIAggCCAIIAggCCAIIAhUCAwKVAh4AAuECAgIbAgQCBQIGAgcCCAIJAjgCCwJJAg0CCAIIAggCCAIIAggCCAIIAggCCAIIAggCCAIIAggCCAIIAhUCAwJSAh4AAuECAgIxAgQCBQIGAgcCCAIJAjgCCwJJAg0CCAIIAggCCAIIAggCCAIIAggCCAIIAggCCAIIAggCCAIIAhUCAwKEAh4AAuECAgJPAgQCBQIGAgcCCAIJAjgCCwJJAg0CCAIIAggCCAIIAggCCAIIAggCCAIIAggCCAIIAggCCAIIAhUCAwJYAh4AAuECAgJPAgQCBQIGAgcCCAIJAkwCCwJJAg0CCAIIAggCCAIIAggCCAIIAggCCAIIAggCCAIIAggCCAIIAhUCAwJQAh4AAuECAgJ1AgQCBQIGAgcCCAIJAgoCCwJJAg0CCAIIAggCCAIIAggCCAIIAggCCAIIAggCCAIIAggCCAIIAhUCAwKQAh4AAuECAgJWAgQCBQIGAgcCCAIJAgoCCwJJAg0CCAIIAggCCAIIAggCCAIIAggCCAIIAggCCAIIAggCCAIIAhUCAwJXAh4AAuECAgIbAgQCBQIGAgcCCAIJAkwCCwJJAg0CCAIIAggCCAIIAggCCAIIAggCCAIIAggCCAIIAggCCAIIAhUCAwJOAnoAAAQAHgAC4QICAksCBAIFAgYCBwIIAgkCOAILAkkCDQIIAggCCAIIAggCCAIIAggCCAIIAggCCAIIAggCCAIIAggCFQIDAmQCHgAC4QICAksCBAIFAgYCBwIIAgkCTAILAkkCDQIIAggCCAIIAggCCAIIAggCCAIIAggCCAIIAggCCAIIAggCFQIDAk0CHgAC4QICAicCBAIFAgYCBwIIAgkCCgILAkkCDQIIAggCCAIIAggCCAIIAggCCAIIAggCCAIIAggCCAIIAggCFQIDAqMCHgAC4QICAmkCBAIFAgYCBwIIAgkCCgILAkkCDQIIAggCCAIIAggCCAIIAggCCAIIAggCCAIIAggCCAIIAggCFQIDAqICHgAC4QICAiECBAIFAgYCBwIIAgkCOAILAkkCDQIIAggCCAIIAggCCAIIAggCCAIIAggCCAIIAggCCAIIAggCFQIDAqACHgAC4QICAiMCBAIFAgYCBwIIAgkCOAILAkkCDQIIAggCCAIIAggCCAIIAggCCAIIAggCCAIIAggCCAIIAggCFQIDAp8CHgAC4QICAh0CBAIFAgYCBwIIAgkCCgILAkkCDQIIAggCCAIIAggCCAIIAggCCAIIAggCCAIIAggCCAIIAggCFQIDAlECHgAC4QICAi8CBAIFAgYCBwIIAgkCCgILAkkCDQIIAggCCAIIAggCCAIIAggCCAIIAggCCAIIAggCCAIIAggCFQIDAokCHgAC4QICAjUCBAIFAgYCBwIIAgkCCgILAkkCDQIIAggCCAIIAggCCAIIAggCCAIIAggCCAIIAggCCAIIAggCFQIDAooCHgAC4QICAjMCBAIFAgYCBwIIAgkCCgILAkkCDQIIAggCCAIIAggCCAIIAggCCAIIAggCCAIIAggCCAIIAggCFQIDAosCHgAC4QICAoICBAIFAgYCBwIIAgkCOAILAkkCDQIIAggCCAIIAggCCAIIAggCCAIIAggCCAIIAggCCAIIAggCFQIDAoMCHgAC4QICAjECBAIFAgYCBwIIAgkCTAILAkkCDQIIAggCCAIIAggCCAIIAggCCAIIAggCCAIIAggCCAIIAggCFQIDAocCHgAC4QICAoICBAIFAgYCBwIIAgkCTAILAkkCDQIIAggCCAIIAggCCAIIAggCCAIIAggCCAIIAggCCAIIAggCFQIDAogCHgAC4QICAl8CBAIFAgYCBwIIAgkCTAILAkkCDQIIAggCCAIIAggCCAIIAggCCAIIAggCCAIIAggCCAIIAggCFQIDAp0CHgAC4QICAiECBAIFAgYCBwIIAgkCTAILAkkCDQIIAggCCAIIAggCCAIIAggCCAIIAggCCAIIAggCCHoAAAQAAggCCAIVAgMCUAIeAALhAgICXwIEAgUCBgIHAggCCQI4AgsCSQINAggCCAIIAggCCAIIAggCCAIIAggCCAIIAggCCAIIAggCCAIVAgMCngIeAALiAAk0MzE3MDA3MzYCAgIhAgQCBQIGAgcCCAIJAjgCCwJJAg0CCAIIAggCCAIIAggCCAIIAggCCAIIAggCCAIIAggCCAIIAgMCAwKgAh4AAuICAgIfAgQCBQIGAgcCCAIJAjgCCwJJAg0CCAIIAggCCAIIAggCCAIIAggCCAIIAggCCAIIAggCCAIIAgMCAwKPAh4AAuICAgIvAgQCBQIGAgcCCAIJAjgCCwJJAg0CCAIIAggCCAIIAggCCAIIAggCCAIIAggCCAIIAggCCAIIAgMCAwJ6Ah4AAuICAgIpAgQCBQIGAgcCCAIJAjgCCwJJAg0CCAIIAggCCAIIAggCCAIIAggCCAIIAggCCAIIAggCCAIIAgMCAwJeAh4AAuICAgIrAgQCBQIGAgcCCAIJAjgCCwJJAg0CCAIIAggCCAIIAggCCAIIAggCCAIIAggCCAIIAggCCAIIAgMCAwJVAh4AAuICAgIlAgQCBQIGAgcCCAIJAjgCCwJJAg0CCAIIAggCCAIIAggCCAIIAggCCAIIAggCCAIIAggCCAIIAgMCAwJjAh4AAuICAgIjAgQCBQIGAgcCCAIJAjgCCwJJAg0CCAIIAggCCAIIAggCCAIIAggCCAIIAggCCAIIAggCCAIIAgMCAwKfAh4AAuICAgItAgQCBQIGAgcCCAIJAjgCCwJJAg0CCAIIAggCCAIIAggCCAIIAggCCAIIAggCCAIIAggCCAIIAgMCAwJKAh4AAuICAgInAgQCBQIGAgcCCAIJAjgCCwJJAg0CCAIIAggCCAIIAggCCAIIAggCCAIIAggCCAIIAggCCAIIAgMCAwJtAh4AAuICAgI1AgQCBQIGAgcCCAIJAjgCCwJJAg0CCAIIAggCCAIIAggCCAIIAggCCAIIAggCCAIIAggCCAIIAgMCAwJuAh4AAuICAgIxAgQCBQIGAgcCCAIJAjgCCwJJAg0CCAIIAggCCAIIAggCCAIIAggCCAIIAggCCAIIAggCCAIIAgMCAwKEAh4AAuICAgIdAgQCBQIGAgcCCAIJAjgCCwJJAg0CCAIIAggCCAIIAggCCAIIAggCCAIIAggCCAIIAggCCAIIAgMCAwJrAh4AAuICAgIbAgQCBQIGAgcCCAIJAjgCCwJJAg0CCAIIAggCCAIIAggCCAIIAggCCAIIAggCCAIIAggCCAIIAgMCAwJSAh4AAuICAgIDAgQCBQIGAgcCCAIJAjgCCwJJAg0CCAIIAggCCHoAAAQAAggCCAIIAggCCAIIAggCCAIIAggCCAIIAggCAwIDAqECHgAC4gICAjMCBAIFAgYCBwIIAgkCOAILAkkCDQIIAggCCAIIAggCCAIIAggCCAIIAggCCAIIAggCCAIIAggCAwIDAmgCHgAC4wAJNDE3MDE5Mzg0AgICVgIEAgUCBgIHAggCCQI4AgsCDAINAggCCAIIAggCCAIIAggCCAIIAggCCAIIAggCCAIIAggCCAIWAgMCvgIeAALjAgICeAIEAgUCBgIHAggCCQIKAgsCDAINAggCCAIIAggCCAIIAggCCAIIAggCCAIIAggCCAIIAggCCAIWAgMCwQIeAALjAgICJwIEAgUCBgIHAggCCQI4AgsCDAINAggCCAIIAggCCAIIAggCCAIIAggCCAIIAggCCAIIAggCCAIWAgMCPgIeAALjAgICHQIEAgUCBgIHAggCCQI4AgsCDAINAggCCAIIAggCCAIIAggCCAIIAggCCAIIAggCCAIIAggCCAIWAgMCQgIeAALjAgICAwIEAgUCBgIHAggCCQI4AgsCDAINAggCCAIIAggCCAIIAggCCAIIAggCCAIIAggCCAIIAggCCAIWAgMCRAIeAALjAgICHwIEAgUCBgIHAggCCQIKAgsCDAINAggCCAIIAggCCAIIAggCCAIIAggCCAIIAggCCAIIAggCCAIWAgMCIAIeAALjAgICaQIEAgUCBgIHAggCCQI4AgsCDAINAggCCAIIAggCCAIIAggCCAIIAggCCAIIAggCCAIIAggCCAIWAgMCxwIeAALjAgICWQIEAgUCBgIHAggCCQKpAgsCDAINAggCCAIIAggCCAIIAggCCAIIAggCCAIIAggCCAIIAggCCAIWAgMC1wIeAALjAgICKwIEAgUCBgIHAggCCQKpAgsCDAINAggCCAIIAggCCAIIAggCCAIIAggCCAIIAggCCAIIAggCCAIWAgMCxQIeAALjAgICJQIEAgUCBgIHAggCCQKpAgsCDAINAggCCAIIAggCCAIIAggCCAIIAggCCAIIAggCCAIIAggCCAIWAgMCUAIeAALjAgICKQIEAgUCBgIHAggCCQKpAgsCDAINAggCCAIIAggCCAIIAggCCAIIAggCCAIIAggCCAIIAggCCAIWAgMCzgIeAALjAgICXwIEAgUCBgIHAggCCQKpAgsCDAINAggCCAIIAggCCAIIAggCCAIIAggCCAIIAggCCAIIAggCCAIWAgMCwgIeAALjAgICXwIEAgUCBgIHAggCCQI4AgsCDAINAggCCAIIAggCCAIIAggCCAIIAggCCAIIAggCCAIIAggCCAIWAgMCzwIeAALjAgICaQIEAgUCBnoAAAQAAgcCCAIJAgoCCwIMAg0CCAIIAggCCAIIAggCCAIIAggCCAIIAggCCAIIAggCCAIIAhYCAwLUAh4AAuMCAgIrAgQCBQIGAgcCCAIJAjgCCwIMAg0CCAIIAggCCAIIAggCCAIIAggCCAIIAggCCAIIAggCCAIIAhYCAwI/Ah4AAuMCAgJ7AgQCBQIGAgcCCAIJAgoCCwIMAg0CCAIIAggCCAIIAggCCAIIAggCCAIIAggCCAIIAggCCAIIAhYCAwK6Ah4AAuMCAgIhAgQCBQIGAgcCCAIJAjgCCwIMAg0CCAIIAggCCAIIAggCCAIIAggCCAIIAggCCAIIAggCCAIIAhYCAwI6Ah4AAuMCAgJTAgQCBQIGAgcCCAIJAjgCCwIMAg0CCAIIAggCCAIIAggCCAIIAggCCAIIAggCCAIIAggCCAIIAhYCAwLYAh4AAuMCAgInAgQCBQIGAgcCCAIJAgoCCwIMAg0CCAIIAggCCAIIAggCCAIIAggCCAIIAggCCAIIAggCCAIIAhYCAwIoAh4AAuMCAgItAgQCBQIGAgcCCAIJAqkCCwIMAg0CCAIIAggCCAIIAggCCAIIAggCCAIIAggCCAIIAggCCAIIAhYCAwLWAh4AAuMCAgIbAgQCBQIGAgcCCAIJAqkCCwIMAg0CCAIIAggCCAIIAggCCAIIAggCCAIIAggCCAIIAggCCAIIAhYCAwK/Ah4AAuMCAgJLAgQCBQIGAgcCCAIJAqkCCwIMAg0CCAIIAggCCAIIAggCCAIIAggCCAIIAggCCAIIAggCCAIIAhYCAwLAAh4AAuMCAgKFAgQCBQIGAgcCCAIJAqkCCwIMAg0CCAIIAggCCAIIAggCCAIIAggCCAIIAggCCAIIAggCCAIIAhYCAwKzAh4AAuMCAgKCAgQCBQIGAgcCCAIJAjgCCwIMAg0CCAIIAggCCAIIAggCCAIIAggCCAIIAggCCAIIAggCCAIIAhYCAwLJAh4AAuMCAgIbAgQCBQIGAgcCCAIJAjgCCwIMAg0CCAIIAggCCAIIAggCCAIIAggCCAIIAggCCAIIAggCCAIIAhYCAwJGAh4AAuMCAgJLAgQCBQIGAgcCCAIJAjgCCwIMAg0CCAIIAggCCAIIAggCCAIIAggCCAIIAggCCAIIAggCCAIIAhYCAwK0Ah4AAuMCAgIxAgQCBQIGAgcCCAIJAjgCCwIMAg0CCAIIAggCCAIIAggCCAIIAggCCAIIAggCCAIIAggCCAIIAhYCAwI5Ah4AAuMCAgJWAgQCBQIGAgcCCAIJAgoCCwIMAg0CCAIIAggCCAIIAggCCAIIAggCCAIIAggCCAIIAggCCAIIAhYCAwK1Ah4AAnoAAAQA4wICAjMCBAIFAgYCBwIIAgkCCgILAgwCDQIIAggCCAIIAggCCAIIAggCCAIIAggCCAIIAggCCAIIAggCFgIDAjQCHgAC4wICAjUCBAIFAgYCBwIIAgkCCgILAgwCDQIIAggCCAIIAggCCAIIAggCCAIIAggCCAIIAggCCAIIAggCFgIDAjYCHgAC4wICAi8CBAIFAgYCBwIIAgkCCgILAgwCDQIIAggCCAIIAggCCAIIAggCCAIIAggCCAIIAggCCAIIAggCFgIDAjACHgAC4wICAh0CBAIFAgYCBwIIAgkCCgILAgwCDQIIAggCCAIIAggCCAIIAggCCAIIAggCCAIIAggCCAIIAggCFgIDAh4CHgAC4wICAiECBAIFAgYCBwIIAgkCqQILAgwCDQIIAggCCAIIAggCCAIIAggCCAIIAggCCAIIAggCCAIIAggCFgIDAlACHgAC4wICAlkCBAIFAgYCBwIIAgkCCgILAgwCDQIIAggCCAIIAggCCAIIAggCCAIIAggCCAIIAggCCAIIAggCFgIDAq8CHgAC4wICAisCBAIFAgYCBwIIAgkCCgILAgwCDQIIAggCCAIIAggCCAIIAggCCAIIAggCCAIIAggCCAIIAggCFgIDAiwCHgAC4wICAnsCBAIFAgYCBwIIAgkCqQILAgwCDQIIAggCCAIIAggCCAIIAggCCAIIAggCCAIIAggCCAIIAggCFgIDAtECHgAC4wICAiMCBAIFAgYCBwIIAgkCqQILAgwCDQIIAggCCAIIAggCCAIIAggCCAIIAggCCAIIAggCCAIIAggCFgIDAlACHgAC4wICAnUCBAIFAgYCBwIIAgkCCgILAgwCDQIIAggCCAIIAggCCAIIAggCCAIIAggCCAIIAggCCAIIAggCFgIDAs0CHgAC4wICAlMCBAIFAgYCBwIIAgkCqQILAgwCDQIIAggCCAIIAggCCAIIAggCCAIIAggCCAIIAggCCAIIAggCFgIDAsQCHgAC4wICAgMCBAIFAgYCBwIIAgkCqQILAgwCDQIIAggCCAIIAggCCAIIAggCCAIIAggCCAIIAggCCAIIAggCFgIDAswCHgAC4wICAjUCBAIFAgYCBwIIAgkCOAILAgwCDQIIAggCCAIIAggCCAIIAggCCAIIAggCCAIIAggCCAIIAggCFgIDAkUCHgAC4wICAjMCBAIFAgYCBwIIAgkCOAILAgwCDQIIAggCCAIIAggCCAIIAggCCAIIAggCCAIIAggCCAIIAggCFgIDAkECHgAC4wICAoUCBAIFAgYCBwIIAgkCOAILAgwCDQIIAggCCAIIAggCCAIIAggCCAIIAggCCAIIAggCCAIIAnoAAAQACAIWAgMC0wIeAALjAgICSwIEAgUCBgIHAggCCQIKAgsCDAINAggCCAIIAggCCAIIAggCCAIIAggCCAIIAggCCAIIAggCCAIWAgMC1QIeAALjAgICLQIEAgUCBgIHAggCCQIKAgsCDAINAggCCAIIAggCCAIIAggCCAIIAggCCAIIAggCCAIIAggCCAIWAgMCLgIeAALjAgICggIEAgUCBgIHAggCCQKpAgsCDAINAggCCAIIAggCCAIIAggCCAIIAggCCAIIAggCCAIIAggCCAIWAgMCvAIeAALjAgICMQIEAgUCBgIHAggCCQKpAgsCDAINAggCCAIIAggCCAIIAggCCAIIAggCCAIIAggCCAIIAggCCAIWAgMCvQIeAALjAgICGwIEAgUCBgIHAggCCQIKAgsCDAINAggCCAIIAggCCAIIAggCCAIIAggCCAIIAggCCAIIAggCCAIWAgMCHAIeAALjAgICLwIEAgUCBgIHAggCCQI4AgsCDAINAggCCAIIAggCCAIIAggCCAIIAggCCAIIAggCCAIIAggCCAIWAgMCQwIeAALjAgICIwIEAgUCBgIHAggCCQI4AgsCDAINAggCCAIIAggCCAIIAggCCAIIAggCCAIIAggCCAIIAggCCAIWAgMCOwIeAALjAgICdQIEAgUCBgIHAggCCQI4AgsCDAINAggCCAIIAggCCAIIAggCCAIIAggCCAIIAggCCAIIAggCCAIWAgMCtwIeAALjAgICHwIEAgUCBgIHAggCCQKpAgsCDAINAggCCAIIAggCCAIIAggCCAIIAggCCAIIAggCCAIIAggCCAIWAgMC0AIeAALjAgICKQIEAgUCBgIHAggCCQIKAgsCDAINAggCCAIIAggCCAIIAggCCAIIAggCCAIIAggCCAIIAggCCAIWAgMCKgIeAALjAgICeAIEAgUCBgIHAggCCQKpAgsCDAINAggCCAIIAggCCAIIAggCCAIIAggCCAIIAggCCAIIAggCCAIWAgMC0gIeAALjAgICJQIEAgUCBgIHAggCCQIKAgsCDAINAggCCAIIAggCCAIIAggCCAIIAggCCAIIAggCCAIIAggCCAIWAgMCJgIeAALjAgICVgIEAgUCBgIHAggCCQKpAgsCDAINAggCCAIIAggCCAIIAggCCAIIAggCCAIIAggCCAIIAggCCAIWAgMCygIeAALjAgICHQIEAgUCBgIHAggCCQKpAgsCDAINAggCCAIIAggCCAIIAggCCAIIAggCCAIIAggCCAIIAggCCAIWAgMCUAIeAALjAgICNQIEAgUCBgIHAggCCQKpAgsCDAINAggCCAIIAggCCAIIAggCCAIIAggCCHoAAAQAAggCCAIIAggCCAIIAhYCAwKyAh4AAuMCAgIDAgQCBQIGAgcCCAIJAgoCCwIMAg0CCAIIAggCCAIIAggCCAIIAggCCAIIAggCCAIIAggCCAIIAhYCAwIOAh4AAuMCAgKFAgQCBQIGAgcCCAIJAgoCCwIMAg0CCAIIAggCCAIIAggCCAIIAggCCAIIAggCCAIIAggCCAIIAhYCAwK7Ah4AAuMCAgIzAgQCBQIGAgcCCAIJAqkCCwIMAg0CCAIIAggCCAIIAggCCAIIAggCCAIIAggCCAIIAggCCAIIAhYCAwJQAh4AAuMCAgJTAgQCBQIGAgcCCAIJAgoCCwIMAg0CCAIIAggCCAIIAggCCAIIAggCCAIIAggCCAIIAggCCAIIAhYCAwK2Ah4AAuMCAgItAgQCBQIGAgcCCAIJAjgCCwIMAg0CCAIIAggCCAIIAggCCAIIAggCCAIIAggCCAIIAggCCAIIAhYCAwJAAh4AAuMCAgInAgQCBQIGAgcCCAIJAqkCCwIMAg0CCAIIAggCCAIIAggCCAIIAggCCAIIAggCCAIIAggCCAIIAhYCAwK5Ah4AAuMCAgJpAgQCBQIGAgcCCAIJAqkCCwIMAg0CCAIIAggCCAIIAggCCAIIAggCCAIIAggCCAIIAggCCAIIAhYCAwLLAh4AAuMCAgJZAgQCBQIGAgcCCAIJAjgCCwIMAg0CCAIIAggCCAIIAggCCAIIAggCCAIIAggCCAIIAggCCAIIAhYCAwK4Ah4AAuMCAgIvAgQCBQIGAgcCCAIJAqkCCwIMAg0CCAIIAggCCAIIAggCCAIIAggCCAIIAggCCAIIAggCCAIIAhYCAwKuAh4AAuMCAgJ1AgQCBQIGAgcCCAIJAqkCCwIMAg0CCAIIAggCCAIIAggCCAIIAggCCAIIAggCCAIIAggCCAIIAhYCAwKwAh4AAuMCAgIlAgQCBQIGAgcCCAIJAjgCCwIMAg0CCAIIAggCCAIIAggCCAIIAggCCAIIAggCCAIIAggCCAIIAhYCAwI8Ah4AAuMCAgJ4AgQCBQIGAgcCCAIJAjgCCwIMAg0CCAIIAggCCAIIAggCCAIIAggCCAIIAggCCAIIAggCCAIIAhYCAwLDAh4AAuMCAgJ7AgQCBQIGAgcCCAIJAjgCCwIMAg0CCAIIAggCCAIIAggCCAIIAggCCAIIAggCCAIIAggCCAIIAhYCAwLGAh4AAuMCAgIfAgQCBQIGAgcCCAIJAjgCCwIMAg0CCAIIAggCCAIIAggCCAIIAggCCAIIAggCCAIIAggCCAIIAhYCAwJHAh4AAuMCAgIpAgQCBQIGAgcCCAIJAjgCCwIMAg0CCAIIAggCCAIIAnoAAAF2CAIIAggCCAIIAggCCAIIAggCCAIIAggCFgIDAj0CHgAC4wICAl8CBAIFAgYCBwIIAgkCCgILAgwCDQIIAggCCAIIAggCCAIIAggCCAIIAggCCAIIAggCCAIIAggCFgIDArECHgAC4wICAjECBAIFAgYCBwIIAgkCCgILAgwCDQIIAggCCAIIAggCCAIIAggCCAIIAggCCAIIAggCCAIIAggCFgIDAjICHgAC4wICAoICBAIFAgYCBwIIAgkCCgILAgwCDQIIAggCCAIIAggCCAIIAggCCAIIAggCCAIIAggCCAIIAggCFgIDAsgCHgAC4wICAiECBAIFAgYCBwIIAgkCCgILAgwCDQIIAggCCAIIAggCCAIIAggCCAIIAggCCAIIAggCCAIIAggCFgIDAiICHgAC4wICAiMCBAIFAgYCBwIIAgkCCgILAgwCDQIIAggCCAIIAggCCAIIAggCCAIIAggCCAIIAggCCAIIAggCFgIDAiQ=]]></xxe4awand>
</file>

<file path=customXml/itemProps1.xml><?xml version="1.0" encoding="utf-8"?>
<ds:datastoreItem xmlns:ds="http://schemas.openxmlformats.org/officeDocument/2006/customXml" ds:itemID="{6690823D-0223-4169-ABE1-25E0D0ADFD1D}">
  <ds:schemaRefs>
    <ds:schemaRef ds:uri="http://www.excel4apps.com"/>
  </ds:schemaRefs>
</ds:datastoreItem>
</file>

<file path=customXml/itemProps10.xml><?xml version="1.0" encoding="utf-8"?>
<ds:datastoreItem xmlns:ds="http://schemas.openxmlformats.org/officeDocument/2006/customXml" ds:itemID="{FA6C103F-D224-4965-BBAC-A289764B9787}">
  <ds:schemaRefs>
    <ds:schemaRef ds:uri="http://www.excel4apps.com"/>
  </ds:schemaRefs>
</ds:datastoreItem>
</file>

<file path=customXml/itemProps11.xml><?xml version="1.0" encoding="utf-8"?>
<ds:datastoreItem xmlns:ds="http://schemas.openxmlformats.org/officeDocument/2006/customXml" ds:itemID="{0E41904E-A357-4416-8590-71D581448854}">
  <ds:schemaRefs>
    <ds:schemaRef ds:uri="http://www.excel4apps.com"/>
  </ds:schemaRefs>
</ds:datastoreItem>
</file>

<file path=customXml/itemProps12.xml><?xml version="1.0" encoding="utf-8"?>
<ds:datastoreItem xmlns:ds="http://schemas.openxmlformats.org/officeDocument/2006/customXml" ds:itemID="{9D87AD67-5870-4597-932A-01A004A635EA}">
  <ds:schemaRefs>
    <ds:schemaRef ds:uri="http://www.excel4apps.com"/>
  </ds:schemaRefs>
</ds:datastoreItem>
</file>

<file path=customXml/itemProps13.xml><?xml version="1.0" encoding="utf-8"?>
<ds:datastoreItem xmlns:ds="http://schemas.openxmlformats.org/officeDocument/2006/customXml" ds:itemID="{25C1BE6E-1FA2-4EBC-9A87-987E94EF4A9A}">
  <ds:schemaRefs>
    <ds:schemaRef ds:uri="http://www.excel4apps.com"/>
  </ds:schemaRefs>
</ds:datastoreItem>
</file>

<file path=customXml/itemProps14.xml><?xml version="1.0" encoding="utf-8"?>
<ds:datastoreItem xmlns:ds="http://schemas.openxmlformats.org/officeDocument/2006/customXml" ds:itemID="{76F0E88A-4A77-42AE-B225-875207813264}">
  <ds:schemaRefs>
    <ds:schemaRef ds:uri="http://www.excel4apps.com"/>
  </ds:schemaRefs>
</ds:datastoreItem>
</file>

<file path=customXml/itemProps15.xml><?xml version="1.0" encoding="utf-8"?>
<ds:datastoreItem xmlns:ds="http://schemas.openxmlformats.org/officeDocument/2006/customXml" ds:itemID="{789F1253-DAB0-4508-8573-D49923F1BFC2}">
  <ds:schemaRefs>
    <ds:schemaRef ds:uri="http://www.excel4apps.com"/>
  </ds:schemaRefs>
</ds:datastoreItem>
</file>

<file path=customXml/itemProps16.xml><?xml version="1.0" encoding="utf-8"?>
<ds:datastoreItem xmlns:ds="http://schemas.openxmlformats.org/officeDocument/2006/customXml" ds:itemID="{0506576D-5D87-4D61-9F2D-86832A72EB04}"/>
</file>

<file path=customXml/itemProps17.xml><?xml version="1.0" encoding="utf-8"?>
<ds:datastoreItem xmlns:ds="http://schemas.openxmlformats.org/officeDocument/2006/customXml" ds:itemID="{32CAC82B-AD94-4793-80B3-AF0271BCD400}"/>
</file>

<file path=customXml/itemProps18.xml><?xml version="1.0" encoding="utf-8"?>
<ds:datastoreItem xmlns:ds="http://schemas.openxmlformats.org/officeDocument/2006/customXml" ds:itemID="{03F1A339-9EB3-4649-9DBF-030907E729BB}"/>
</file>

<file path=customXml/itemProps19.xml><?xml version="1.0" encoding="utf-8"?>
<ds:datastoreItem xmlns:ds="http://schemas.openxmlformats.org/officeDocument/2006/customXml" ds:itemID="{BB0E74E0-C9EE-43C1-A835-9D26410D6BA1}"/>
</file>

<file path=customXml/itemProps2.xml><?xml version="1.0" encoding="utf-8"?>
<ds:datastoreItem xmlns:ds="http://schemas.openxmlformats.org/officeDocument/2006/customXml" ds:itemID="{6474C8C6-BA97-44AA-A393-319ED224C8C6}">
  <ds:schemaRefs>
    <ds:schemaRef ds:uri="http://www.excel4apps.com"/>
  </ds:schemaRefs>
</ds:datastoreItem>
</file>

<file path=customXml/itemProps3.xml><?xml version="1.0" encoding="utf-8"?>
<ds:datastoreItem xmlns:ds="http://schemas.openxmlformats.org/officeDocument/2006/customXml" ds:itemID="{56A51789-B597-4759-A757-8FB03C26349C}">
  <ds:schemaRefs>
    <ds:schemaRef ds:uri="http://www.excel4apps.com"/>
  </ds:schemaRefs>
</ds:datastoreItem>
</file>

<file path=customXml/itemProps4.xml><?xml version="1.0" encoding="utf-8"?>
<ds:datastoreItem xmlns:ds="http://schemas.openxmlformats.org/officeDocument/2006/customXml" ds:itemID="{2329DA4D-099A-4E14-B6FB-DFF5509E8376}">
  <ds:schemaRefs>
    <ds:schemaRef ds:uri="http://www.excel4apps.com"/>
  </ds:schemaRefs>
</ds:datastoreItem>
</file>

<file path=customXml/itemProps5.xml><?xml version="1.0" encoding="utf-8"?>
<ds:datastoreItem xmlns:ds="http://schemas.openxmlformats.org/officeDocument/2006/customXml" ds:itemID="{940967D6-2CAA-4DCD-BEA5-4B096611C2BD}">
  <ds:schemaRefs>
    <ds:schemaRef ds:uri="http://www.excel4apps.com"/>
  </ds:schemaRefs>
</ds:datastoreItem>
</file>

<file path=customXml/itemProps6.xml><?xml version="1.0" encoding="utf-8"?>
<ds:datastoreItem xmlns:ds="http://schemas.openxmlformats.org/officeDocument/2006/customXml" ds:itemID="{39EE306C-2CF6-461A-B705-D26B97F7C34F}">
  <ds:schemaRefs>
    <ds:schemaRef ds:uri="http://www.excel4apps.com"/>
  </ds:schemaRefs>
</ds:datastoreItem>
</file>

<file path=customXml/itemProps7.xml><?xml version="1.0" encoding="utf-8"?>
<ds:datastoreItem xmlns:ds="http://schemas.openxmlformats.org/officeDocument/2006/customXml" ds:itemID="{F0FAAFBB-97D0-4C82-82D1-9F3493F8BE3F}">
  <ds:schemaRefs>
    <ds:schemaRef ds:uri="http://www.excel4apps.com"/>
  </ds:schemaRefs>
</ds:datastoreItem>
</file>

<file path=customXml/itemProps8.xml><?xml version="1.0" encoding="utf-8"?>
<ds:datastoreItem xmlns:ds="http://schemas.openxmlformats.org/officeDocument/2006/customXml" ds:itemID="{42776BB8-8C53-45ED-94B9-08BBFB9673C0}">
  <ds:schemaRefs>
    <ds:schemaRef ds:uri="http://www.excel4apps.com"/>
  </ds:schemaRefs>
</ds:datastoreItem>
</file>

<file path=customXml/itemProps9.xml><?xml version="1.0" encoding="utf-8"?>
<ds:datastoreItem xmlns:ds="http://schemas.openxmlformats.org/officeDocument/2006/customXml" ds:itemID="{6E90BAB0-29C8-441B-8BF1-42BF136274B8}">
  <ds:schemaRefs>
    <ds:schemaRef ds:uri="http://www.excel4apps.com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25</vt:i4>
      </vt:variant>
    </vt:vector>
  </HeadingPairs>
  <TitlesOfParts>
    <vt:vector size="38" baseType="lpstr">
      <vt:lpstr>WA - Def-Amtz (current)</vt:lpstr>
      <vt:lpstr>Jul</vt:lpstr>
      <vt:lpstr>Aug</vt:lpstr>
      <vt:lpstr>Sep</vt:lpstr>
      <vt:lpstr>Oct</vt:lpstr>
      <vt:lpstr>Nov</vt:lpstr>
      <vt:lpstr>Dec</vt:lpstr>
      <vt:lpstr>Jan</vt:lpstr>
      <vt:lpstr>Feb</vt:lpstr>
      <vt:lpstr>Mar</vt:lpstr>
      <vt:lpstr>Apr</vt:lpstr>
      <vt:lpstr>May</vt:lpstr>
      <vt:lpstr>Jun</vt:lpstr>
      <vt:lpstr>Apr!Print_Area</vt:lpstr>
      <vt:lpstr>Aug!Print_Area</vt:lpstr>
      <vt:lpstr>Dec!Print_Area</vt:lpstr>
      <vt:lpstr>Feb!Print_Area</vt:lpstr>
      <vt:lpstr>Jan!Print_Area</vt:lpstr>
      <vt:lpstr>Jul!Print_Area</vt:lpstr>
      <vt:lpstr>Jun!Print_Area</vt:lpstr>
      <vt:lpstr>Mar!Print_Area</vt:lpstr>
      <vt:lpstr>May!Print_Area</vt:lpstr>
      <vt:lpstr>Nov!Print_Area</vt:lpstr>
      <vt:lpstr>Oct!Print_Area</vt:lpstr>
      <vt:lpstr>Sep!Print_Area</vt:lpstr>
      <vt:lpstr>'WA - Def-Amtz (current)'!Print_Area</vt:lpstr>
      <vt:lpstr>Apr!Print_Titles</vt:lpstr>
      <vt:lpstr>Aug!Print_Titles</vt:lpstr>
      <vt:lpstr>Dec!Print_Titles</vt:lpstr>
      <vt:lpstr>Feb!Print_Titles</vt:lpstr>
      <vt:lpstr>Jan!Print_Titles</vt:lpstr>
      <vt:lpstr>Jul!Print_Titles</vt:lpstr>
      <vt:lpstr>Jun!Print_Titles</vt:lpstr>
      <vt:lpstr>Mar!Print_Titles</vt:lpstr>
      <vt:lpstr>May!Print_Titles</vt:lpstr>
      <vt:lpstr>Nov!Print_Titles</vt:lpstr>
      <vt:lpstr>Oct!Print_Titles</vt:lpstr>
      <vt:lpstr>Sep!Print_Titles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annette brandon</cp:lastModifiedBy>
  <cp:lastPrinted>2018-07-05T17:11:01Z</cp:lastPrinted>
  <dcterms:created xsi:type="dcterms:W3CDTF">2003-05-01T14:02:57Z</dcterms:created>
  <dcterms:modified xsi:type="dcterms:W3CDTF">2018-08-10T15:23:29Z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0x0101006E56B4D1795A2E4DB2F0B01679ED314A0057C8840655DF834D9146E3231B1BC14A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