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60" windowWidth="15180" windowHeight="6510" firstSheet="1" activeTab="1"/>
  </bookViews>
  <sheets>
    <sheet name="WUTC_LYNNWOOD_SF" sheetId="1" state="hidden" r:id="rId1"/>
    <sheet name="WUTC_KENT_MF" sheetId="2" r:id="rId2"/>
    <sheet name="Value" sheetId="3" r:id="rId3"/>
    <sheet name="Commodity Tonnages" sheetId="4" r:id="rId4"/>
    <sheet name="Pricing" sheetId="5" r:id="rId5"/>
    <sheet name="Multi_Family" sheetId="6" r:id="rId6"/>
  </sheets>
  <externalReferences>
    <externalReference r:id="rId9"/>
    <externalReference r:id="rId10"/>
  </externalReferences>
  <definedNames>
    <definedName name="_xlfn.IFERROR" hidden="1">#NAME?</definedName>
    <definedName name="color">#REF!</definedName>
    <definedName name="_xlnm.Print_Area" localSheetId="3">'Commodity Tonnages'!$A$1:$N$21</definedName>
    <definedName name="_xlnm.Print_Area" localSheetId="5">'Multi_Family'!$A$7:$N$102</definedName>
    <definedName name="_xlnm.Print_Area" localSheetId="4">'Pricing'!$A$1:$L$20</definedName>
    <definedName name="_xlnm.Print_Area" localSheetId="1">'WUTC_KENT_MF'!$A$1:$P$75</definedName>
    <definedName name="_xlnm.Print_Area" localSheetId="0">'WUTC_LYNNWOOD_SF'!$A$1:$K$82</definedName>
    <definedName name="_xlnm.Print_Titles" localSheetId="5">'Multi_Family'!$A:$B,'Multi_Family'!$1:$6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Johnson, Carla</author>
  </authors>
  <commentList>
    <comment ref="F40"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6"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B8" authorId="1">
      <text>
        <r>
          <rPr>
            <b/>
            <sz val="9"/>
            <rFont val="Tahoma"/>
            <family val="2"/>
          </rPr>
          <t>Johnson, Carla:</t>
        </r>
        <r>
          <rPr>
            <sz val="9"/>
            <rFont val="Tahoma"/>
            <family val="2"/>
          </rPr>
          <t xml:space="preserve">
copy from RSA Workbook
Multifamily Tab
4176 Yards column K</t>
        </r>
      </text>
    </comment>
  </commentList>
</comments>
</file>

<file path=xl/comments3.xml><?xml version="1.0" encoding="utf-8"?>
<comments xmlns="http://schemas.openxmlformats.org/spreadsheetml/2006/main">
  <authors>
    <author>Johnson, Carla</author>
  </authors>
  <commentList>
    <comment ref="Q7" authorId="0">
      <text>
        <r>
          <rPr>
            <b/>
            <sz val="9"/>
            <rFont val="Tahoma"/>
            <family val="2"/>
          </rPr>
          <t>Johnson, Carla:</t>
        </r>
        <r>
          <rPr>
            <sz val="9"/>
            <rFont val="Tahoma"/>
            <family val="2"/>
          </rPr>
          <t xml:space="preserve">
copy from RSA Workbook/MF Tab/column M - 176 Commodity Value</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Johnson, Carla:</t>
        </r>
        <r>
          <rPr>
            <sz val="9"/>
            <rFont val="Tahoma"/>
            <family val="2"/>
          </rPr>
          <t xml:space="preserve">
RSA Workbook/Multifamily/4176 Tons column L</t>
        </r>
      </text>
    </comment>
  </commentList>
</comments>
</file>

<file path=xl/sharedStrings.xml><?xml version="1.0" encoding="utf-8"?>
<sst xmlns="http://schemas.openxmlformats.org/spreadsheetml/2006/main" count="211" uniqueCount="95">
  <si>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</si>
  <si>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</si>
  <si>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</si>
  <si>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</si>
  <si>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</si>
  <si>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</si>
  <si>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</si>
  <si>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</si>
  <si>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</si>
  <si>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</si>
  <si>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</si>
  <si>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</si>
  <si>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</si>
  <si>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</si>
  <si>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</si>
  <si>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</si>
  <si>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</si>
  <si>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</si>
  <si>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</si>
  <si>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</si>
  <si>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</si>
  <si>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</si>
  <si>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</si>
  <si>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</si>
  <si>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</si>
  <si>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</si>
  <si>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</si>
  <si>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</si>
  <si>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</si>
  <si>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</si>
  <si>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</si>
  <si>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</si>
  <si>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</si>
  <si>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</si>
  <si>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</si>
  <si>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</si>
  <si>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</si>
  <si>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</si>
  <si>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</si>
  <si>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</si>
  <si>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</si>
  <si>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</si>
  <si>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</si>
  <si>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</si>
  <si>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</si>
  <si>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</si>
  <si>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</si>
  <si>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</si>
  <si>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</si>
  <si>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</si>
  <si>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</si>
  <si>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</si>
  <si>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</si>
  <si>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</si>
  <si>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</si>
  <si>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</si>
  <si>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</si>
  <si>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</si>
  <si>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</si>
  <si>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</si>
  <si>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</si>
  <si>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</si>
  <si>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</si>
  <si>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</si>
  <si>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</si>
  <si>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Multi-Family</t>
  </si>
  <si>
    <t>Yards</t>
  </si>
  <si>
    <t>per Yard</t>
  </si>
  <si>
    <t>Total yards</t>
  </si>
  <si>
    <t>Monthly Base Credit per Yard</t>
  </si>
  <si>
    <t>12 month running average "BASE CREDIT"</t>
  </si>
  <si>
    <t>.</t>
  </si>
  <si>
    <t>Compacted</t>
  </si>
  <si>
    <t>Glass (cont.)</t>
  </si>
  <si>
    <t>Monthly Average</t>
  </si>
  <si>
    <t>Kent-Meridian Disposal</t>
  </si>
  <si>
    <t>Multi-Family Additional Passback</t>
  </si>
  <si>
    <t>Multi-Family Additional Credit</t>
  </si>
  <si>
    <t>3.5x Compaction</t>
  </si>
  <si>
    <t>5x Compaction</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</si>
  <si>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</si>
  <si>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</si>
  <si>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</si>
  <si>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</si>
  <si>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</si>
  <si>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</si>
  <si>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</si>
  <si>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</si>
  <si>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</si>
  <si>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Prior Plan B Total</t>
  </si>
  <si>
    <t>Plan A Total</t>
  </si>
  <si>
    <t>Kent-Meridian - Multi Family</t>
  </si>
  <si>
    <t>Avg of last 6 months plan year</t>
  </si>
  <si>
    <t>November 2017 - April 2018</t>
  </si>
  <si>
    <t>Yr 1 spend will be included during Yr 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</si>
</sst>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0_);_(* \(#,##0.00\);_(* &quot;-&quot;_);_(@_)"/>
    <numFmt numFmtId="167" formatCode="_(* #,##0.000_);_(* \(#,##0.000\);_(* &quot;-&quot;_);_(@_)"/>
    <numFmt numFmtId="168" formatCode="mmmm"/>
    <numFmt numFmtId="169" formatCode="#,##0.000"/>
    <numFmt numFmtId="170" formatCode="mmmm\-yy"/>
    <numFmt numFmtId="171" formatCode="&quot;Yes&quot;;&quot;Yes&quot;;&quot;No&quot;"/>
    <numFmt numFmtId="172" formatCode="&quot;True&quot;;&quot;True&quot;;&quot;False&quot;"/>
    <numFmt numFmtId="173" formatCode="&quot;On&quot;;&quot;On&quot;;&quot;Off&quot;"/>
    <numFmt numFmtId="174" formatCode="[$€-2]\ #,##0.00_);[Red]\([$€-2]\ #,##0.00\)"/>
    <numFmt numFmtId="175" formatCode="_(* #,##0.0000_);_(* \(#,##0.0000\);_(* &quot;-&quot;_);_(@_)"/>
  </numFmts>
  <fonts count="59">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8">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6"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6" fontId="9" fillId="0" borderId="0" xfId="59" applyNumberFormat="1" applyFont="1">
      <alignment/>
      <protection/>
    </xf>
    <xf numFmtId="166" fontId="7" fillId="0" borderId="0" xfId="59" applyNumberFormat="1" applyFont="1">
      <alignment/>
      <protection/>
    </xf>
    <xf numFmtId="168" fontId="7" fillId="0" borderId="0" xfId="59" applyNumberFormat="1" applyFont="1" applyAlignment="1">
      <alignment horizontal="right"/>
      <protection/>
    </xf>
    <xf numFmtId="166"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6" fontId="7" fillId="0" borderId="10" xfId="59" applyNumberFormat="1" applyFont="1" applyBorder="1">
      <alignment/>
      <protection/>
    </xf>
    <xf numFmtId="167" fontId="7" fillId="0" borderId="0" xfId="59" applyNumberFormat="1" applyFont="1">
      <alignment/>
      <protection/>
    </xf>
    <xf numFmtId="17" fontId="7" fillId="0" borderId="0" xfId="59" applyNumberFormat="1" applyFont="1" applyAlignment="1">
      <alignment horizontal="right"/>
      <protection/>
    </xf>
    <xf numFmtId="166" fontId="6" fillId="0" borderId="0" xfId="59" applyNumberFormat="1">
      <alignment/>
      <protection/>
    </xf>
    <xf numFmtId="168" fontId="7" fillId="0" borderId="0" xfId="59" applyNumberFormat="1" applyFont="1">
      <alignment/>
      <protection/>
    </xf>
    <xf numFmtId="41" fontId="7" fillId="0" borderId="11" xfId="59" applyNumberFormat="1" applyFont="1" applyBorder="1">
      <alignment/>
      <protection/>
    </xf>
    <xf numFmtId="166"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7"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7" fontId="7" fillId="0" borderId="11" xfId="59" applyNumberFormat="1" applyFont="1" applyBorder="1">
      <alignment/>
      <protection/>
    </xf>
    <xf numFmtId="167" fontId="7" fillId="0" borderId="15" xfId="59" applyNumberFormat="1" applyFont="1" applyBorder="1">
      <alignment/>
      <protection/>
    </xf>
    <xf numFmtId="166" fontId="7" fillId="0" borderId="0" xfId="59" applyNumberFormat="1" applyFont="1" applyFill="1" applyBorder="1">
      <alignment/>
      <protection/>
    </xf>
    <xf numFmtId="166" fontId="14" fillId="0" borderId="0" xfId="59" applyNumberFormat="1" applyFont="1" applyFill="1" applyBorder="1" applyAlignment="1">
      <alignment horizontal="centerContinuous"/>
      <protection/>
    </xf>
    <xf numFmtId="166" fontId="7" fillId="0" borderId="0" xfId="59" applyNumberFormat="1" applyFont="1" applyFill="1" applyBorder="1" applyAlignment="1">
      <alignment horizontal="centerContinuous"/>
      <protection/>
    </xf>
    <xf numFmtId="166" fontId="7" fillId="0" borderId="0" xfId="59" applyNumberFormat="1" applyFont="1" applyAlignment="1">
      <alignment horizontal="centerContinuous"/>
      <protection/>
    </xf>
    <xf numFmtId="168"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6"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6" fontId="6" fillId="0" borderId="0" xfId="59" applyNumberFormat="1" applyFill="1" applyBorder="1">
      <alignment/>
      <protection/>
    </xf>
    <xf numFmtId="168" fontId="7" fillId="0" borderId="0" xfId="59" applyNumberFormat="1" applyFont="1" applyFill="1" applyBorder="1">
      <alignment/>
      <protection/>
    </xf>
    <xf numFmtId="167" fontId="7" fillId="0" borderId="0" xfId="59" applyNumberFormat="1" applyFont="1" applyFill="1" applyBorder="1">
      <alignment/>
      <protection/>
    </xf>
    <xf numFmtId="166" fontId="7" fillId="0" borderId="13" xfId="59" applyNumberFormat="1" applyFont="1" applyBorder="1">
      <alignment/>
      <protection/>
    </xf>
    <xf numFmtId="166"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2" applyAlignment="1">
      <alignment/>
    </xf>
    <xf numFmtId="40" fontId="7" fillId="0" borderId="0" xfId="0" applyNumberFormat="1" applyFont="1" applyAlignment="1">
      <alignment/>
    </xf>
    <xf numFmtId="43" fontId="7" fillId="0" borderId="0" xfId="42" applyFont="1" applyAlignment="1">
      <alignment/>
    </xf>
    <xf numFmtId="170" fontId="7" fillId="0" borderId="0" xfId="59" applyNumberFormat="1" applyFont="1" applyAlignment="1">
      <alignment horizontal="right"/>
      <protection/>
    </xf>
    <xf numFmtId="168"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8" fontId="7" fillId="0" borderId="0" xfId="59" applyNumberFormat="1" applyFont="1" applyFill="1" applyBorder="1" applyAlignment="1">
      <alignment horizontal="right" wrapText="1"/>
      <protection/>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9" fillId="0" borderId="13" xfId="42" applyFont="1" applyBorder="1" applyAlignment="1">
      <alignment/>
    </xf>
    <xf numFmtId="44" fontId="7" fillId="0" borderId="0" xfId="0" applyNumberFormat="1" applyFont="1" applyAlignment="1">
      <alignment/>
    </xf>
    <xf numFmtId="166" fontId="7" fillId="0" borderId="0" xfId="59" applyNumberFormat="1" applyFont="1" applyBorder="1">
      <alignment/>
      <protection/>
    </xf>
    <xf numFmtId="0" fontId="11" fillId="0" borderId="0" xfId="59" applyFont="1" applyBorder="1">
      <alignment/>
      <protection/>
    </xf>
    <xf numFmtId="0" fontId="11" fillId="0" borderId="0" xfId="59" applyFont="1" applyBorder="1" applyAlignment="1">
      <alignment horizontal="center"/>
      <protection/>
    </xf>
    <xf numFmtId="0" fontId="9" fillId="0" borderId="0" xfId="59" applyFont="1" applyBorder="1" applyAlignment="1">
      <alignment horizontal="center"/>
      <protection/>
    </xf>
    <xf numFmtId="166" fontId="9" fillId="0" borderId="0" xfId="59" applyNumberFormat="1" applyFont="1" applyBorder="1" applyAlignment="1">
      <alignment horizontal="center"/>
      <protection/>
    </xf>
    <xf numFmtId="166" fontId="9" fillId="0" borderId="0" xfId="59" applyNumberFormat="1" applyFont="1" applyBorder="1">
      <alignment/>
      <protection/>
    </xf>
    <xf numFmtId="168"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0" fontId="6" fillId="0" borderId="0" xfId="59" applyBorder="1">
      <alignment/>
      <protection/>
    </xf>
    <xf numFmtId="166" fontId="6" fillId="0" borderId="0" xfId="59" applyNumberFormat="1" applyBorder="1">
      <alignment/>
      <protection/>
    </xf>
    <xf numFmtId="168" fontId="7" fillId="0" borderId="0" xfId="59" applyNumberFormat="1" applyFont="1" applyBorder="1">
      <alignment/>
      <protection/>
    </xf>
    <xf numFmtId="167" fontId="7" fillId="0" borderId="0" xfId="59"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2" applyNumberFormat="1" applyFont="1" applyFill="1" applyAlignment="1">
      <alignment/>
    </xf>
    <xf numFmtId="43" fontId="9" fillId="0" borderId="0" xfId="42" applyFont="1" applyAlignment="1">
      <alignment/>
    </xf>
    <xf numFmtId="166" fontId="7" fillId="0" borderId="0" xfId="59" applyNumberFormat="1" applyFont="1" applyAlignment="1">
      <alignment horizontal="right"/>
      <protection/>
    </xf>
    <xf numFmtId="40" fontId="7" fillId="0" borderId="10" xfId="0" applyNumberFormat="1" applyFont="1" applyBorder="1" applyAlignment="1">
      <alignment/>
    </xf>
    <xf numFmtId="4" fontId="7" fillId="0" borderId="10" xfId="0" applyNumberFormat="1" applyFont="1" applyBorder="1" applyAlignment="1">
      <alignment/>
    </xf>
    <xf numFmtId="0" fontId="0" fillId="0" borderId="0" xfId="0" applyNumberFormat="1" applyAlignment="1">
      <alignment/>
    </xf>
    <xf numFmtId="0" fontId="1" fillId="0" borderId="0" xfId="0" applyNumberFormat="1" applyFont="1" applyAlignment="1">
      <alignment horizontal="center"/>
    </xf>
    <xf numFmtId="43" fontId="7" fillId="0" borderId="10" xfId="42" applyFont="1" applyBorder="1" applyAlignment="1">
      <alignment/>
    </xf>
    <xf numFmtId="44" fontId="12" fillId="0" borderId="0" xfId="44" applyFont="1" applyAlignment="1">
      <alignment horizontal="center"/>
    </xf>
    <xf numFmtId="44" fontId="7" fillId="0" borderId="10" xfId="44" applyFont="1" applyBorder="1" applyAlignment="1">
      <alignment/>
    </xf>
    <xf numFmtId="44" fontId="6" fillId="0" borderId="0" xfId="44" applyFont="1" applyAlignment="1">
      <alignment/>
    </xf>
    <xf numFmtId="44" fontId="7" fillId="0" borderId="11" xfId="44" applyFont="1" applyBorder="1" applyAlignment="1">
      <alignment/>
    </xf>
    <xf numFmtId="164" fontId="1" fillId="0" borderId="0" xfId="62" applyNumberFormat="1" applyFont="1" applyAlignment="1">
      <alignment/>
    </xf>
    <xf numFmtId="0" fontId="17" fillId="0" borderId="16" xfId="59" applyFont="1" applyBorder="1" applyAlignment="1">
      <alignment horizontal="center"/>
      <protection/>
    </xf>
    <xf numFmtId="0" fontId="7" fillId="0" borderId="0" xfId="59" applyFont="1" applyBorder="1">
      <alignment/>
      <protection/>
    </xf>
    <xf numFmtId="166" fontId="17" fillId="0" borderId="17" xfId="59" applyNumberFormat="1" applyFont="1" applyBorder="1" applyAlignment="1">
      <alignment horizontal="center"/>
      <protection/>
    </xf>
    <xf numFmtId="166"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17" xfId="59" applyNumberFormat="1" applyFont="1" applyBorder="1">
      <alignment/>
      <protection/>
    </xf>
    <xf numFmtId="41" fontId="7" fillId="0" borderId="18" xfId="59" applyNumberFormat="1" applyFont="1" applyBorder="1">
      <alignment/>
      <protection/>
    </xf>
    <xf numFmtId="164" fontId="7" fillId="0" borderId="0" xfId="62" applyNumberFormat="1" applyFont="1" applyAlignment="1">
      <alignment/>
    </xf>
    <xf numFmtId="166" fontId="7" fillId="35" borderId="0" xfId="59" applyNumberFormat="1" applyFont="1" applyFill="1">
      <alignment/>
      <protection/>
    </xf>
    <xf numFmtId="0" fontId="9" fillId="0" borderId="0" xfId="0" applyFont="1" applyAlignment="1">
      <alignment/>
    </xf>
    <xf numFmtId="4" fontId="9" fillId="0" borderId="0" xfId="0" applyNumberFormat="1" applyFont="1" applyAlignment="1">
      <alignment/>
    </xf>
    <xf numFmtId="4" fontId="9" fillId="0" borderId="10" xfId="0" applyNumberFormat="1" applyFont="1" applyBorder="1" applyAlignment="1">
      <alignment/>
    </xf>
    <xf numFmtId="2" fontId="9" fillId="0" borderId="0" xfId="0" applyNumberFormat="1" applyFont="1" applyAlignment="1">
      <alignment/>
    </xf>
    <xf numFmtId="4" fontId="7" fillId="0" borderId="0" xfId="60" applyNumberFormat="1" applyFont="1" applyFill="1" applyBorder="1" applyAlignment="1">
      <alignment/>
    </xf>
    <xf numFmtId="0" fontId="1" fillId="0" borderId="0" xfId="0" applyFont="1" applyAlignment="1">
      <alignment/>
    </xf>
    <xf numFmtId="44" fontId="7" fillId="0" borderId="0" xfId="44" applyNumberFormat="1" applyFont="1" applyAlignment="1">
      <alignment/>
    </xf>
    <xf numFmtId="167" fontId="7" fillId="0" borderId="10" xfId="59" applyNumberFormat="1" applyFont="1" applyBorder="1">
      <alignment/>
      <protection/>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6" fontId="7" fillId="36" borderId="0" xfId="59" applyNumberFormat="1" applyFont="1" applyFill="1">
      <alignment/>
      <protection/>
    </xf>
    <xf numFmtId="9" fontId="7" fillId="36" borderId="19" xfId="62" applyFont="1" applyFill="1" applyBorder="1" applyAlignment="1">
      <alignment/>
    </xf>
    <xf numFmtId="44" fontId="0" fillId="35" borderId="0" xfId="0" applyNumberFormat="1" applyFill="1" applyAlignment="1">
      <alignment/>
    </xf>
    <xf numFmtId="41" fontId="12" fillId="35" borderId="0" xfId="59" applyNumberFormat="1" applyFont="1" applyFill="1" applyAlignment="1">
      <alignment horizontal="center"/>
      <protection/>
    </xf>
    <xf numFmtId="168" fontId="7" fillId="0" borderId="0" xfId="59" applyNumberFormat="1" applyFont="1" applyFill="1" applyAlignment="1">
      <alignment horizontal="right"/>
      <protection/>
    </xf>
    <xf numFmtId="8" fontId="7" fillId="34" borderId="19" xfId="44" applyNumberFormat="1" applyFont="1" applyFill="1" applyBorder="1" applyAlignment="1">
      <alignment/>
    </xf>
    <xf numFmtId="164" fontId="58" fillId="37" borderId="20" xfId="62" applyNumberFormat="1" applyFont="1" applyFill="1" applyBorder="1" applyAlignment="1">
      <alignment/>
    </xf>
    <xf numFmtId="175" fontId="7" fillId="35" borderId="11" xfId="59" applyNumberFormat="1" applyFont="1" applyFill="1" applyBorder="1">
      <alignment/>
      <protection/>
    </xf>
    <xf numFmtId="175" fontId="7" fillId="0" borderId="11" xfId="59" applyNumberFormat="1" applyFont="1" applyBorder="1">
      <alignment/>
      <protection/>
    </xf>
    <xf numFmtId="167" fontId="7" fillId="36" borderId="15" xfId="59" applyNumberFormat="1" applyFont="1" applyFill="1" applyBorder="1">
      <alignment/>
      <protection/>
    </xf>
    <xf numFmtId="166" fontId="12" fillId="0" borderId="0" xfId="59" applyNumberFormat="1" applyFo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33</v>
      </c>
      <c r="B1" s="2"/>
      <c r="C1" s="2"/>
      <c r="D1" s="2"/>
      <c r="E1" s="2"/>
      <c r="F1" s="2"/>
      <c r="G1" s="3"/>
      <c r="H1" s="2"/>
      <c r="I1" s="2"/>
      <c r="J1" s="1" t="s">
        <v>34</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35</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8">
        <v>39264</v>
      </c>
      <c r="B8" s="19">
        <v>16678</v>
      </c>
      <c r="C8" s="20"/>
      <c r="D8" s="18">
        <v>35119.9</v>
      </c>
      <c r="E8" s="14"/>
      <c r="F8" s="16">
        <f>ROUND(D8/B8,2)</f>
        <v>2.11</v>
      </c>
      <c r="G8" s="14"/>
      <c r="H8" s="14"/>
      <c r="I8" s="14"/>
      <c r="J8" s="14">
        <f>+B8</f>
        <v>16678</v>
      </c>
      <c r="K8" s="13">
        <v>2007</v>
      </c>
    </row>
    <row r="9" spans="1:11" s="16" customFormat="1" ht="11.25">
      <c r="A9" s="78">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36</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9" t="s">
        <v>37</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38</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39</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40</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41</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43</v>
      </c>
      <c r="C55" s="14"/>
      <c r="D55" s="14"/>
      <c r="E55" s="14"/>
      <c r="F55" s="32"/>
      <c r="G55" s="14"/>
      <c r="H55" s="14"/>
      <c r="I55" s="23"/>
      <c r="J55" s="14"/>
      <c r="K55" s="14"/>
    </row>
    <row r="56" spans="2:11" s="16" customFormat="1" ht="12" thickBot="1">
      <c r="B56" s="31"/>
      <c r="C56" s="14"/>
      <c r="D56" s="14"/>
      <c r="E56" s="14"/>
      <c r="F56" s="32" t="s">
        <v>42</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44</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80"/>
      <c r="B64" s="46"/>
      <c r="C64" s="48"/>
      <c r="D64" s="47"/>
      <c r="E64" s="41"/>
      <c r="F64" s="41"/>
    </row>
    <row r="65" spans="1:6" s="16" customFormat="1" ht="11.25">
      <c r="A65" s="80"/>
      <c r="B65" s="46"/>
      <c r="C65" s="49"/>
      <c r="D65" s="47"/>
      <c r="E65" s="41"/>
      <c r="F65" s="41"/>
    </row>
    <row r="66" spans="1:25" s="14" customFormat="1" ht="11.25">
      <c r="A66" s="80"/>
      <c r="B66" s="49"/>
      <c r="C66" s="49"/>
      <c r="D66" s="41"/>
      <c r="E66" s="49"/>
      <c r="F66" s="41"/>
      <c r="X66" s="16"/>
      <c r="Y66" s="16"/>
    </row>
    <row r="67" spans="1:6" s="16" customFormat="1" ht="11.25">
      <c r="A67" s="80"/>
      <c r="B67" s="49"/>
      <c r="C67" s="48"/>
      <c r="D67" s="41"/>
      <c r="E67" s="41"/>
      <c r="F67" s="41"/>
    </row>
    <row r="68" spans="1:6" s="16" customFormat="1" ht="11.25">
      <c r="A68" s="80"/>
      <c r="B68" s="49"/>
      <c r="C68" s="49"/>
      <c r="D68" s="41"/>
      <c r="E68" s="41"/>
      <c r="F68" s="41"/>
    </row>
    <row r="69" spans="1:6" s="16" customFormat="1" ht="11.25">
      <c r="A69" s="80"/>
      <c r="B69" s="50"/>
      <c r="C69" s="49"/>
      <c r="D69" s="41"/>
      <c r="E69" s="41"/>
      <c r="F69" s="41"/>
    </row>
    <row r="70" spans="1:6" s="16" customFormat="1" ht="11.25">
      <c r="A70" s="80"/>
      <c r="B70" s="50"/>
      <c r="C70" s="49"/>
      <c r="D70" s="41"/>
      <c r="E70" s="41"/>
      <c r="F70" s="41"/>
    </row>
    <row r="71" spans="1:6" s="16" customFormat="1" ht="11.25">
      <c r="A71" s="80"/>
      <c r="B71" s="50"/>
      <c r="C71" s="49"/>
      <c r="D71" s="41"/>
      <c r="E71" s="41"/>
      <c r="F71" s="41"/>
    </row>
    <row r="72" spans="1:6" s="16" customFormat="1" ht="11.25">
      <c r="A72" s="80"/>
      <c r="B72" s="50"/>
      <c r="C72" s="49"/>
      <c r="D72" s="41"/>
      <c r="E72" s="41"/>
      <c r="F72" s="41"/>
    </row>
    <row r="73" spans="1:25" s="16" customFormat="1" ht="11.25">
      <c r="A73" s="80"/>
      <c r="B73" s="50"/>
      <c r="C73" s="49"/>
      <c r="D73" s="41"/>
      <c r="E73" s="41"/>
      <c r="F73" s="41"/>
      <c r="Y73" s="14"/>
    </row>
    <row r="74" spans="1:6" s="16" customFormat="1" ht="11.25">
      <c r="A74" s="80"/>
      <c r="B74" s="50"/>
      <c r="C74" s="49"/>
      <c r="D74" s="41"/>
      <c r="E74" s="41"/>
      <c r="F74" s="41"/>
    </row>
    <row r="75" spans="1:6" s="16" customFormat="1" ht="11.25">
      <c r="A75" s="80"/>
      <c r="B75" s="50"/>
      <c r="C75" s="49"/>
      <c r="D75" s="41"/>
      <c r="E75" s="41"/>
      <c r="F75" s="41"/>
    </row>
    <row r="76" spans="1:6" s="16" customFormat="1" ht="11.25">
      <c r="A76" s="80"/>
      <c r="B76" s="50"/>
      <c r="C76" s="49"/>
      <c r="D76" s="41"/>
      <c r="E76" s="41"/>
      <c r="F76" s="41"/>
    </row>
    <row r="77" spans="1:27" s="16" customFormat="1" ht="11.25">
      <c r="A77" s="80"/>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80"/>
      <c r="B78" s="50"/>
      <c r="C78" s="49"/>
      <c r="D78" s="41"/>
      <c r="E78" s="41"/>
      <c r="F78" s="41"/>
    </row>
    <row r="79" spans="1:6" s="16" customFormat="1" ht="11.25">
      <c r="A79" s="45"/>
      <c r="B79" s="49"/>
      <c r="C79" s="49"/>
      <c r="D79" s="41"/>
      <c r="E79" s="41"/>
      <c r="F79" s="41"/>
    </row>
    <row r="80" spans="1:6" s="16" customFormat="1" ht="11.25">
      <c r="A80" s="81"/>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6"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4"/>
  <sheetViews>
    <sheetView showGridLines="0" tabSelected="1" zoomScalePageLayoutView="0" workbookViewId="0" topLeftCell="A22">
      <selection activeCell="O37" sqref="O37"/>
    </sheetView>
  </sheetViews>
  <sheetFormatPr defaultColWidth="9.140625" defaultRowHeight="12.75"/>
  <cols>
    <col min="1" max="1" width="25.85156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9.00390625" style="5" bestFit="1" customWidth="1"/>
    <col min="10" max="10" width="10.8515625" style="5" customWidth="1"/>
    <col min="11" max="11" width="7.140625" style="5" customWidth="1"/>
    <col min="12" max="14" width="9.57421875" style="5" customWidth="1"/>
    <col min="15" max="15" width="15.28125" style="5"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75</v>
      </c>
      <c r="B1" s="2"/>
      <c r="C1" s="2"/>
      <c r="D1" s="2"/>
      <c r="E1" s="2"/>
      <c r="F1" s="2"/>
      <c r="G1" s="3"/>
      <c r="H1" s="2"/>
      <c r="I1" s="2"/>
      <c r="J1" s="1" t="s">
        <v>80</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"&amp;YEAR(A21)</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65</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6" t="str">
        <f>"Total "&amp;F5</f>
        <v>Total Commodity</v>
      </c>
      <c r="P5" s="137"/>
      <c r="Q5" s="2"/>
      <c r="R5" s="2"/>
      <c r="S5" s="2"/>
      <c r="T5" s="2"/>
      <c r="U5" s="2"/>
      <c r="V5" s="13"/>
      <c r="W5" s="14"/>
      <c r="X5" s="14"/>
      <c r="Y5" s="14"/>
      <c r="AA5" s="14"/>
    </row>
    <row r="6" spans="1:16" s="16" customFormat="1" ht="11.25">
      <c r="A6" s="15"/>
      <c r="B6" s="12"/>
      <c r="C6" s="12"/>
      <c r="D6" s="12" t="s">
        <v>2</v>
      </c>
      <c r="E6" s="12"/>
      <c r="F6" s="12" t="s">
        <v>3</v>
      </c>
      <c r="G6" s="12"/>
      <c r="H6" s="12"/>
      <c r="I6" s="12"/>
      <c r="J6" s="12"/>
      <c r="K6" s="12"/>
      <c r="O6" s="138" t="str">
        <f>+F6</f>
        <v>Revenue</v>
      </c>
      <c r="P6" s="107"/>
    </row>
    <row r="7" spans="1:16" s="16" customFormat="1" ht="11.25">
      <c r="A7" s="15" t="s">
        <v>5</v>
      </c>
      <c r="B7" s="12" t="s">
        <v>66</v>
      </c>
      <c r="C7" s="12"/>
      <c r="D7" s="12" t="s">
        <v>3</v>
      </c>
      <c r="E7" s="12"/>
      <c r="F7" s="12" t="s">
        <v>67</v>
      </c>
      <c r="G7" s="12"/>
      <c r="H7" s="12"/>
      <c r="I7" s="12"/>
      <c r="J7" s="12" t="s">
        <v>68</v>
      </c>
      <c r="K7" s="12"/>
      <c r="O7" s="138" t="str">
        <f>+F7</f>
        <v>per Yard</v>
      </c>
      <c r="P7" s="107"/>
    </row>
    <row r="8" spans="1:16" s="16" customFormat="1" ht="11.25">
      <c r="A8" s="161">
        <f>+Multi_Family!C6</f>
        <v>42886</v>
      </c>
      <c r="B8" s="160">
        <v>411.94</v>
      </c>
      <c r="C8" s="12"/>
      <c r="D8" s="131">
        <f>VLOOKUP(A8,Value!$A$6:$O$17,15,)</f>
        <v>88.45495359999997</v>
      </c>
      <c r="E8" s="12"/>
      <c r="F8" s="16">
        <f>ROUND(D8/B8,2)</f>
        <v>0.21</v>
      </c>
      <c r="G8" s="12"/>
      <c r="H8" s="12"/>
      <c r="I8" s="12"/>
      <c r="J8" s="14">
        <f>+B8</f>
        <v>411.94</v>
      </c>
      <c r="K8" s="13">
        <f>YEAR(A8)</f>
        <v>2017</v>
      </c>
      <c r="O8" s="139">
        <f>VLOOKUP(A8,Value!$A$7:$O$18,13,FALSE)</f>
        <v>176.90990719999994</v>
      </c>
      <c r="P8" s="107"/>
    </row>
    <row r="9" spans="1:16" s="16" customFormat="1" ht="11.25">
      <c r="A9" s="17">
        <f>EOMONTH(A8,1)</f>
        <v>42916</v>
      </c>
      <c r="B9" s="160">
        <v>411.94</v>
      </c>
      <c r="C9" s="20"/>
      <c r="D9" s="131">
        <f>VLOOKUP(A9,Value!$A$6:$O$17,15,)</f>
        <v>182.5609112749999</v>
      </c>
      <c r="E9" s="14"/>
      <c r="F9" s="16">
        <f>ROUND(D9/B9,2)</f>
        <v>0.44</v>
      </c>
      <c r="G9" s="14"/>
      <c r="H9" s="14"/>
      <c r="I9" s="14"/>
      <c r="J9" s="14">
        <f>+B9</f>
        <v>411.94</v>
      </c>
      <c r="K9" s="13">
        <f>YEAR(A9)</f>
        <v>2017</v>
      </c>
      <c r="O9" s="139">
        <f>VLOOKUP(A9,Value!$A$7:$O$18,13,FALSE)</f>
        <v>365.1218225499998</v>
      </c>
      <c r="P9" s="107"/>
    </row>
    <row r="10" spans="1:16" s="16" customFormat="1" ht="11.25">
      <c r="A10" s="17">
        <f>EOMONTH(A9,1)</f>
        <v>42947</v>
      </c>
      <c r="B10" s="160">
        <v>411.94</v>
      </c>
      <c r="C10" s="14"/>
      <c r="D10" s="131">
        <f>VLOOKUP(A10,Value!$A$6:$O$17,15,)</f>
        <v>135.87873887499993</v>
      </c>
      <c r="E10" s="14"/>
      <c r="F10" s="16">
        <f>ROUND(D10/B10,2)</f>
        <v>0.33</v>
      </c>
      <c r="G10" s="14"/>
      <c r="H10" s="14"/>
      <c r="I10" s="14"/>
      <c r="J10" s="14">
        <f>+B10</f>
        <v>411.94</v>
      </c>
      <c r="K10" s="13">
        <f>YEAR(A10)</f>
        <v>2017</v>
      </c>
      <c r="O10" s="139">
        <f>VLOOKUP(A10,Value!$A$7:$O$18,13,FALSE)</f>
        <v>271.75747774999985</v>
      </c>
      <c r="P10" s="107"/>
    </row>
    <row r="11" spans="1:16" s="16" customFormat="1" ht="11.25">
      <c r="A11" s="17" t="s">
        <v>89</v>
      </c>
      <c r="B11" s="21">
        <f>SUM(B8:B10)</f>
        <v>1235.82</v>
      </c>
      <c r="C11" s="20" t="s">
        <v>8</v>
      </c>
      <c r="D11" s="132">
        <f>SUM(D8:D10)</f>
        <v>406.89460374999976</v>
      </c>
      <c r="E11" s="14"/>
      <c r="G11" s="14"/>
      <c r="H11" s="14"/>
      <c r="I11" s="14"/>
      <c r="J11" s="14"/>
      <c r="K11" s="13"/>
      <c r="O11" s="139"/>
      <c r="P11" s="107"/>
    </row>
    <row r="12" spans="1:16" s="16" customFormat="1" ht="11.25">
      <c r="A12" s="17"/>
      <c r="B12" s="14"/>
      <c r="C12" s="14"/>
      <c r="D12" s="97"/>
      <c r="E12" s="14"/>
      <c r="G12" s="14"/>
      <c r="H12" s="14"/>
      <c r="I12" s="14"/>
      <c r="J12" s="14"/>
      <c r="K12" s="13"/>
      <c r="O12" s="139"/>
      <c r="P12" s="107"/>
    </row>
    <row r="13" spans="1:16" s="16" customFormat="1" ht="11.25">
      <c r="A13" s="17">
        <f>EOMONTH(A10,1)</f>
        <v>42978</v>
      </c>
      <c r="B13" s="160">
        <v>414.02</v>
      </c>
      <c r="C13" s="14"/>
      <c r="D13" s="131">
        <f>VLOOKUP(A13,Value!$A$6:$O$17,15,)</f>
        <v>173.43231734499992</v>
      </c>
      <c r="E13" s="14"/>
      <c r="F13" s="16">
        <f aca="true" t="shared" si="0" ref="F13:F19">ROUND(D13/B13,2)</f>
        <v>0.42</v>
      </c>
      <c r="G13" s="23"/>
      <c r="H13" s="14"/>
      <c r="I13" s="14"/>
      <c r="J13" s="14">
        <f aca="true" t="shared" si="1" ref="J13:J19">+B13</f>
        <v>414.02</v>
      </c>
      <c r="K13" s="13">
        <f aca="true" t="shared" si="2" ref="K13:K21">YEAR(A13)</f>
        <v>2017</v>
      </c>
      <c r="O13" s="139">
        <f>VLOOKUP(A13,Value!$A$7:$O$18,13,FALSE)</f>
        <v>346.86463468999983</v>
      </c>
      <c r="P13" s="107"/>
    </row>
    <row r="14" spans="1:16" s="16" customFormat="1" ht="11.25">
      <c r="A14" s="17">
        <f aca="true" t="shared" si="3" ref="A14:A21">EOMONTH(A13,1)</f>
        <v>43008</v>
      </c>
      <c r="B14" s="160">
        <v>414.02</v>
      </c>
      <c r="C14" s="14"/>
      <c r="D14" s="131">
        <f>VLOOKUP(A14,Value!$A$6:$O$17,15,)</f>
        <v>90.36181738999996</v>
      </c>
      <c r="E14" s="14"/>
      <c r="F14" s="16">
        <f t="shared" si="0"/>
        <v>0.22</v>
      </c>
      <c r="G14" s="23"/>
      <c r="H14" s="14"/>
      <c r="I14" s="14"/>
      <c r="J14" s="14">
        <f t="shared" si="1"/>
        <v>414.02</v>
      </c>
      <c r="K14" s="13">
        <f t="shared" si="2"/>
        <v>2017</v>
      </c>
      <c r="O14" s="139">
        <f>VLOOKUP(A14,Value!$A$7:$O$18,13,FALSE)</f>
        <v>180.7236347799999</v>
      </c>
      <c r="P14" s="107"/>
    </row>
    <row r="15" spans="1:16" s="16" customFormat="1" ht="11.25">
      <c r="A15" s="17">
        <f t="shared" si="3"/>
        <v>43039</v>
      </c>
      <c r="B15" s="160">
        <v>414.02</v>
      </c>
      <c r="C15" s="14"/>
      <c r="D15" s="131">
        <f>VLOOKUP(A15,Value!$A$6:$O$17,15,)</f>
        <v>79.59031177499995</v>
      </c>
      <c r="E15" s="14"/>
      <c r="F15" s="16">
        <f t="shared" si="0"/>
        <v>0.19</v>
      </c>
      <c r="G15" s="23"/>
      <c r="H15" s="14"/>
      <c r="I15" s="14"/>
      <c r="J15" s="14">
        <f t="shared" si="1"/>
        <v>414.02</v>
      </c>
      <c r="K15" s="13">
        <f t="shared" si="2"/>
        <v>2017</v>
      </c>
      <c r="O15" s="139">
        <f>VLOOKUP(A15,Value!$A$7:$O$18,13,FALSE)</f>
        <v>159.1806235499999</v>
      </c>
      <c r="P15" s="107"/>
    </row>
    <row r="16" spans="1:16" s="16" customFormat="1" ht="11.25">
      <c r="A16" s="17">
        <f t="shared" si="3"/>
        <v>43069</v>
      </c>
      <c r="B16" s="160">
        <v>414.02</v>
      </c>
      <c r="C16" s="14"/>
      <c r="D16" s="131">
        <f>VLOOKUP(A16,Value!$A$6:$O$17,15,)</f>
        <v>87.85605471999993</v>
      </c>
      <c r="E16" s="14"/>
      <c r="F16" s="16">
        <f t="shared" si="0"/>
        <v>0.21</v>
      </c>
      <c r="G16" s="23"/>
      <c r="H16" s="14"/>
      <c r="I16" s="14"/>
      <c r="J16" s="14">
        <f t="shared" si="1"/>
        <v>414.02</v>
      </c>
      <c r="K16" s="13">
        <f t="shared" si="2"/>
        <v>2017</v>
      </c>
      <c r="O16" s="139">
        <f>VLOOKUP(A16,Value!$A$7:$O$18,13,FALSE)</f>
        <v>175.71210943999986</v>
      </c>
      <c r="P16" s="107"/>
    </row>
    <row r="17" spans="1:25" s="16" customFormat="1" ht="11.25">
      <c r="A17" s="17">
        <f t="shared" si="3"/>
        <v>43100</v>
      </c>
      <c r="B17" s="160">
        <v>414.02</v>
      </c>
      <c r="C17" s="14"/>
      <c r="D17" s="131">
        <f>VLOOKUP(A17,Value!$A$6:$O$17,15,)</f>
        <v>78.75484780499995</v>
      </c>
      <c r="E17" s="14"/>
      <c r="F17" s="16">
        <f t="shared" si="0"/>
        <v>0.19</v>
      </c>
      <c r="G17" s="23"/>
      <c r="H17" s="14"/>
      <c r="I17" s="14"/>
      <c r="J17" s="14">
        <f t="shared" si="1"/>
        <v>414.02</v>
      </c>
      <c r="K17" s="13">
        <f t="shared" si="2"/>
        <v>2017</v>
      </c>
      <c r="O17" s="139">
        <f>VLOOKUP(A17,Value!$A$7:$O$18,13,FALSE)</f>
        <v>157.5096956099999</v>
      </c>
      <c r="P17" s="107"/>
      <c r="X17" s="14"/>
      <c r="Y17" s="14"/>
    </row>
    <row r="18" spans="1:27" s="16" customFormat="1" ht="11.25">
      <c r="A18" s="17">
        <f t="shared" si="3"/>
        <v>43131</v>
      </c>
      <c r="B18" s="160">
        <v>414.02</v>
      </c>
      <c r="C18" s="14"/>
      <c r="D18" s="131">
        <f>VLOOKUP(A18,Value!$A$6:$O$17,15,)</f>
        <v>89.55530943499994</v>
      </c>
      <c r="E18" s="14"/>
      <c r="F18" s="16">
        <f t="shared" si="0"/>
        <v>0.22</v>
      </c>
      <c r="G18" s="23"/>
      <c r="H18" s="14"/>
      <c r="I18" s="14"/>
      <c r="J18" s="14">
        <f t="shared" si="1"/>
        <v>414.02</v>
      </c>
      <c r="K18" s="13">
        <f t="shared" si="2"/>
        <v>2018</v>
      </c>
      <c r="L18" s="14"/>
      <c r="M18" s="14"/>
      <c r="N18" s="14"/>
      <c r="O18" s="139">
        <f>VLOOKUP(A18,Value!$A$7:$O$18,13,FALSE)</f>
        <v>179.11061886999988</v>
      </c>
      <c r="P18" s="107"/>
      <c r="Q18" s="14"/>
      <c r="R18" s="14"/>
      <c r="S18" s="14"/>
      <c r="T18" s="14"/>
      <c r="U18" s="14"/>
      <c r="V18" s="14"/>
      <c r="W18" s="14"/>
      <c r="Y18" s="14"/>
      <c r="AA18" s="14"/>
    </row>
    <row r="19" spans="1:16" s="16" customFormat="1" ht="11.25">
      <c r="A19" s="17">
        <f t="shared" si="3"/>
        <v>43159</v>
      </c>
      <c r="B19" s="160">
        <v>448.5</v>
      </c>
      <c r="C19" s="14"/>
      <c r="D19" s="131">
        <f>VLOOKUP(A19,Value!$A$6:$O$17,15,)</f>
        <v>6.30833332499998</v>
      </c>
      <c r="E19" s="14"/>
      <c r="F19" s="16">
        <f t="shared" si="0"/>
        <v>0.01</v>
      </c>
      <c r="G19" s="23"/>
      <c r="H19" s="14"/>
      <c r="I19" s="14"/>
      <c r="J19" s="14">
        <f t="shared" si="1"/>
        <v>448.5</v>
      </c>
      <c r="K19" s="13">
        <f t="shared" si="2"/>
        <v>2018</v>
      </c>
      <c r="O19" s="139">
        <f>VLOOKUP(A19,Value!$A$7:$O$18,13,FALSE)</f>
        <v>12.61666664999996</v>
      </c>
      <c r="P19" s="107"/>
    </row>
    <row r="20" spans="1:16" s="16" customFormat="1" ht="11.25">
      <c r="A20" s="17">
        <f t="shared" si="3"/>
        <v>43190</v>
      </c>
      <c r="B20" s="160">
        <v>438.76</v>
      </c>
      <c r="C20" s="14"/>
      <c r="D20" s="131">
        <f>VLOOKUP(A20,Value!$A$6:$O$17,15,)</f>
        <v>14.927141899999945</v>
      </c>
      <c r="E20" s="14"/>
      <c r="F20" s="16">
        <f>ROUND(D20/B20,2)</f>
        <v>0.03</v>
      </c>
      <c r="G20" s="23"/>
      <c r="H20" s="20"/>
      <c r="I20" s="14"/>
      <c r="J20" s="14">
        <f>+B20</f>
        <v>438.76</v>
      </c>
      <c r="K20" s="13">
        <f t="shared" si="2"/>
        <v>2018</v>
      </c>
      <c r="O20" s="139">
        <f>VLOOKUP(A20,Value!$A$7:$O$18,13,FALSE)</f>
        <v>29.85428379999989</v>
      </c>
      <c r="P20" s="35"/>
    </row>
    <row r="21" spans="1:16" s="16" customFormat="1" ht="11.25">
      <c r="A21" s="17">
        <f t="shared" si="3"/>
        <v>43220</v>
      </c>
      <c r="B21" s="160">
        <v>388.96</v>
      </c>
      <c r="C21" s="14"/>
      <c r="D21" s="131">
        <v>92.76</v>
      </c>
      <c r="E21" s="14"/>
      <c r="F21" s="16">
        <f>ROUND(D21/B21,2)</f>
        <v>0.24</v>
      </c>
      <c r="G21" s="23"/>
      <c r="H21" s="20"/>
      <c r="I21" s="14"/>
      <c r="J21" s="14">
        <f>+B21</f>
        <v>388.96</v>
      </c>
      <c r="K21" s="13">
        <f t="shared" si="2"/>
        <v>2018</v>
      </c>
      <c r="O21" s="139">
        <f>VLOOKUP(A21,Value!$A$7:$O$18,13,FALSE)</f>
        <v>39.42729503999985</v>
      </c>
      <c r="P21" s="107"/>
    </row>
    <row r="22" spans="1:16" s="16" customFormat="1" ht="11.25">
      <c r="A22" s="17"/>
      <c r="B22" s="14"/>
      <c r="C22" s="14"/>
      <c r="D22" s="97"/>
      <c r="E22" s="14"/>
      <c r="G22" s="14"/>
      <c r="H22" s="14"/>
      <c r="I22" s="14"/>
      <c r="J22" s="14"/>
      <c r="K22" s="13"/>
      <c r="O22" s="139"/>
      <c r="P22" s="107"/>
    </row>
    <row r="23" spans="1:15" s="16" customFormat="1" ht="11.25">
      <c r="A23" s="17" t="s">
        <v>90</v>
      </c>
      <c r="B23" s="21">
        <f>SUM(B13:B22)</f>
        <v>3760.34</v>
      </c>
      <c r="C23" s="20" t="s">
        <v>9</v>
      </c>
      <c r="D23" s="132">
        <f>SUM(D11:D22)-D11</f>
        <v>713.5461336949995</v>
      </c>
      <c r="E23" s="14"/>
      <c r="G23" s="14"/>
      <c r="H23" s="14"/>
      <c r="I23" s="14"/>
      <c r="J23" s="14"/>
      <c r="K23" s="13"/>
      <c r="O23" s="140"/>
    </row>
    <row r="24" spans="1:16" s="16" customFormat="1" ht="12.75">
      <c r="A24" s="5"/>
      <c r="B24" s="5"/>
      <c r="C24" s="5"/>
      <c r="D24" s="133"/>
      <c r="E24" s="5"/>
      <c r="F24" s="5"/>
      <c r="G24" s="5"/>
      <c r="H24" s="5"/>
      <c r="I24" s="5"/>
      <c r="J24" s="5"/>
      <c r="K24" s="5"/>
      <c r="O24" s="140"/>
      <c r="P24" s="112" t="s">
        <v>81</v>
      </c>
    </row>
    <row r="25" spans="1:16" s="16" customFormat="1" ht="13.5" thickBot="1">
      <c r="A25" s="26"/>
      <c r="B25" s="27">
        <f>+B11+B23</f>
        <v>4996.16</v>
      </c>
      <c r="C25" s="20"/>
      <c r="D25" s="134">
        <f>+D11+D23</f>
        <v>1120.4407374449993</v>
      </c>
      <c r="E25" s="20" t="s">
        <v>10</v>
      </c>
      <c r="F25" s="23">
        <f>ROUND(D25/B25,3)</f>
        <v>0.224</v>
      </c>
      <c r="H25" s="14"/>
      <c r="I25" s="14"/>
      <c r="J25" s="27">
        <f>SUM(J8:J24)</f>
        <v>4996.16</v>
      </c>
      <c r="K25" s="20" t="s">
        <v>12</v>
      </c>
      <c r="O25" s="140">
        <f>SUM(O8:O24)</f>
        <v>2094.7887699299986</v>
      </c>
      <c r="P25" s="116"/>
    </row>
    <row r="26" spans="2:16" s="16" customFormat="1" ht="12" thickTop="1">
      <c r="B26" s="14"/>
      <c r="C26" s="20"/>
      <c r="D26" s="14"/>
      <c r="E26" s="14"/>
      <c r="F26" s="14"/>
      <c r="G26" s="14"/>
      <c r="H26" s="14"/>
      <c r="I26" s="14"/>
      <c r="J26" s="14"/>
      <c r="K26" s="14"/>
      <c r="O26" s="141">
        <f>ROUND(O25/J25,3)</f>
        <v>0.419</v>
      </c>
      <c r="P26" s="107" t="s">
        <v>82</v>
      </c>
    </row>
    <row r="27" spans="1:16" s="16" customFormat="1" ht="11.25">
      <c r="A27" s="16" t="s">
        <v>92</v>
      </c>
      <c r="B27" s="14">
        <f>SUM(B16:B21)</f>
        <v>2518.2799999999997</v>
      </c>
      <c r="C27" s="14"/>
      <c r="D27" s="14">
        <f>SUM(D16:D21)</f>
        <v>370.1616871849997</v>
      </c>
      <c r="E27" s="14"/>
      <c r="F27" s="16">
        <f>D27/B27</f>
        <v>0.1469898848360785</v>
      </c>
      <c r="G27" s="20" t="s">
        <v>11</v>
      </c>
      <c r="H27" s="14"/>
      <c r="I27" s="14"/>
      <c r="J27" s="14"/>
      <c r="K27" s="14"/>
      <c r="O27" s="142">
        <f>+J21</f>
        <v>388.96</v>
      </c>
      <c r="P27" s="107" t="s">
        <v>83</v>
      </c>
    </row>
    <row r="28" spans="1:16" s="16" customFormat="1" ht="11.25">
      <c r="A28" s="16" t="s">
        <v>93</v>
      </c>
      <c r="B28" s="14"/>
      <c r="C28" s="14"/>
      <c r="D28" s="14"/>
      <c r="E28" s="14"/>
      <c r="F28" s="14"/>
      <c r="G28" s="14"/>
      <c r="H28" s="14"/>
      <c r="I28" s="14"/>
      <c r="J28" s="14"/>
      <c r="K28" s="14"/>
      <c r="O28" s="35"/>
      <c r="P28" s="107"/>
    </row>
    <row r="29" spans="2:16" s="16" customFormat="1" ht="11.25">
      <c r="B29" s="14"/>
      <c r="C29" s="14"/>
      <c r="D29" s="14"/>
      <c r="E29" s="14"/>
      <c r="F29" s="14"/>
      <c r="G29" s="14"/>
      <c r="H29" s="14"/>
      <c r="I29" s="14"/>
      <c r="J29" s="14"/>
      <c r="K29" s="14"/>
      <c r="O29" s="35"/>
      <c r="P29" s="107"/>
    </row>
    <row r="30" spans="2:16" s="16" customFormat="1" ht="11.25">
      <c r="B30" s="14"/>
      <c r="C30" s="14"/>
      <c r="D30" s="14"/>
      <c r="E30" s="14"/>
      <c r="F30" s="14"/>
      <c r="G30" s="14"/>
      <c r="H30" s="14"/>
      <c r="I30" s="14"/>
      <c r="J30" s="14"/>
      <c r="K30" s="14"/>
      <c r="O30" s="35"/>
      <c r="P30" s="107"/>
    </row>
    <row r="31" spans="2:16" s="16" customFormat="1" ht="11.25">
      <c r="B31" s="14"/>
      <c r="C31" s="14"/>
      <c r="D31" s="14"/>
      <c r="E31" s="14"/>
      <c r="F31" s="14"/>
      <c r="G31" s="14"/>
      <c r="H31" s="14"/>
      <c r="I31" s="14"/>
      <c r="J31" s="14"/>
      <c r="K31" s="14"/>
      <c r="O31" s="35"/>
      <c r="P31" s="107"/>
    </row>
    <row r="32" spans="2:16" s="16" customFormat="1" ht="12" thickBot="1">
      <c r="B32" s="29" t="s">
        <v>13</v>
      </c>
      <c r="C32" s="30"/>
      <c r="D32" s="30"/>
      <c r="E32" s="30"/>
      <c r="F32" s="14"/>
      <c r="G32" s="14"/>
      <c r="H32" s="14"/>
      <c r="I32" s="14"/>
      <c r="J32" s="14"/>
      <c r="K32" s="14"/>
      <c r="O32" s="107"/>
      <c r="P32" s="107" t="s">
        <v>84</v>
      </c>
    </row>
    <row r="33" spans="1:25" s="16" customFormat="1" ht="12" thickTop="1">
      <c r="A33" s="6"/>
      <c r="B33" s="31"/>
      <c r="C33" s="14"/>
      <c r="D33" s="14"/>
      <c r="E33" s="14"/>
      <c r="F33" s="14"/>
      <c r="G33" s="14"/>
      <c r="H33" s="14"/>
      <c r="I33" s="14"/>
      <c r="J33" s="14"/>
      <c r="K33" s="14"/>
      <c r="X33" s="14"/>
      <c r="Y33" s="14"/>
    </row>
    <row r="34" spans="1:11" s="16" customFormat="1" ht="11.25">
      <c r="A34" s="8"/>
      <c r="B34" s="31"/>
      <c r="C34" s="14"/>
      <c r="D34" s="14"/>
      <c r="E34" s="14"/>
      <c r="F34" s="32" t="s">
        <v>14</v>
      </c>
      <c r="G34" s="14">
        <f>+D25</f>
        <v>1120.4407374449993</v>
      </c>
      <c r="H34" s="20" t="s">
        <v>10</v>
      </c>
      <c r="I34" s="14"/>
      <c r="J34" s="14"/>
      <c r="K34" s="14"/>
    </row>
    <row r="35" spans="1:27" s="13" customFormat="1" ht="11.25">
      <c r="A35" s="33"/>
      <c r="B35" s="31"/>
      <c r="C35" s="14"/>
      <c r="D35" s="14"/>
      <c r="E35" s="14"/>
      <c r="F35" s="14"/>
      <c r="G35" s="14"/>
      <c r="H35" s="20"/>
      <c r="I35" s="14"/>
      <c r="J35" s="14"/>
      <c r="K35" s="14"/>
      <c r="O35" s="16"/>
      <c r="P35" s="16"/>
      <c r="W35" s="14"/>
      <c r="X35" s="16"/>
      <c r="Y35" s="16"/>
      <c r="AA35" s="14"/>
    </row>
    <row r="36" spans="2:16" s="16" customFormat="1" ht="11.25">
      <c r="B36" s="14" t="s">
        <v>69</v>
      </c>
      <c r="C36" s="14"/>
      <c r="D36" s="14"/>
      <c r="E36" s="14"/>
      <c r="F36" s="167">
        <v>0.44</v>
      </c>
      <c r="G36" s="14"/>
      <c r="H36" s="14"/>
      <c r="I36" s="14"/>
      <c r="J36" s="14"/>
      <c r="K36" s="14"/>
      <c r="O36" s="16">
        <f>Value!M20</f>
        <v>2094.7887699299986</v>
      </c>
      <c r="P36" s="13" t="s">
        <v>85</v>
      </c>
    </row>
    <row r="37" spans="2:16" s="16" customFormat="1" ht="11.25">
      <c r="B37" s="14"/>
      <c r="C37" s="14" t="str">
        <f>"Customers from "&amp;TEXT($A$8,"mm/yy")&amp;" - "&amp;TEXT($A$10,"mm/yy")</f>
        <v>Customers from 05/17 - 07/17</v>
      </c>
      <c r="D37" s="14"/>
      <c r="E37" s="14"/>
      <c r="F37" s="14">
        <f>SUM(B11)</f>
        <v>1235.82</v>
      </c>
      <c r="G37" s="20" t="s">
        <v>8</v>
      </c>
      <c r="H37" s="14"/>
      <c r="I37" s="14"/>
      <c r="J37" s="14"/>
      <c r="K37" s="14"/>
      <c r="O37" s="16">
        <f>Value!O20</f>
        <v>1047.3943849649993</v>
      </c>
      <c r="P37" s="16" t="s">
        <v>86</v>
      </c>
    </row>
    <row r="38" spans="2:15" s="16" customFormat="1" ht="11.25">
      <c r="B38" s="14"/>
      <c r="C38" s="14" t="s">
        <v>16</v>
      </c>
      <c r="D38" s="14"/>
      <c r="E38" s="14"/>
      <c r="F38" s="21">
        <f>F36*F37</f>
        <v>543.7608</v>
      </c>
      <c r="G38" s="20"/>
      <c r="H38" s="14"/>
      <c r="I38" s="14"/>
      <c r="J38" s="14"/>
      <c r="K38" s="14"/>
      <c r="O38" s="143">
        <f>+O37/O36</f>
        <v>0.5</v>
      </c>
    </row>
    <row r="39" spans="2:11" s="16" customFormat="1" ht="11.25">
      <c r="B39" s="14"/>
      <c r="C39" s="14"/>
      <c r="D39" s="14"/>
      <c r="E39" s="14"/>
      <c r="F39" s="35"/>
      <c r="G39" s="20"/>
      <c r="H39" s="14"/>
      <c r="I39" s="14"/>
      <c r="J39" s="14"/>
      <c r="K39" s="14"/>
    </row>
    <row r="40" spans="2:11" s="16" customFormat="1" ht="11.25">
      <c r="B40" s="14" t="s">
        <v>69</v>
      </c>
      <c r="C40" s="14"/>
      <c r="D40" s="14"/>
      <c r="E40" s="14"/>
      <c r="F40" s="167">
        <v>0.29</v>
      </c>
      <c r="G40" s="14"/>
      <c r="H40" s="14"/>
      <c r="I40" s="14"/>
      <c r="J40" s="14"/>
      <c r="K40" s="14"/>
    </row>
    <row r="41" spans="2:11" s="16" customFormat="1" ht="11.25">
      <c r="B41" s="14"/>
      <c r="C41" s="14" t="str">
        <f>"Customers from "&amp;TEXT($A$13,"mm/yy")&amp;" - "&amp;TEXT($A$21,"mm/yy")</f>
        <v>Customers from 08/17 - 04/18</v>
      </c>
      <c r="D41" s="14"/>
      <c r="E41" s="14"/>
      <c r="F41" s="14">
        <f>+B23-F37</f>
        <v>2524.5200000000004</v>
      </c>
      <c r="G41" s="20" t="s">
        <v>9</v>
      </c>
      <c r="H41" s="14"/>
      <c r="I41" s="14"/>
      <c r="J41" s="14"/>
      <c r="K41" s="14"/>
    </row>
    <row r="42" spans="2:11" s="16" customFormat="1" ht="11.25">
      <c r="B42" s="14"/>
      <c r="C42" s="14" t="s">
        <v>16</v>
      </c>
      <c r="D42" s="14"/>
      <c r="E42" s="14"/>
      <c r="F42" s="21">
        <f>F40*F41</f>
        <v>732.1108</v>
      </c>
      <c r="G42" s="20"/>
      <c r="H42" s="14"/>
      <c r="I42" s="14"/>
      <c r="J42" s="14"/>
      <c r="K42" s="14"/>
    </row>
    <row r="43" spans="2:11" s="16" customFormat="1" ht="11.25">
      <c r="B43" s="14"/>
      <c r="C43" s="14"/>
      <c r="D43" s="14"/>
      <c r="E43" s="14"/>
      <c r="F43" s="36"/>
      <c r="G43" s="20"/>
      <c r="H43" s="14"/>
      <c r="I43" s="14"/>
      <c r="J43" s="14"/>
      <c r="K43" s="14"/>
    </row>
    <row r="44" spans="2:11" s="16" customFormat="1" ht="12" thickBot="1">
      <c r="B44" s="14"/>
      <c r="C44" s="14" t="s">
        <v>17</v>
      </c>
      <c r="D44" s="14"/>
      <c r="E44" s="14"/>
      <c r="F44" s="27">
        <f>+F38+F42</f>
        <v>1275.8716</v>
      </c>
      <c r="G44" s="37">
        <f>+F44</f>
        <v>1275.8716</v>
      </c>
      <c r="H44" s="14"/>
      <c r="I44" s="14"/>
      <c r="J44" s="14"/>
      <c r="K44" s="14"/>
    </row>
    <row r="45" spans="2:11" s="16" customFormat="1" ht="12" thickTop="1">
      <c r="B45" s="14"/>
      <c r="C45" s="14"/>
      <c r="D45" s="14"/>
      <c r="E45" s="14"/>
      <c r="F45" s="14"/>
      <c r="G45" s="14"/>
      <c r="H45" s="14"/>
      <c r="I45" s="14"/>
      <c r="J45" s="14"/>
      <c r="K45" s="14"/>
    </row>
    <row r="46" spans="2:11" s="16" customFormat="1" ht="11.25">
      <c r="B46" s="14"/>
      <c r="C46" s="14"/>
      <c r="D46" s="14"/>
      <c r="E46" s="14"/>
      <c r="F46" s="14"/>
      <c r="G46" s="14"/>
      <c r="H46" s="14"/>
      <c r="I46" s="14"/>
      <c r="J46" s="14"/>
      <c r="K46" s="14"/>
    </row>
    <row r="47" spans="2:11" s="16" customFormat="1" ht="12" thickBot="1">
      <c r="B47" s="14"/>
      <c r="C47" s="14"/>
      <c r="D47" s="14"/>
      <c r="E47" s="14"/>
      <c r="F47" s="32" t="str">
        <f>IF(G47&lt;=0,"Excess","Deficient")&amp;" Commodity Credits"</f>
        <v>Excess Commodity Credits</v>
      </c>
      <c r="G47" s="38">
        <f>+G34-G44</f>
        <v>-155.43086255500066</v>
      </c>
      <c r="H47" s="14"/>
      <c r="I47" s="14"/>
      <c r="J47" s="14"/>
      <c r="K47" s="14"/>
    </row>
    <row r="48" spans="2:25" s="16" customFormat="1" ht="12" thickTop="1">
      <c r="B48" s="14"/>
      <c r="C48" s="14"/>
      <c r="D48" s="14"/>
      <c r="E48" s="14"/>
      <c r="F48" s="14"/>
      <c r="G48" s="14"/>
      <c r="H48" s="14"/>
      <c r="I48" s="14"/>
      <c r="J48" s="14"/>
      <c r="K48" s="14"/>
      <c r="Y48" s="14"/>
    </row>
    <row r="49" spans="2:11" s="16" customFormat="1" ht="11.25">
      <c r="B49" s="14"/>
      <c r="C49" s="14"/>
      <c r="D49" s="14"/>
      <c r="E49" s="14"/>
      <c r="F49" s="14"/>
      <c r="G49" s="14"/>
      <c r="H49" s="14"/>
      <c r="I49" s="14"/>
      <c r="J49" s="14"/>
      <c r="K49" s="14"/>
    </row>
    <row r="50" spans="2:11" s="16" customFormat="1" ht="12" thickBot="1">
      <c r="B50" s="29" t="str">
        <f>$K$21+1&amp;" Recycle Adjustment Calculation"</f>
        <v>2019 Recycle Adjustment Calculation</v>
      </c>
      <c r="C50" s="30"/>
      <c r="D50" s="30"/>
      <c r="E50" s="30"/>
      <c r="F50" s="30"/>
      <c r="G50" s="14"/>
      <c r="H50" s="14"/>
      <c r="I50" s="14"/>
      <c r="J50" s="14"/>
      <c r="K50" s="14"/>
    </row>
    <row r="51" spans="2:27" s="16" customFormat="1" ht="12" thickTop="1">
      <c r="B51" s="31"/>
      <c r="C51" s="14"/>
      <c r="D51" s="14"/>
      <c r="E51" s="14"/>
      <c r="F51" s="14"/>
      <c r="G51" s="14"/>
      <c r="H51" s="14"/>
      <c r="I51" s="14"/>
      <c r="J51" s="14"/>
      <c r="K51" s="14"/>
      <c r="L51" s="14"/>
      <c r="M51" s="14"/>
      <c r="N51" s="14"/>
      <c r="O51" s="14"/>
      <c r="P51" s="14"/>
      <c r="Q51" s="14"/>
      <c r="R51" s="14"/>
      <c r="S51" s="14"/>
      <c r="T51" s="14"/>
      <c r="U51" s="14"/>
      <c r="V51" s="14"/>
      <c r="W51" s="14"/>
      <c r="AA51" s="14"/>
    </row>
    <row r="52" spans="2:11" s="16" customFormat="1" ht="11.25">
      <c r="B52" s="14" t="str">
        <f>$K$10&amp;"/"&amp;$K$21&amp;" True-up Computation"</f>
        <v>2017/2018 True-up Computation</v>
      </c>
      <c r="C52" s="14"/>
      <c r="D52" s="14"/>
      <c r="E52" s="14"/>
      <c r="F52" s="14"/>
      <c r="G52" s="14"/>
      <c r="H52" s="14"/>
      <c r="I52" s="14"/>
      <c r="J52" s="14"/>
      <c r="K52" s="14"/>
    </row>
    <row r="53" spans="2:11" s="16" customFormat="1" ht="11.25">
      <c r="B53" s="14"/>
      <c r="C53" s="14"/>
      <c r="D53" s="14"/>
      <c r="E53" s="14"/>
      <c r="F53" s="32" t="s">
        <v>20</v>
      </c>
      <c r="G53" s="14">
        <f>+J25</f>
        <v>4996.16</v>
      </c>
      <c r="H53" s="20" t="s">
        <v>12</v>
      </c>
      <c r="I53" s="14"/>
      <c r="J53" s="14"/>
      <c r="K53" s="14"/>
    </row>
    <row r="54" spans="2:11" s="16" customFormat="1" ht="11.25">
      <c r="B54" s="14"/>
      <c r="C54" s="14"/>
      <c r="D54" s="14"/>
      <c r="E54" s="14"/>
      <c r="F54" s="32" t="str">
        <f>F47</f>
        <v>Excess Commodity Credits</v>
      </c>
      <c r="G54" s="14">
        <f>+G47</f>
        <v>-155.43086255500066</v>
      </c>
      <c r="H54" s="14"/>
      <c r="I54" s="14"/>
      <c r="J54" s="14"/>
      <c r="K54" s="14"/>
    </row>
    <row r="55" spans="2:11" s="16" customFormat="1" ht="11.25">
      <c r="B55" s="14"/>
      <c r="C55" s="14"/>
      <c r="D55" s="14"/>
      <c r="E55" s="14"/>
      <c r="F55" s="32"/>
      <c r="G55" s="14"/>
      <c r="H55" s="14"/>
      <c r="I55" s="14"/>
      <c r="J55" s="14"/>
      <c r="K55" s="14"/>
    </row>
    <row r="56" spans="2:11" s="16" customFormat="1" ht="12" thickBot="1">
      <c r="B56" s="14"/>
      <c r="C56" s="14"/>
      <c r="D56" s="14"/>
      <c r="E56" s="14"/>
      <c r="F56" s="32" t="str">
        <f>$K$10&amp;"/"&amp;$K$21&amp;" Monthly True-up Charge"</f>
        <v>2017/2018 Monthly True-up Charge</v>
      </c>
      <c r="G56" s="165">
        <f>ROUND(G54/G53,2)</f>
        <v>-0.03</v>
      </c>
      <c r="H56" s="14"/>
      <c r="I56" s="23">
        <f>+G56</f>
        <v>-0.03</v>
      </c>
      <c r="J56" s="14"/>
      <c r="K56" s="14"/>
    </row>
    <row r="57" spans="2:25" s="16" customFormat="1" ht="12" thickTop="1">
      <c r="B57" s="14"/>
      <c r="C57" s="14"/>
      <c r="D57" s="14"/>
      <c r="E57" s="14"/>
      <c r="F57" s="32"/>
      <c r="G57" s="14"/>
      <c r="H57" s="14"/>
      <c r="I57" s="23"/>
      <c r="J57" s="14"/>
      <c r="K57" s="14"/>
      <c r="O57" s="157" t="s">
        <v>87</v>
      </c>
      <c r="Y57" s="14"/>
    </row>
    <row r="58" spans="2:15" s="16" customFormat="1" ht="11.25">
      <c r="B58" s="14" t="str">
        <f>$K$21&amp;"/"&amp;$K$21+1&amp;" Projected Credit at 50% Retention"</f>
        <v>2018/2019 Projected Credit at 50% Retention</v>
      </c>
      <c r="C58" s="14"/>
      <c r="D58" s="14"/>
      <c r="E58" s="14"/>
      <c r="F58" s="32"/>
      <c r="G58" s="14"/>
      <c r="H58" s="14"/>
      <c r="I58" s="23"/>
      <c r="J58" s="14"/>
      <c r="K58" s="14"/>
      <c r="O58" s="158">
        <f>+'[1]WUTC_AW of Kent_MF'!$O$56</f>
        <v>0.5</v>
      </c>
    </row>
    <row r="59" spans="2:11" s="16" customFormat="1" ht="12" thickBot="1">
      <c r="B59" s="31"/>
      <c r="C59" s="14"/>
      <c r="D59" s="14"/>
      <c r="E59" s="14"/>
      <c r="F59" s="32" t="s">
        <v>70</v>
      </c>
      <c r="G59" s="166">
        <f>+F27/Value!$P$20*$O$58</f>
        <v>0.1469898848360785</v>
      </c>
      <c r="H59" s="14"/>
      <c r="I59" s="23">
        <f>+G59</f>
        <v>0.1469898848360785</v>
      </c>
      <c r="J59" s="20" t="s">
        <v>11</v>
      </c>
      <c r="K59" s="14"/>
    </row>
    <row r="60" spans="2:25" s="14" customFormat="1" ht="12" thickTop="1">
      <c r="B60" s="31"/>
      <c r="I60" s="23"/>
      <c r="X60" s="16"/>
      <c r="Y60" s="16"/>
    </row>
    <row r="61" spans="2:10" s="16" customFormat="1" ht="12" thickBot="1">
      <c r="B61" s="14"/>
      <c r="C61" s="14"/>
      <c r="D61" s="14"/>
      <c r="E61" s="14"/>
      <c r="F61" s="14"/>
      <c r="G61" s="32" t="str">
        <f>$K$21+1&amp;" Adjusted Credit"</f>
        <v>2019 Adjusted Credit</v>
      </c>
      <c r="H61" s="27"/>
      <c r="I61" s="39">
        <f>+I56+I59</f>
        <v>0.1169898848360785</v>
      </c>
      <c r="J61" s="14"/>
    </row>
    <row r="62" s="16" customFormat="1" ht="12" thickTop="1">
      <c r="I62" s="23"/>
    </row>
    <row r="63" spans="7:9" s="16" customFormat="1" ht="11.25">
      <c r="G63" s="125" t="s">
        <v>72</v>
      </c>
      <c r="I63" s="16">
        <f>+I61*3.5</f>
        <v>0.40946459692627474</v>
      </c>
    </row>
    <row r="64" spans="1:7" s="16" customFormat="1" ht="11.25">
      <c r="A64" s="107"/>
      <c r="B64" s="107"/>
      <c r="C64" s="107"/>
      <c r="D64" s="107"/>
      <c r="E64" s="107"/>
      <c r="F64" s="107"/>
      <c r="G64" s="125"/>
    </row>
    <row r="65" spans="1:7" s="16" customFormat="1" ht="11.25">
      <c r="A65" s="108"/>
      <c r="B65" s="109"/>
      <c r="C65" s="110"/>
      <c r="D65" s="110"/>
      <c r="E65" s="110"/>
      <c r="F65" s="111"/>
      <c r="G65" s="125"/>
    </row>
    <row r="66" spans="1:25" s="16" customFormat="1" ht="11.25">
      <c r="A66" s="112"/>
      <c r="B66" s="111"/>
      <c r="C66" s="111"/>
      <c r="D66" s="111"/>
      <c r="E66" s="111"/>
      <c r="F66" s="111"/>
      <c r="G66" s="44"/>
      <c r="H66" s="44"/>
      <c r="I66" s="44"/>
      <c r="J66" s="44"/>
      <c r="K66" s="44"/>
      <c r="Y66" s="14"/>
    </row>
    <row r="67" spans="1:9" s="16" customFormat="1" ht="11.25">
      <c r="A67" s="112"/>
      <c r="B67" s="16" t="s">
        <v>94</v>
      </c>
      <c r="C67" s="111"/>
      <c r="D67" s="111"/>
      <c r="E67" s="111"/>
      <c r="F67" s="111"/>
      <c r="G67" s="125" t="s">
        <v>76</v>
      </c>
      <c r="I67" s="151"/>
    </row>
    <row r="68" spans="1:9" s="16" customFormat="1" ht="11.25">
      <c r="A68" s="113"/>
      <c r="B68" s="35"/>
      <c r="C68" s="35"/>
      <c r="D68" s="107"/>
      <c r="E68" s="35"/>
      <c r="F68" s="107"/>
      <c r="G68" s="14"/>
      <c r="H68" s="14"/>
      <c r="I68" s="14"/>
    </row>
    <row r="69" spans="1:9" s="16" customFormat="1" ht="11.25">
      <c r="A69" s="113"/>
      <c r="B69" s="114"/>
      <c r="C69" s="35"/>
      <c r="D69" s="107"/>
      <c r="E69" s="35"/>
      <c r="F69" s="107"/>
      <c r="G69" s="125" t="s">
        <v>77</v>
      </c>
      <c r="I69" s="152">
        <f>I67/(B25)</f>
        <v>0</v>
      </c>
    </row>
    <row r="70" spans="1:6" s="16" customFormat="1" ht="11.25">
      <c r="A70" s="113"/>
      <c r="B70" s="114"/>
      <c r="C70" s="35"/>
      <c r="D70" s="107"/>
      <c r="E70" s="35"/>
      <c r="F70" s="107"/>
    </row>
    <row r="71" spans="1:25" s="16" customFormat="1" ht="12" thickBot="1">
      <c r="A71" s="113"/>
      <c r="B71" s="114"/>
      <c r="C71" s="35"/>
      <c r="D71" s="107"/>
      <c r="E71" s="35"/>
      <c r="F71" s="107"/>
      <c r="G71" s="32" t="str">
        <f>$K$21+1&amp;" Net Credit/(Debit)"</f>
        <v>2019 Net Credit/(Debit)</v>
      </c>
      <c r="H71" s="27"/>
      <c r="I71" s="164">
        <f>+I61+I69</f>
        <v>0.1169898848360785</v>
      </c>
      <c r="Y71" s="14"/>
    </row>
    <row r="72" spans="1:6" s="16" customFormat="1" ht="12" thickTop="1">
      <c r="A72" s="113"/>
      <c r="B72" s="114"/>
      <c r="C72" s="35"/>
      <c r="D72" s="107"/>
      <c r="E72" s="35"/>
      <c r="F72" s="107"/>
    </row>
    <row r="73" spans="1:9" s="16" customFormat="1" ht="11.25">
      <c r="A73" s="113"/>
      <c r="B73" s="114"/>
      <c r="C73" s="35"/>
      <c r="D73" s="107"/>
      <c r="E73" s="35"/>
      <c r="F73" s="107"/>
      <c r="G73" s="125" t="s">
        <v>78</v>
      </c>
      <c r="I73" s="144">
        <f>+I71*3.5</f>
        <v>0.40946459692627474</v>
      </c>
    </row>
    <row r="74" spans="1:9" s="16" customFormat="1" ht="11.25">
      <c r="A74" s="113"/>
      <c r="B74" s="114"/>
      <c r="C74" s="35"/>
      <c r="D74" s="107"/>
      <c r="E74" s="35"/>
      <c r="F74" s="107"/>
      <c r="G74" s="125" t="s">
        <v>79</v>
      </c>
      <c r="I74" s="16">
        <f>I71*5</f>
        <v>0.5849494241803925</v>
      </c>
    </row>
    <row r="75" spans="1:27" s="16" customFormat="1" ht="11.25">
      <c r="A75" s="113"/>
      <c r="B75" s="114"/>
      <c r="C75" s="35"/>
      <c r="D75" s="107"/>
      <c r="E75" s="35"/>
      <c r="F75" s="107"/>
      <c r="J75" s="14"/>
      <c r="K75" s="13"/>
      <c r="L75" s="14"/>
      <c r="M75" s="14"/>
      <c r="N75" s="14"/>
      <c r="O75" s="14"/>
      <c r="P75" s="14"/>
      <c r="Q75" s="14"/>
      <c r="R75" s="14"/>
      <c r="S75" s="14"/>
      <c r="T75" s="14"/>
      <c r="U75" s="14"/>
      <c r="V75" s="13"/>
      <c r="W75" s="14"/>
      <c r="AA75" s="14"/>
    </row>
    <row r="76" spans="1:6" s="16" customFormat="1" ht="11.25">
      <c r="A76" s="113"/>
      <c r="B76" s="114"/>
      <c r="C76" s="35"/>
      <c r="D76" s="107"/>
      <c r="E76" s="35"/>
      <c r="F76" s="107"/>
    </row>
    <row r="77" spans="1:6" s="16" customFormat="1" ht="11.25">
      <c r="A77" s="113"/>
      <c r="B77" s="114"/>
      <c r="C77" s="35"/>
      <c r="D77" s="107"/>
      <c r="E77" s="35"/>
      <c r="F77" s="107"/>
    </row>
    <row r="78" spans="1:6" s="16" customFormat="1" ht="11.25">
      <c r="A78" s="113"/>
      <c r="B78" s="35"/>
      <c r="C78" s="35"/>
      <c r="D78" s="107"/>
      <c r="E78" s="35"/>
      <c r="F78" s="107"/>
    </row>
    <row r="79" spans="1:6" s="16" customFormat="1" ht="11.25">
      <c r="A79" s="113"/>
      <c r="B79" s="35"/>
      <c r="C79" s="115"/>
      <c r="D79" s="107"/>
      <c r="E79" s="35"/>
      <c r="F79" s="107"/>
    </row>
    <row r="80" spans="1:25" s="16" customFormat="1" ht="12.75">
      <c r="A80" s="116"/>
      <c r="B80" s="116"/>
      <c r="C80" s="116"/>
      <c r="D80" s="117"/>
      <c r="E80" s="116"/>
      <c r="F80" s="116"/>
      <c r="Y80" s="14"/>
    </row>
    <row r="81" spans="1:6" s="16" customFormat="1" ht="11.25">
      <c r="A81" s="118"/>
      <c r="B81" s="35"/>
      <c r="C81" s="115"/>
      <c r="D81" s="107"/>
      <c r="E81" s="115"/>
      <c r="F81" s="119"/>
    </row>
    <row r="82" s="16" customFormat="1" ht="11.25"/>
    <row r="83" s="16" customFormat="1" ht="11.25"/>
    <row r="84" s="16" customFormat="1" ht="11.25">
      <c r="B84" s="8"/>
    </row>
    <row r="85" spans="2:25" s="14" customFormat="1" ht="11.25">
      <c r="B85" s="31"/>
      <c r="X85" s="16"/>
      <c r="Y85" s="16"/>
    </row>
    <row r="86" s="16" customFormat="1" ht="11.25"/>
    <row r="87" s="16" customFormat="1" ht="11.25"/>
    <row r="88" s="16" customFormat="1" ht="11.25"/>
    <row r="89" s="16" customFormat="1" ht="11.25"/>
    <row r="90" s="16" customFormat="1" ht="11.25"/>
    <row r="91" s="16" customFormat="1" ht="11.25"/>
    <row r="92" s="16" customFormat="1" ht="11.25"/>
    <row r="93" s="16" customFormat="1" ht="11.25"/>
    <row r="94" s="16" customFormat="1" ht="11.25">
      <c r="A94" s="6"/>
    </row>
    <row r="95" s="16" customFormat="1" ht="12.75">
      <c r="AA95" s="5"/>
    </row>
    <row r="96" s="16" customFormat="1" ht="12.75">
      <c r="AA96" s="5"/>
    </row>
    <row r="97" s="16" customFormat="1" ht="12.75">
      <c r="AA97" s="5"/>
    </row>
    <row r="98" s="16" customFormat="1" ht="12.75">
      <c r="AA98" s="5"/>
    </row>
    <row r="99" spans="7:27" s="16" customFormat="1" ht="12.75">
      <c r="G99" s="56"/>
      <c r="I99" s="56"/>
      <c r="J99" s="56"/>
      <c r="L99" s="56"/>
      <c r="M99" s="56"/>
      <c r="N99" s="56"/>
      <c r="O99" s="56"/>
      <c r="P99" s="56"/>
      <c r="Q99" s="56"/>
      <c r="R99" s="56"/>
      <c r="S99" s="56"/>
      <c r="T99" s="56"/>
      <c r="U99" s="56"/>
      <c r="V99" s="56"/>
      <c r="W99" s="56"/>
      <c r="X99" s="56"/>
      <c r="Y99" s="56"/>
      <c r="AA99" s="5"/>
    </row>
    <row r="100" s="16" customFormat="1" ht="12.75">
      <c r="AA100" s="5"/>
    </row>
    <row r="101" spans="7:27" s="16" customFormat="1" ht="13.5" thickBot="1">
      <c r="G101" s="57"/>
      <c r="I101" s="57"/>
      <c r="J101" s="57"/>
      <c r="L101" s="57"/>
      <c r="M101" s="57"/>
      <c r="N101" s="57"/>
      <c r="O101" s="57"/>
      <c r="P101" s="57"/>
      <c r="Q101" s="57"/>
      <c r="R101" s="57"/>
      <c r="S101" s="57"/>
      <c r="T101" s="57"/>
      <c r="U101" s="57"/>
      <c r="V101" s="57"/>
      <c r="W101" s="57"/>
      <c r="X101" s="57"/>
      <c r="Y101" s="57"/>
      <c r="AA101" s="5"/>
    </row>
    <row r="102" ht="13.5" thickTop="1"/>
    <row r="103" spans="23:25" ht="12.75">
      <c r="W103" s="58"/>
      <c r="X103" s="58"/>
      <c r="Y103" s="58"/>
    </row>
    <row r="104" spans="23:27" ht="12.75">
      <c r="W104" s="58"/>
      <c r="AA104" s="58"/>
    </row>
  </sheetData>
  <sheetProtection/>
  <printOptions horizontalCentered="1"/>
  <pageMargins left="0" right="0" top="0.26" bottom="0.33" header="0" footer="0"/>
  <pageSetup fitToHeight="1" fitToWidth="1" orientation="portrait" scale="58" r:id="rId3"/>
  <headerFooter alignWithMargins="0">
    <oddFooter>&amp;R&amp;"Helv,Regular"&amp;6\\SERVER1\DPUBLIC\EXCEL\WUTC\&amp;F, &amp;A, &amp;D, &amp;T, 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20"/>
  <sheetViews>
    <sheetView zoomScalePageLayoutView="0" workbookViewId="0" topLeftCell="F1">
      <selection activeCell="O7" sqref="O7:O18"/>
    </sheetView>
  </sheetViews>
  <sheetFormatPr defaultColWidth="9.140625" defaultRowHeight="12.75"/>
  <cols>
    <col min="2" max="2" width="6.57421875" style="0" customWidth="1"/>
    <col min="3" max="13" width="10.7109375" style="0" customWidth="1"/>
    <col min="14" max="14" width="3.7109375" style="73" customWidth="1"/>
    <col min="15" max="15" width="10.7109375" style="0" customWidth="1"/>
    <col min="16" max="16" width="14.57421875" style="0" bestFit="1" customWidth="1"/>
  </cols>
  <sheetData>
    <row r="1" spans="1:2" ht="12.75">
      <c r="A1" s="59" t="str">
        <f>"Commodity Value Timeframe:  "&amp;TEXT(A7,"mmmm")&amp;" - "&amp;TEXT(A18,"mmmm")</f>
        <v>Commodity Value Timeframe:  May - April</v>
      </c>
      <c r="B1" s="60"/>
    </row>
    <row r="2" spans="1:2" ht="13.5" customHeight="1">
      <c r="A2" s="61" t="str">
        <f>WUTC_KENT_MF!A1</f>
        <v>Kent-Meridian Disposal</v>
      </c>
      <c r="B2" s="61"/>
    </row>
    <row r="3" spans="1:2" ht="13.5" customHeight="1">
      <c r="A3" s="61"/>
      <c r="B3" s="61"/>
    </row>
    <row r="4" spans="2:15" ht="12.75">
      <c r="B4" s="71"/>
      <c r="C4" s="63" t="s">
        <v>21</v>
      </c>
      <c r="D4" s="63" t="s">
        <v>22</v>
      </c>
      <c r="E4" s="63" t="s">
        <v>73</v>
      </c>
      <c r="F4" s="63" t="s">
        <v>23</v>
      </c>
      <c r="G4" s="63" t="s">
        <v>24</v>
      </c>
      <c r="H4" s="63" t="s">
        <v>25</v>
      </c>
      <c r="I4" s="63" t="s">
        <v>26</v>
      </c>
      <c r="J4" s="63" t="s">
        <v>27</v>
      </c>
      <c r="K4" s="63" t="s">
        <v>28</v>
      </c>
      <c r="L4" s="63" t="s">
        <v>29</v>
      </c>
      <c r="M4" s="63" t="s">
        <v>30</v>
      </c>
      <c r="N4"/>
      <c r="O4" s="74"/>
    </row>
    <row r="5" spans="2:15" ht="12.75">
      <c r="B5" s="71"/>
      <c r="C5" s="71"/>
      <c r="D5" s="71"/>
      <c r="E5" s="71"/>
      <c r="F5" s="71"/>
      <c r="G5" s="71"/>
      <c r="H5" s="71"/>
      <c r="I5" s="71"/>
      <c r="J5" s="71"/>
      <c r="K5" s="71"/>
      <c r="L5" s="71"/>
      <c r="M5" s="71"/>
      <c r="N5"/>
      <c r="O5" s="74" t="str">
        <f>+TEXT(P20,"00.0%")&amp;" of"</f>
        <v>50.0% of</v>
      </c>
    </row>
    <row r="6" spans="2:17" ht="12.75">
      <c r="B6" s="71"/>
      <c r="C6" s="71"/>
      <c r="D6" s="71"/>
      <c r="E6" s="71"/>
      <c r="F6" s="71"/>
      <c r="G6" s="71"/>
      <c r="H6" s="71"/>
      <c r="I6" s="71"/>
      <c r="J6" s="71"/>
      <c r="K6" s="71"/>
      <c r="L6" s="71"/>
      <c r="M6" s="71"/>
      <c r="N6"/>
      <c r="O6" s="74" t="s">
        <v>30</v>
      </c>
      <c r="P6" s="63" t="s">
        <v>88</v>
      </c>
      <c r="Q6" s="150"/>
    </row>
    <row r="7" spans="1:18" ht="12.75">
      <c r="A7" s="66">
        <f>+Pricing!A7</f>
        <v>42886</v>
      </c>
      <c r="B7" s="71"/>
      <c r="C7" s="76">
        <f>'Commodity Tonnages'!C7*Pricing!C7</f>
        <v>21.0493875</v>
      </c>
      <c r="D7" s="76">
        <f>'Commodity Tonnages'!D7*Pricing!D7</f>
        <v>-8.7199528</v>
      </c>
      <c r="E7" s="76">
        <f>'Commodity Tonnages'!E7*Pricing!E7</f>
        <v>0</v>
      </c>
      <c r="F7" s="76">
        <f>'Commodity Tonnages'!F7*Pricing!F7</f>
        <v>3.6822885</v>
      </c>
      <c r="G7" s="76">
        <f>'Commodity Tonnages'!G7*Pricing!G7</f>
        <v>39.47385</v>
      </c>
      <c r="H7" s="76">
        <f>'Commodity Tonnages'!H7*Pricing!H7</f>
        <v>59.99446119999998</v>
      </c>
      <c r="I7" s="76">
        <f>'Commodity Tonnages'!I7*Pricing!I7</f>
        <v>6.438233450000001</v>
      </c>
      <c r="J7" s="76">
        <f>'Commodity Tonnages'!J7*Pricing!J7</f>
        <v>6.438233450000001</v>
      </c>
      <c r="K7" s="76">
        <f>'Commodity Tonnages'!K7*Pricing!K7</f>
        <v>73.29508560000001</v>
      </c>
      <c r="L7" s="76">
        <f>'Commodity Tonnages'!L7*Pricing!L7</f>
        <v>-24.741679700000056</v>
      </c>
      <c r="M7" s="146">
        <f>SUM(C7:L7)</f>
        <v>176.90990719999994</v>
      </c>
      <c r="N7"/>
      <c r="O7" s="149">
        <f>M7*P7</f>
        <v>88.45495359999997</v>
      </c>
      <c r="P7" s="163">
        <v>0.5</v>
      </c>
      <c r="Q7" s="159"/>
      <c r="R7" s="75"/>
    </row>
    <row r="8" spans="1:18" ht="12.75">
      <c r="A8" s="66">
        <f>+Pricing!A8</f>
        <v>42916</v>
      </c>
      <c r="B8" s="71"/>
      <c r="C8" s="76">
        <f>'Commodity Tonnages'!C8*Pricing!C8</f>
        <v>33.8731275</v>
      </c>
      <c r="D8" s="76">
        <f>'Commodity Tonnages'!D8*Pricing!D8</f>
        <v>-5.714176000000001</v>
      </c>
      <c r="E8" s="76">
        <f>'Commodity Tonnages'!E8*Pricing!E8</f>
        <v>0</v>
      </c>
      <c r="F8" s="76">
        <f>'Commodity Tonnages'!F8*Pricing!F8</f>
        <v>5.756091</v>
      </c>
      <c r="G8" s="76">
        <f>'Commodity Tonnages'!G8*Pricing!G8</f>
        <v>83.76283500000001</v>
      </c>
      <c r="H8" s="76">
        <f>'Commodity Tonnages'!H8*Pricing!H8</f>
        <v>128.1870991999999</v>
      </c>
      <c r="I8" s="76">
        <f>'Commodity Tonnages'!I8*Pricing!I8</f>
        <v>8.0040985</v>
      </c>
      <c r="J8" s="76">
        <f>'Commodity Tonnages'!J8*Pricing!J8</f>
        <v>8.0040985</v>
      </c>
      <c r="K8" s="76">
        <f>'Commodity Tonnages'!K8*Pricing!K8</f>
        <v>143.5536432</v>
      </c>
      <c r="L8" s="76">
        <f>'Commodity Tonnages'!L8*Pricing!L8</f>
        <v>-40.30499435000009</v>
      </c>
      <c r="M8" s="146">
        <f aca="true" t="shared" si="0" ref="M8:M18">SUM(C8:L8)</f>
        <v>365.1218225499998</v>
      </c>
      <c r="N8"/>
      <c r="O8" s="149">
        <f aca="true" t="shared" si="1" ref="O8:O18">M8*P8</f>
        <v>182.5609112749999</v>
      </c>
      <c r="P8" s="163">
        <v>0.5</v>
      </c>
      <c r="Q8" s="159"/>
      <c r="R8" s="75"/>
    </row>
    <row r="9" spans="1:18" ht="12.75">
      <c r="A9" s="66">
        <f>+Pricing!A9</f>
        <v>42947</v>
      </c>
      <c r="B9" s="67"/>
      <c r="C9" s="76">
        <f>'Commodity Tonnages'!C9*Pricing!C9</f>
        <v>22.2783825</v>
      </c>
      <c r="D9" s="76">
        <f>'Commodity Tonnages'!D9*Pricing!D9</f>
        <v>-3.9850896800000006</v>
      </c>
      <c r="E9" s="76">
        <f>'Commodity Tonnages'!E9*Pricing!E9</f>
        <v>0</v>
      </c>
      <c r="F9" s="76">
        <f>'Commodity Tonnages'!F9*Pricing!F9</f>
        <v>3.80520195</v>
      </c>
      <c r="G9" s="76">
        <f>'Commodity Tonnages'!G9*Pricing!G9</f>
        <v>65.53747200000001</v>
      </c>
      <c r="H9" s="76">
        <f>'Commodity Tonnages'!H9*Pricing!H9</f>
        <v>102.53526271999996</v>
      </c>
      <c r="I9" s="76">
        <f>'Commodity Tonnages'!I9*Pricing!I9</f>
        <v>4.788483975</v>
      </c>
      <c r="J9" s="76">
        <f>'Commodity Tonnages'!J9*Pricing!J9</f>
        <v>4.788483975</v>
      </c>
      <c r="K9" s="76">
        <f>'Commodity Tonnages'!K9*Pricing!K9</f>
        <v>99.22512798</v>
      </c>
      <c r="L9" s="76">
        <f>'Commodity Tonnages'!L9*Pricing!L9</f>
        <v>-27.215847670000063</v>
      </c>
      <c r="M9" s="146">
        <f t="shared" si="0"/>
        <v>271.75747774999985</v>
      </c>
      <c r="N9" s="72"/>
      <c r="O9" s="149">
        <f t="shared" si="1"/>
        <v>135.87873887499993</v>
      </c>
      <c r="P9" s="163">
        <v>0.5</v>
      </c>
      <c r="Q9" s="159"/>
      <c r="R9" s="75"/>
    </row>
    <row r="10" spans="1:18" ht="12.75">
      <c r="A10" s="66">
        <f>+Pricing!A10</f>
        <v>42978</v>
      </c>
      <c r="B10" s="67"/>
      <c r="C10" s="76">
        <f>'Commodity Tonnages'!C10*Pricing!C10</f>
        <v>33.747294</v>
      </c>
      <c r="D10" s="76">
        <f>'Commodity Tonnages'!D10*Pricing!D10</f>
        <v>-3.81354064</v>
      </c>
      <c r="E10" s="76">
        <f>'Commodity Tonnages'!E10*Pricing!E10</f>
        <v>0</v>
      </c>
      <c r="F10" s="76">
        <f>'Commodity Tonnages'!F10*Pricing!F10</f>
        <v>6.405410549999999</v>
      </c>
      <c r="G10" s="76">
        <f>'Commodity Tonnages'!G10*Pricing!G10</f>
        <v>79.11171449999999</v>
      </c>
      <c r="H10" s="76">
        <f>'Commodity Tonnages'!H10*Pricing!H10</f>
        <v>123.48550465999993</v>
      </c>
      <c r="I10" s="76">
        <f>'Commodity Tonnages'!I10*Pricing!I10</f>
        <v>9.264196795</v>
      </c>
      <c r="J10" s="76">
        <f>'Commodity Tonnages'!J10*Pricing!J10</f>
        <v>9.264196795</v>
      </c>
      <c r="K10" s="76">
        <f>'Commodity Tonnages'!K10*Pricing!K10</f>
        <v>129.06635741999997</v>
      </c>
      <c r="L10" s="76">
        <f>'Commodity Tonnages'!L10*Pricing!L10</f>
        <v>-39.666499390000084</v>
      </c>
      <c r="M10" s="146">
        <f t="shared" si="0"/>
        <v>346.86463468999983</v>
      </c>
      <c r="N10" s="72"/>
      <c r="O10" s="149">
        <f t="shared" si="1"/>
        <v>173.43231734499992</v>
      </c>
      <c r="P10" s="163">
        <v>0.5</v>
      </c>
      <c r="Q10" s="159"/>
      <c r="R10" s="75"/>
    </row>
    <row r="11" spans="1:18" ht="12.75">
      <c r="A11" s="66">
        <f>+Pricing!A11</f>
        <v>43008</v>
      </c>
      <c r="B11" s="67"/>
      <c r="C11" s="76">
        <f>'Commodity Tonnages'!C11*Pricing!C11</f>
        <v>24.1613385</v>
      </c>
      <c r="D11" s="76">
        <f>'Commodity Tonnages'!D11*Pricing!D11</f>
        <v>-3.3524462400000004</v>
      </c>
      <c r="E11" s="76">
        <f>'Commodity Tonnages'!E11*Pricing!E11</f>
        <v>0</v>
      </c>
      <c r="F11" s="76">
        <f>'Commodity Tonnages'!F11*Pricing!F11</f>
        <v>4.8257781</v>
      </c>
      <c r="G11" s="76">
        <f>'Commodity Tonnages'!G11*Pricing!G11</f>
        <v>41.53648200000001</v>
      </c>
      <c r="H11" s="76">
        <f>'Commodity Tonnages'!H11*Pricing!H11</f>
        <v>62.92251939999997</v>
      </c>
      <c r="I11" s="76">
        <f>'Commodity Tonnages'!I11*Pricing!I11</f>
        <v>5.4710201</v>
      </c>
      <c r="J11" s="76">
        <f>'Commodity Tonnages'!J11*Pricing!J11</f>
        <v>5.4710201</v>
      </c>
      <c r="K11" s="76">
        <f>'Commodity Tonnages'!K11*Pricing!K11</f>
        <v>66.66433488</v>
      </c>
      <c r="L11" s="76">
        <f>'Commodity Tonnages'!L11*Pricing!L11</f>
        <v>-26.97641206000006</v>
      </c>
      <c r="M11" s="146">
        <f t="shared" si="0"/>
        <v>180.7236347799999</v>
      </c>
      <c r="N11" s="72"/>
      <c r="O11" s="149">
        <f t="shared" si="1"/>
        <v>90.36181738999996</v>
      </c>
      <c r="P11" s="163">
        <v>0.5</v>
      </c>
      <c r="Q11" s="159"/>
      <c r="R11" s="75"/>
    </row>
    <row r="12" spans="1:18" ht="12.75">
      <c r="A12" s="66">
        <f>+Pricing!A12</f>
        <v>43039</v>
      </c>
      <c r="B12" s="67"/>
      <c r="C12" s="76">
        <f>'Commodity Tonnages'!C12*Pricing!C12</f>
        <v>25.817190749999998</v>
      </c>
      <c r="D12" s="76">
        <f>'Commodity Tonnages'!D12*Pricing!D12</f>
        <v>-5.44858704</v>
      </c>
      <c r="E12" s="76">
        <f>'Commodity Tonnages'!E12*Pricing!E12</f>
        <v>0</v>
      </c>
      <c r="F12" s="76">
        <f>'Commodity Tonnages'!F12*Pricing!F12</f>
        <v>4.4050149</v>
      </c>
      <c r="G12" s="76">
        <f>'Commodity Tonnages'!G12*Pricing!G12</f>
        <v>41.2928685</v>
      </c>
      <c r="H12" s="76">
        <f>'Commodity Tonnages'!H12*Pricing!H12</f>
        <v>62.37198395999995</v>
      </c>
      <c r="I12" s="76">
        <f>'Commodity Tonnages'!I12*Pricing!I12</f>
        <v>3.8052278549999996</v>
      </c>
      <c r="J12" s="76">
        <f>'Commodity Tonnages'!J12*Pricing!J12</f>
        <v>3.8052278549999996</v>
      </c>
      <c r="K12" s="76">
        <f>'Commodity Tonnages'!K12*Pricing!K12</f>
        <v>51.145663139999996</v>
      </c>
      <c r="L12" s="76">
        <f>'Commodity Tonnages'!L12*Pricing!L12</f>
        <v>-28.01396637000006</v>
      </c>
      <c r="M12" s="146">
        <f t="shared" si="0"/>
        <v>159.1806235499999</v>
      </c>
      <c r="N12" s="72"/>
      <c r="O12" s="149">
        <f t="shared" si="1"/>
        <v>79.59031177499995</v>
      </c>
      <c r="P12" s="163">
        <v>0.5</v>
      </c>
      <c r="Q12" s="159"/>
      <c r="R12" s="75"/>
    </row>
    <row r="13" spans="1:18" ht="12.75">
      <c r="A13" s="66">
        <f>+Pricing!A13</f>
        <v>43069</v>
      </c>
      <c r="B13" s="67"/>
      <c r="C13" s="76">
        <f>'Commodity Tonnages'!C13*Pricing!C13</f>
        <v>24.340083</v>
      </c>
      <c r="D13" s="76">
        <f>'Commodity Tonnages'!D13*Pricing!D13</f>
        <v>-1.48218512</v>
      </c>
      <c r="E13" s="76">
        <f>'Commodity Tonnages'!E13*Pricing!E13</f>
        <v>0</v>
      </c>
      <c r="F13" s="76">
        <f>'Commodity Tonnages'!F13*Pricing!F13</f>
        <v>4.3029888</v>
      </c>
      <c r="G13" s="76">
        <f>'Commodity Tonnages'!G13*Pricing!G13</f>
        <v>42.940209</v>
      </c>
      <c r="H13" s="76">
        <f>'Commodity Tonnages'!H13*Pricing!H13</f>
        <v>56.80381419999996</v>
      </c>
      <c r="I13" s="76">
        <f>'Commodity Tonnages'!I13*Pricing!I13</f>
        <v>3.7528991499999993</v>
      </c>
      <c r="J13" s="76">
        <f>'Commodity Tonnages'!J13*Pricing!J13</f>
        <v>3.7528991499999993</v>
      </c>
      <c r="K13" s="76">
        <f>'Commodity Tonnages'!K13*Pricing!K13</f>
        <v>67.95856583999999</v>
      </c>
      <c r="L13" s="76">
        <f>'Commodity Tonnages'!L13*Pricing!L13</f>
        <v>-26.65716458000006</v>
      </c>
      <c r="M13" s="146">
        <f t="shared" si="0"/>
        <v>175.71210943999986</v>
      </c>
      <c r="N13" s="72"/>
      <c r="O13" s="149">
        <f t="shared" si="1"/>
        <v>87.85605471999993</v>
      </c>
      <c r="P13" s="163">
        <v>0.5</v>
      </c>
      <c r="Q13" s="159"/>
      <c r="R13" s="75"/>
    </row>
    <row r="14" spans="1:18" ht="12.75">
      <c r="A14" s="66">
        <f>+Pricing!A14</f>
        <v>43100</v>
      </c>
      <c r="B14" s="67"/>
      <c r="C14" s="76">
        <f>'Commodity Tonnages'!C14*Pricing!C14</f>
        <v>23.433642</v>
      </c>
      <c r="D14" s="76">
        <f>'Commodity Tonnages'!D14*Pricing!D14</f>
        <v>-5.36881488</v>
      </c>
      <c r="E14" s="76">
        <f>'Commodity Tonnages'!E14*Pricing!E14</f>
        <v>0</v>
      </c>
      <c r="F14" s="76">
        <f>'Commodity Tonnages'!F14*Pricing!F14</f>
        <v>4.69322865</v>
      </c>
      <c r="G14" s="76">
        <f>'Commodity Tonnages'!G14*Pricing!G14</f>
        <v>39.8667555</v>
      </c>
      <c r="H14" s="76">
        <f>'Commodity Tonnages'!H14*Pricing!H14</f>
        <v>51.52494263999998</v>
      </c>
      <c r="I14" s="76">
        <f>'Commodity Tonnages'!I14*Pricing!I14</f>
        <v>3.7235727150000004</v>
      </c>
      <c r="J14" s="76">
        <f>'Commodity Tonnages'!J14*Pricing!J14</f>
        <v>3.7235727150000004</v>
      </c>
      <c r="K14" s="76">
        <f>'Commodity Tonnages'!K14*Pricing!K14</f>
        <v>61.53240654</v>
      </c>
      <c r="L14" s="76">
        <f>'Commodity Tonnages'!L14*Pricing!L14</f>
        <v>-25.619610270000056</v>
      </c>
      <c r="M14" s="146">
        <f t="shared" si="0"/>
        <v>157.5096956099999</v>
      </c>
      <c r="N14" s="72"/>
      <c r="O14" s="149">
        <f t="shared" si="1"/>
        <v>78.75484780499995</v>
      </c>
      <c r="P14" s="163">
        <v>0.5</v>
      </c>
      <c r="Q14" s="159"/>
      <c r="R14" s="75"/>
    </row>
    <row r="15" spans="1:18" ht="12.75">
      <c r="A15" s="66">
        <f>+Pricing!A15</f>
        <v>43131</v>
      </c>
      <c r="B15" s="67"/>
      <c r="C15" s="76">
        <f>'Commodity Tonnages'!C15*Pricing!C15</f>
        <v>32.8978245</v>
      </c>
      <c r="D15" s="76">
        <f>'Commodity Tonnages'!D15*Pricing!D15</f>
        <v>-7.640129120000002</v>
      </c>
      <c r="E15" s="76">
        <f>'Commodity Tonnages'!E15*Pricing!E15</f>
        <v>0</v>
      </c>
      <c r="F15" s="76">
        <f>'Commodity Tonnages'!F15*Pricing!F15</f>
        <v>7.355977200000001</v>
      </c>
      <c r="G15" s="76">
        <f>'Commodity Tonnages'!G15*Pricing!G15</f>
        <v>33.60513</v>
      </c>
      <c r="H15" s="76">
        <f>'Commodity Tonnages'!H15*Pricing!H15</f>
        <v>55.97263697999996</v>
      </c>
      <c r="I15" s="76">
        <f>'Commodity Tonnages'!I15*Pricing!I15</f>
        <v>5.19482224</v>
      </c>
      <c r="J15" s="76">
        <f>'Commodity Tonnages'!J15*Pricing!J15</f>
        <v>5.19482224</v>
      </c>
      <c r="K15" s="76">
        <f>'Commodity Tonnages'!K15*Pricing!K15</f>
        <v>81.08807454000001</v>
      </c>
      <c r="L15" s="76">
        <f>'Commodity Tonnages'!L15*Pricing!L15</f>
        <v>-34.558539710000076</v>
      </c>
      <c r="M15" s="146">
        <f t="shared" si="0"/>
        <v>179.11061886999988</v>
      </c>
      <c r="N15" s="72"/>
      <c r="O15" s="149">
        <f t="shared" si="1"/>
        <v>89.55530943499994</v>
      </c>
      <c r="P15" s="163">
        <v>0.5</v>
      </c>
      <c r="Q15" s="159"/>
      <c r="R15" s="75"/>
    </row>
    <row r="16" spans="1:18" ht="12.75">
      <c r="A16" s="66">
        <f>+Pricing!A16</f>
        <v>43159</v>
      </c>
      <c r="B16" s="67"/>
      <c r="C16" s="76">
        <f>'Commodity Tonnages'!C16*Pricing!C16</f>
        <v>23.34598875</v>
      </c>
      <c r="D16" s="76">
        <f>'Commodity Tonnages'!D16*Pricing!D16</f>
        <v>-4.4609292</v>
      </c>
      <c r="E16" s="76">
        <f>'Commodity Tonnages'!E16*Pricing!E16</f>
        <v>0</v>
      </c>
      <c r="F16" s="76">
        <f>'Commodity Tonnages'!F16*Pricing!F16</f>
        <v>4.819122</v>
      </c>
      <c r="G16" s="76">
        <f>'Commodity Tonnages'!G16*Pricing!G16</f>
        <v>-11.1363525</v>
      </c>
      <c r="H16" s="76">
        <f>'Commodity Tonnages'!H16*Pricing!H16</f>
        <v>-22.108142699999984</v>
      </c>
      <c r="I16" s="76">
        <f>'Commodity Tonnages'!I16*Pricing!I16</f>
        <v>6.034324275</v>
      </c>
      <c r="J16" s="76">
        <f>'Commodity Tonnages'!J16*Pricing!J16</f>
        <v>6.034324275</v>
      </c>
      <c r="K16" s="76">
        <f>'Commodity Tonnages'!K16*Pricing!K16</f>
        <v>35.229070799999995</v>
      </c>
      <c r="L16" s="76">
        <f>'Commodity Tonnages'!L16*Pricing!L16</f>
        <v>-25.140739050000054</v>
      </c>
      <c r="M16" s="146">
        <f t="shared" si="0"/>
        <v>12.61666664999996</v>
      </c>
      <c r="N16" s="72"/>
      <c r="O16" s="149">
        <f t="shared" si="1"/>
        <v>6.30833332499998</v>
      </c>
      <c r="P16" s="163">
        <v>0.5</v>
      </c>
      <c r="Q16" s="159"/>
      <c r="R16" s="75"/>
    </row>
    <row r="17" spans="1:18" ht="12.75">
      <c r="A17" s="66">
        <f>+Pricing!A17</f>
        <v>43190</v>
      </c>
      <c r="B17" s="67"/>
      <c r="C17" s="76">
        <f>'Commodity Tonnages'!C17*Pricing!C17</f>
        <v>50.900215499999995</v>
      </c>
      <c r="D17" s="76">
        <f>'Commodity Tonnages'!D17*Pricing!D17</f>
        <v>-11.042928</v>
      </c>
      <c r="E17" s="76">
        <f>'Commodity Tonnages'!E17*Pricing!E17</f>
        <v>0</v>
      </c>
      <c r="F17" s="76">
        <f>'Commodity Tonnages'!F17*Pricing!F17</f>
        <v>12.218217000000001</v>
      </c>
      <c r="G17" s="76">
        <f>'Commodity Tonnages'!G17*Pricing!G17</f>
        <v>-21.964059000000002</v>
      </c>
      <c r="H17" s="76">
        <f>'Commodity Tonnages'!H17*Pricing!H17</f>
        <v>-47.77011587999999</v>
      </c>
      <c r="I17" s="76">
        <f>'Commodity Tonnages'!I17*Pricing!I17</f>
        <v>16.396707720000002</v>
      </c>
      <c r="J17" s="76">
        <f>'Commodity Tonnages'!J17*Pricing!J17</f>
        <v>16.396707720000002</v>
      </c>
      <c r="K17" s="76">
        <f>'Commodity Tonnages'!K17*Pricing!K17</f>
        <v>70.10897652</v>
      </c>
      <c r="L17" s="76">
        <f>'Commodity Tonnages'!L17*Pricing!L17</f>
        <v>-55.38943778000012</v>
      </c>
      <c r="M17" s="146">
        <f t="shared" si="0"/>
        <v>29.85428379999989</v>
      </c>
      <c r="N17" s="72"/>
      <c r="O17" s="149">
        <f t="shared" si="1"/>
        <v>14.927141899999945</v>
      </c>
      <c r="P17" s="163">
        <v>0.5</v>
      </c>
      <c r="Q17" s="159"/>
      <c r="R17" s="75"/>
    </row>
    <row r="18" spans="1:18" ht="12.75">
      <c r="A18" s="66">
        <f>+Pricing!A18</f>
        <v>43220</v>
      </c>
      <c r="B18" s="67"/>
      <c r="C18" s="76">
        <f>'Commodity Tonnages'!C18*Pricing!C18</f>
        <v>74.834172</v>
      </c>
      <c r="D18" s="76">
        <f>'Commodity Tonnages'!D18*Pricing!D18</f>
        <v>-18.231333120000002</v>
      </c>
      <c r="E18" s="76">
        <f>'Commodity Tonnages'!E18*Pricing!E18</f>
        <v>0</v>
      </c>
      <c r="F18" s="76">
        <f>'Commodity Tonnages'!F18*Pricing!F18</f>
        <v>18.2137032</v>
      </c>
      <c r="G18" s="76">
        <f>'Commodity Tonnages'!G18*Pricing!G18</f>
        <v>0</v>
      </c>
      <c r="H18" s="76">
        <f>'Commodity Tonnages'!H18*Pricing!H18</f>
        <v>-107.26039295999998</v>
      </c>
      <c r="I18" s="76">
        <f>'Commodity Tonnages'!I18*Pricing!I18</f>
        <v>24.41960136</v>
      </c>
      <c r="J18" s="76">
        <f>'Commodity Tonnages'!J18*Pricing!J18</f>
        <v>24.41960136</v>
      </c>
      <c r="K18" s="76">
        <f>'Commodity Tonnages'!K18*Pricing!K18</f>
        <v>103.48230816</v>
      </c>
      <c r="L18" s="76">
        <f>'Commodity Tonnages'!L18*Pricing!L18</f>
        <v>-80.45036496000017</v>
      </c>
      <c r="M18" s="146">
        <f t="shared" si="0"/>
        <v>39.42729503999985</v>
      </c>
      <c r="N18" s="72"/>
      <c r="O18" s="149">
        <f t="shared" si="1"/>
        <v>19.713647519999924</v>
      </c>
      <c r="P18" s="163">
        <v>0.5</v>
      </c>
      <c r="Q18" s="159"/>
      <c r="R18" s="75"/>
    </row>
    <row r="19" spans="1:15" ht="6.75" customHeight="1">
      <c r="A19" s="67"/>
      <c r="B19" s="67"/>
      <c r="C19" s="76"/>
      <c r="D19" s="76"/>
      <c r="E19" s="76"/>
      <c r="F19" s="76"/>
      <c r="G19" s="76"/>
      <c r="H19" s="76"/>
      <c r="I19" s="76"/>
      <c r="J19" s="76"/>
      <c r="K19" s="76"/>
      <c r="L19" s="76"/>
      <c r="M19" s="146"/>
      <c r="N19"/>
      <c r="O19" s="72"/>
    </row>
    <row r="20" spans="1:17" ht="12.75">
      <c r="A20" s="70" t="s">
        <v>32</v>
      </c>
      <c r="B20" s="67"/>
      <c r="C20" s="126">
        <f aca="true" t="shared" si="2" ref="C20:L20">SUM(C7:C19)</f>
        <v>390.6786465</v>
      </c>
      <c r="D20" s="126">
        <f t="shared" si="2"/>
        <v>-79.26011184000001</v>
      </c>
      <c r="E20" s="126">
        <f t="shared" si="2"/>
        <v>0</v>
      </c>
      <c r="F20" s="126">
        <f t="shared" si="2"/>
        <v>80.48302185</v>
      </c>
      <c r="G20" s="126">
        <f t="shared" si="2"/>
        <v>434.026905</v>
      </c>
      <c r="H20" s="126">
        <f t="shared" si="2"/>
        <v>526.6595734199996</v>
      </c>
      <c r="I20" s="126">
        <f t="shared" si="2"/>
        <v>97.29318813500001</v>
      </c>
      <c r="J20" s="126">
        <f t="shared" si="2"/>
        <v>97.29318813500001</v>
      </c>
      <c r="K20" s="126">
        <f t="shared" si="2"/>
        <v>982.34961462</v>
      </c>
      <c r="L20" s="126">
        <f t="shared" si="2"/>
        <v>-434.73525589000093</v>
      </c>
      <c r="M20" s="147">
        <f>SUM(C20:L20)</f>
        <v>2094.7887699299986</v>
      </c>
      <c r="N20" s="68"/>
      <c r="O20" s="127">
        <f>SUM(O7:O19)</f>
        <v>1047.3943849649993</v>
      </c>
      <c r="P20" s="135">
        <f>+O20/M20</f>
        <v>0.5</v>
      </c>
      <c r="Q20" s="73"/>
    </row>
    <row r="21" spans="1:15" ht="12.75">
      <c r="A21" s="67"/>
      <c r="B21" s="67"/>
      <c r="C21" s="72"/>
      <c r="D21" s="72"/>
      <c r="E21" s="72"/>
      <c r="F21" s="72"/>
      <c r="G21" s="72"/>
      <c r="H21" s="72"/>
      <c r="I21" s="72"/>
      <c r="J21" s="72"/>
      <c r="K21" s="72"/>
      <c r="L21" s="72"/>
      <c r="M21" s="146"/>
      <c r="N21"/>
      <c r="O21" s="73"/>
    </row>
    <row r="22" spans="1:15" ht="12.75">
      <c r="A22" s="67"/>
      <c r="B22" s="67"/>
      <c r="C22" s="67"/>
      <c r="D22" s="67"/>
      <c r="E22" s="67"/>
      <c r="F22" s="67"/>
      <c r="G22" s="67"/>
      <c r="H22" s="67"/>
      <c r="I22" s="67"/>
      <c r="J22" s="67"/>
      <c r="K22" s="67"/>
      <c r="L22" s="67"/>
      <c r="M22" s="148"/>
      <c r="N22"/>
      <c r="O22" s="73"/>
    </row>
    <row r="23" spans="1:11" ht="12.75">
      <c r="A23" s="67"/>
      <c r="B23" s="67"/>
      <c r="C23" s="67"/>
      <c r="D23" s="67"/>
      <c r="E23" s="67"/>
      <c r="F23" s="67"/>
      <c r="G23" s="67"/>
      <c r="H23" s="67"/>
      <c r="I23" s="67"/>
      <c r="J23" s="67"/>
      <c r="K23" s="67"/>
    </row>
    <row r="24" spans="1:11" ht="12.75">
      <c r="A24" s="67"/>
      <c r="B24" s="67"/>
      <c r="C24" s="67"/>
      <c r="D24" s="67"/>
      <c r="E24" s="67"/>
      <c r="F24" s="67"/>
      <c r="G24" s="67"/>
      <c r="H24" s="67"/>
      <c r="I24" s="67"/>
      <c r="J24" s="67"/>
      <c r="K24" s="67"/>
    </row>
    <row r="25" spans="1:11" ht="12.75">
      <c r="A25" s="67"/>
      <c r="B25" s="67"/>
      <c r="C25" s="67"/>
      <c r="D25" s="67"/>
      <c r="E25" s="67"/>
      <c r="F25" s="67"/>
      <c r="G25" s="67"/>
      <c r="H25" s="67"/>
      <c r="I25" s="67"/>
      <c r="J25" s="67"/>
      <c r="K25" s="67"/>
    </row>
    <row r="26" spans="1:11" ht="12.75">
      <c r="A26" s="67"/>
      <c r="B26" s="67"/>
      <c r="C26" s="67"/>
      <c r="D26" s="67"/>
      <c r="E26" s="67"/>
      <c r="F26" s="67"/>
      <c r="G26" s="67"/>
      <c r="H26" s="67"/>
      <c r="I26" s="67"/>
      <c r="J26" s="67"/>
      <c r="K26" s="67"/>
    </row>
    <row r="27" spans="1:11" ht="12.75">
      <c r="A27" s="67"/>
      <c r="B27" s="67"/>
      <c r="C27" s="67"/>
      <c r="D27" s="67"/>
      <c r="E27" s="67"/>
      <c r="F27" s="67"/>
      <c r="G27" s="67"/>
      <c r="H27" s="67"/>
      <c r="I27" s="67"/>
      <c r="J27" s="67"/>
      <c r="K27" s="67"/>
    </row>
    <row r="28" spans="1:11" ht="12.75">
      <c r="A28" s="67"/>
      <c r="B28" s="67"/>
      <c r="C28" s="67"/>
      <c r="D28" s="67"/>
      <c r="E28" s="67"/>
      <c r="F28" s="67"/>
      <c r="G28" s="67"/>
      <c r="H28" s="67"/>
      <c r="I28" s="67"/>
      <c r="J28" s="67"/>
      <c r="K28" s="67"/>
    </row>
    <row r="29" spans="1:11" ht="12.75">
      <c r="A29" s="67"/>
      <c r="B29" s="67"/>
      <c r="C29" s="67"/>
      <c r="D29" s="67"/>
      <c r="E29" s="67"/>
      <c r="F29" s="67"/>
      <c r="G29" s="67"/>
      <c r="H29" s="67"/>
      <c r="I29" s="67"/>
      <c r="J29" s="67"/>
      <c r="K29" s="67"/>
    </row>
    <row r="30" spans="1:11" ht="12.75">
      <c r="A30" s="67"/>
      <c r="B30" s="67"/>
      <c r="C30" s="67"/>
      <c r="D30" s="67"/>
      <c r="E30" s="67"/>
      <c r="F30" s="67"/>
      <c r="G30" s="67"/>
      <c r="H30" s="67"/>
      <c r="I30" s="67"/>
      <c r="J30" s="67"/>
      <c r="K30" s="67"/>
    </row>
    <row r="31" spans="1:11" ht="12.75">
      <c r="A31" s="67"/>
      <c r="B31" s="67"/>
      <c r="C31" s="67"/>
      <c r="D31" s="67"/>
      <c r="E31" s="67"/>
      <c r="F31" s="67"/>
      <c r="G31" s="67"/>
      <c r="H31" s="67"/>
      <c r="I31" s="67"/>
      <c r="J31" s="67"/>
      <c r="K31" s="67"/>
    </row>
    <row r="32" spans="1:11" ht="12.75">
      <c r="A32" s="67"/>
      <c r="B32" s="67"/>
      <c r="C32" s="67"/>
      <c r="D32" s="67"/>
      <c r="E32" s="67"/>
      <c r="F32" s="67"/>
      <c r="G32" s="67"/>
      <c r="H32" s="67"/>
      <c r="I32" s="67"/>
      <c r="J32" s="67"/>
      <c r="K32" s="67"/>
    </row>
    <row r="33" spans="1:11" ht="12.75">
      <c r="A33" s="67"/>
      <c r="B33" s="67"/>
      <c r="C33" s="67"/>
      <c r="D33" s="67"/>
      <c r="E33" s="67"/>
      <c r="F33" s="67"/>
      <c r="G33" s="67"/>
      <c r="H33" s="67"/>
      <c r="I33" s="67"/>
      <c r="J33" s="67"/>
      <c r="K33" s="67"/>
    </row>
    <row r="34" spans="1:11" ht="12.75">
      <c r="A34" s="67"/>
      <c r="B34" s="67"/>
      <c r="C34" s="67"/>
      <c r="D34" s="67"/>
      <c r="E34" s="67"/>
      <c r="F34" s="67"/>
      <c r="G34" s="67"/>
      <c r="H34" s="67"/>
      <c r="I34" s="67"/>
      <c r="J34" s="67"/>
      <c r="K34" s="67"/>
    </row>
    <row r="35" spans="1:11" ht="12.75">
      <c r="A35" s="67"/>
      <c r="B35" s="67"/>
      <c r="C35" s="67"/>
      <c r="D35" s="67"/>
      <c r="E35" s="67"/>
      <c r="F35" s="67"/>
      <c r="G35" s="67"/>
      <c r="H35" s="67"/>
      <c r="I35" s="67"/>
      <c r="J35" s="67"/>
      <c r="K35" s="67"/>
    </row>
    <row r="36" spans="1:11" ht="12.75">
      <c r="A36" s="67"/>
      <c r="B36" s="67"/>
      <c r="C36" s="67"/>
      <c r="D36" s="67"/>
      <c r="E36" s="67"/>
      <c r="F36" s="67"/>
      <c r="G36" s="67"/>
      <c r="H36" s="67"/>
      <c r="I36" s="67"/>
      <c r="J36" s="67"/>
      <c r="K36" s="67"/>
    </row>
    <row r="37" spans="1:11" ht="12.75">
      <c r="A37" s="67"/>
      <c r="B37" s="67"/>
      <c r="C37" s="67"/>
      <c r="D37" s="67"/>
      <c r="E37" s="67"/>
      <c r="F37" s="67"/>
      <c r="G37" s="67"/>
      <c r="H37" s="67"/>
      <c r="I37" s="67"/>
      <c r="J37" s="67"/>
      <c r="K37" s="67"/>
    </row>
    <row r="38" spans="1:11" ht="12.75">
      <c r="A38" s="67"/>
      <c r="B38" s="67"/>
      <c r="C38" s="67"/>
      <c r="D38" s="67"/>
      <c r="E38" s="67"/>
      <c r="F38" s="67"/>
      <c r="G38" s="67"/>
      <c r="H38" s="67"/>
      <c r="I38" s="67"/>
      <c r="J38" s="67"/>
      <c r="K38" s="67"/>
    </row>
    <row r="39" spans="1:11" ht="12.75">
      <c r="A39" s="67"/>
      <c r="B39" s="67"/>
      <c r="C39" s="67"/>
      <c r="D39" s="67"/>
      <c r="E39" s="67"/>
      <c r="F39" s="67"/>
      <c r="G39" s="67"/>
      <c r="H39" s="67"/>
      <c r="I39" s="67"/>
      <c r="J39" s="67"/>
      <c r="K39" s="67"/>
    </row>
    <row r="40" spans="1:11" ht="12.75">
      <c r="A40" s="67"/>
      <c r="B40" s="67"/>
      <c r="C40" s="67"/>
      <c r="D40" s="67"/>
      <c r="E40" s="67"/>
      <c r="F40" s="67"/>
      <c r="G40" s="67"/>
      <c r="H40" s="67"/>
      <c r="I40" s="67"/>
      <c r="J40" s="67"/>
      <c r="K40" s="67"/>
    </row>
    <row r="41" spans="1:11" ht="12.75">
      <c r="A41" s="67"/>
      <c r="B41" s="67"/>
      <c r="C41" s="67"/>
      <c r="D41" s="67"/>
      <c r="E41" s="67"/>
      <c r="F41" s="67"/>
      <c r="G41" s="67"/>
      <c r="H41" s="67"/>
      <c r="I41" s="67"/>
      <c r="J41" s="67"/>
      <c r="K41" s="67"/>
    </row>
    <row r="42" spans="1:11" ht="12.75">
      <c r="A42" s="67"/>
      <c r="B42" s="67"/>
      <c r="C42" s="67"/>
      <c r="D42" s="67"/>
      <c r="E42" s="67"/>
      <c r="F42" s="67"/>
      <c r="G42" s="67"/>
      <c r="H42" s="67"/>
      <c r="I42" s="67"/>
      <c r="J42" s="67"/>
      <c r="K42" s="67"/>
    </row>
    <row r="43" spans="1:11" ht="12.75">
      <c r="A43" s="67"/>
      <c r="B43" s="67"/>
      <c r="C43" s="67"/>
      <c r="D43" s="67"/>
      <c r="E43" s="67"/>
      <c r="F43" s="67"/>
      <c r="G43" s="67"/>
      <c r="H43" s="67"/>
      <c r="I43" s="67"/>
      <c r="J43" s="67"/>
      <c r="K43" s="67"/>
    </row>
    <row r="44" spans="1:11" ht="12.75">
      <c r="A44" s="67"/>
      <c r="B44" s="67"/>
      <c r="C44" s="67"/>
      <c r="D44" s="67"/>
      <c r="E44" s="67"/>
      <c r="F44" s="67"/>
      <c r="G44" s="67"/>
      <c r="H44" s="67"/>
      <c r="I44" s="67"/>
      <c r="J44" s="67"/>
      <c r="K44" s="67"/>
    </row>
    <row r="45" spans="1:11" ht="12.75">
      <c r="A45" s="67"/>
      <c r="B45" s="67"/>
      <c r="C45" s="67"/>
      <c r="D45" s="67"/>
      <c r="E45" s="67"/>
      <c r="F45" s="67"/>
      <c r="G45" s="67"/>
      <c r="H45" s="67"/>
      <c r="I45" s="67"/>
      <c r="J45" s="67"/>
      <c r="K45" s="67"/>
    </row>
    <row r="46" spans="1:11" ht="12.75">
      <c r="A46" s="67"/>
      <c r="B46" s="67"/>
      <c r="C46" s="67"/>
      <c r="D46" s="67"/>
      <c r="E46" s="67"/>
      <c r="F46" s="67"/>
      <c r="G46" s="67"/>
      <c r="H46" s="67"/>
      <c r="I46" s="67"/>
      <c r="J46" s="67"/>
      <c r="K46" s="67"/>
    </row>
    <row r="47" spans="1:11" ht="12.75">
      <c r="A47" s="67"/>
      <c r="B47" s="67"/>
      <c r="C47" s="67"/>
      <c r="D47" s="67"/>
      <c r="E47" s="67"/>
      <c r="F47" s="67"/>
      <c r="G47" s="67"/>
      <c r="H47" s="67"/>
      <c r="I47" s="67"/>
      <c r="J47" s="67"/>
      <c r="K47" s="67"/>
    </row>
    <row r="48" spans="1:11" ht="12.75">
      <c r="A48" s="67"/>
      <c r="B48" s="67"/>
      <c r="C48" s="67"/>
      <c r="D48" s="67"/>
      <c r="E48" s="67"/>
      <c r="F48" s="67"/>
      <c r="G48" s="67"/>
      <c r="H48" s="67"/>
      <c r="I48" s="67"/>
      <c r="J48" s="67"/>
      <c r="K48" s="67"/>
    </row>
    <row r="49" spans="1:11" ht="12.75">
      <c r="A49" s="67"/>
      <c r="B49" s="67"/>
      <c r="C49" s="67"/>
      <c r="D49" s="67"/>
      <c r="E49" s="67"/>
      <c r="F49" s="67"/>
      <c r="G49" s="67"/>
      <c r="H49" s="67"/>
      <c r="I49" s="67"/>
      <c r="J49" s="67"/>
      <c r="K49" s="67"/>
    </row>
    <row r="50" spans="1:11" ht="12.75">
      <c r="A50" s="67"/>
      <c r="B50" s="67"/>
      <c r="C50" s="67"/>
      <c r="D50" s="67"/>
      <c r="E50" s="67"/>
      <c r="F50" s="67"/>
      <c r="G50" s="67"/>
      <c r="H50" s="67"/>
      <c r="I50" s="67"/>
      <c r="J50" s="67"/>
      <c r="K50" s="67"/>
    </row>
    <row r="51" spans="1:11" ht="12.75">
      <c r="A51" s="67"/>
      <c r="B51" s="67"/>
      <c r="C51" s="67"/>
      <c r="D51" s="67"/>
      <c r="E51" s="67"/>
      <c r="F51" s="67"/>
      <c r="G51" s="67"/>
      <c r="H51" s="67"/>
      <c r="I51" s="67"/>
      <c r="J51" s="67"/>
      <c r="K51" s="67"/>
    </row>
    <row r="52" spans="1:11" ht="12.75">
      <c r="A52" s="67"/>
      <c r="B52" s="67"/>
      <c r="C52" s="67"/>
      <c r="D52" s="67"/>
      <c r="E52" s="67"/>
      <c r="F52" s="67"/>
      <c r="G52" s="67"/>
      <c r="H52" s="67"/>
      <c r="I52" s="67"/>
      <c r="J52" s="67"/>
      <c r="K52" s="67"/>
    </row>
    <row r="53" spans="1:11" ht="12.75">
      <c r="A53" s="67"/>
      <c r="B53" s="67"/>
      <c r="C53" s="67"/>
      <c r="D53" s="67"/>
      <c r="E53" s="67"/>
      <c r="F53" s="67"/>
      <c r="G53" s="67"/>
      <c r="H53" s="67"/>
      <c r="I53" s="67"/>
      <c r="J53" s="67"/>
      <c r="K53" s="67"/>
    </row>
    <row r="54" spans="1:11" ht="12.75">
      <c r="A54" s="67"/>
      <c r="B54" s="67"/>
      <c r="C54" s="67"/>
      <c r="D54" s="67"/>
      <c r="E54" s="67"/>
      <c r="F54" s="67"/>
      <c r="G54" s="67"/>
      <c r="H54" s="67"/>
      <c r="I54" s="67"/>
      <c r="J54" s="67"/>
      <c r="K54" s="67"/>
    </row>
    <row r="55" spans="1:11" ht="12.75">
      <c r="A55" s="67"/>
      <c r="B55" s="67"/>
      <c r="C55" s="67"/>
      <c r="D55" s="67"/>
      <c r="E55" s="67"/>
      <c r="F55" s="67"/>
      <c r="G55" s="67"/>
      <c r="H55" s="67"/>
      <c r="I55" s="67"/>
      <c r="J55" s="67"/>
      <c r="K55" s="67"/>
    </row>
    <row r="56" spans="1:11" ht="12.75">
      <c r="A56" s="67"/>
      <c r="B56" s="67"/>
      <c r="C56" s="67"/>
      <c r="D56" s="67"/>
      <c r="E56" s="67"/>
      <c r="F56" s="67"/>
      <c r="G56" s="67"/>
      <c r="H56" s="67"/>
      <c r="I56" s="67"/>
      <c r="J56" s="67"/>
      <c r="K56" s="67"/>
    </row>
    <row r="57" spans="1:11" ht="12.75">
      <c r="A57" s="67"/>
      <c r="B57" s="67"/>
      <c r="C57" s="67"/>
      <c r="D57" s="67"/>
      <c r="E57" s="67"/>
      <c r="F57" s="67"/>
      <c r="G57" s="67"/>
      <c r="H57" s="67"/>
      <c r="I57" s="67"/>
      <c r="J57" s="67"/>
      <c r="K57" s="67"/>
    </row>
    <row r="58" spans="1:11" ht="12.75">
      <c r="A58" s="67"/>
      <c r="B58" s="67"/>
      <c r="C58" s="67"/>
      <c r="D58" s="67"/>
      <c r="E58" s="67"/>
      <c r="F58" s="67"/>
      <c r="G58" s="67"/>
      <c r="H58" s="67"/>
      <c r="I58" s="67"/>
      <c r="J58" s="67"/>
      <c r="K58" s="67"/>
    </row>
    <row r="59" spans="1:11" ht="12.75">
      <c r="A59" s="67"/>
      <c r="B59" s="67"/>
      <c r="C59" s="67"/>
      <c r="D59" s="67"/>
      <c r="E59" s="67"/>
      <c r="F59" s="67"/>
      <c r="G59" s="67"/>
      <c r="H59" s="67"/>
      <c r="I59" s="67"/>
      <c r="J59" s="67"/>
      <c r="K59" s="67"/>
    </row>
    <row r="60" spans="1:11" ht="12.75">
      <c r="A60" s="67"/>
      <c r="B60" s="67"/>
      <c r="C60" s="67"/>
      <c r="D60" s="67"/>
      <c r="E60" s="67"/>
      <c r="F60" s="67"/>
      <c r="G60" s="67"/>
      <c r="H60" s="67"/>
      <c r="I60" s="67"/>
      <c r="J60" s="67"/>
      <c r="K60" s="67"/>
    </row>
    <row r="61" spans="1:11" ht="12.75">
      <c r="A61" s="67"/>
      <c r="B61" s="67"/>
      <c r="C61" s="67"/>
      <c r="D61" s="67"/>
      <c r="E61" s="67"/>
      <c r="F61" s="67"/>
      <c r="G61" s="67"/>
      <c r="H61" s="67"/>
      <c r="I61" s="67"/>
      <c r="J61" s="67"/>
      <c r="K61" s="67"/>
    </row>
    <row r="62" spans="1:11" ht="12.75">
      <c r="A62" s="67"/>
      <c r="B62" s="67"/>
      <c r="C62" s="67"/>
      <c r="D62" s="67"/>
      <c r="E62" s="67"/>
      <c r="F62" s="67"/>
      <c r="G62" s="67"/>
      <c r="H62" s="67"/>
      <c r="I62" s="67"/>
      <c r="J62" s="67"/>
      <c r="K62" s="67"/>
    </row>
    <row r="63" spans="1:11" ht="12.75">
      <c r="A63" s="67"/>
      <c r="B63" s="67"/>
      <c r="C63" s="67"/>
      <c r="D63" s="67"/>
      <c r="E63" s="67"/>
      <c r="F63" s="67"/>
      <c r="G63" s="67"/>
      <c r="H63" s="67"/>
      <c r="I63" s="67"/>
      <c r="J63" s="67"/>
      <c r="K63" s="67"/>
    </row>
    <row r="64" spans="1:11" ht="12.75">
      <c r="A64" s="67"/>
      <c r="B64" s="67"/>
      <c r="C64" s="67"/>
      <c r="D64" s="67"/>
      <c r="E64" s="67"/>
      <c r="F64" s="67"/>
      <c r="G64" s="67"/>
      <c r="H64" s="67"/>
      <c r="I64" s="67"/>
      <c r="J64" s="67"/>
      <c r="K64" s="67"/>
    </row>
    <row r="65" spans="1:11" ht="12.75">
      <c r="A65" s="67"/>
      <c r="B65" s="67"/>
      <c r="C65" s="67"/>
      <c r="D65" s="67"/>
      <c r="E65" s="67"/>
      <c r="F65" s="67"/>
      <c r="G65" s="67"/>
      <c r="H65" s="67"/>
      <c r="I65" s="67"/>
      <c r="J65" s="67"/>
      <c r="K65" s="67"/>
    </row>
    <row r="66" spans="1:11" ht="12.75">
      <c r="A66" s="67"/>
      <c r="B66" s="67"/>
      <c r="C66" s="67"/>
      <c r="D66" s="67"/>
      <c r="E66" s="67"/>
      <c r="F66" s="67"/>
      <c r="G66" s="67"/>
      <c r="H66" s="67"/>
      <c r="I66" s="67"/>
      <c r="J66" s="67"/>
      <c r="K66" s="67"/>
    </row>
    <row r="67" spans="1:11" ht="12.75">
      <c r="A67" s="67"/>
      <c r="B67" s="67"/>
      <c r="C67" s="67"/>
      <c r="D67" s="67"/>
      <c r="E67" s="67"/>
      <c r="F67" s="67"/>
      <c r="G67" s="67"/>
      <c r="H67" s="67"/>
      <c r="I67" s="67"/>
      <c r="J67" s="67"/>
      <c r="K67" s="67"/>
    </row>
    <row r="68" spans="1:11" ht="12.75">
      <c r="A68" s="67"/>
      <c r="B68" s="67"/>
      <c r="C68" s="67"/>
      <c r="D68" s="67"/>
      <c r="E68" s="67"/>
      <c r="F68" s="67"/>
      <c r="G68" s="67"/>
      <c r="H68" s="67"/>
      <c r="I68" s="67"/>
      <c r="J68" s="67"/>
      <c r="K68" s="67"/>
    </row>
    <row r="69" spans="1:11" ht="12.75">
      <c r="A69" s="67"/>
      <c r="B69" s="67"/>
      <c r="C69" s="67"/>
      <c r="D69" s="67"/>
      <c r="E69" s="67"/>
      <c r="F69" s="67"/>
      <c r="G69" s="67"/>
      <c r="H69" s="67"/>
      <c r="I69" s="67"/>
      <c r="J69" s="67"/>
      <c r="K69" s="67"/>
    </row>
    <row r="70" spans="1:11" ht="12.75">
      <c r="A70" s="67"/>
      <c r="B70" s="67"/>
      <c r="C70" s="67"/>
      <c r="D70" s="67"/>
      <c r="E70" s="67"/>
      <c r="F70" s="67"/>
      <c r="G70" s="67"/>
      <c r="H70" s="67"/>
      <c r="I70" s="67"/>
      <c r="J70" s="67"/>
      <c r="K70" s="67"/>
    </row>
    <row r="71" spans="1:11" ht="12.75">
      <c r="A71" s="67"/>
      <c r="B71" s="67"/>
      <c r="C71" s="67"/>
      <c r="D71" s="67"/>
      <c r="E71" s="67"/>
      <c r="F71" s="67"/>
      <c r="G71" s="67"/>
      <c r="H71" s="67"/>
      <c r="I71" s="67"/>
      <c r="J71" s="67"/>
      <c r="K71" s="67"/>
    </row>
    <row r="72" spans="1:11" ht="12.75">
      <c r="A72" s="67"/>
      <c r="B72" s="67"/>
      <c r="C72" s="67"/>
      <c r="D72" s="67"/>
      <c r="E72" s="67"/>
      <c r="F72" s="67"/>
      <c r="G72" s="67"/>
      <c r="H72" s="67"/>
      <c r="I72" s="67"/>
      <c r="J72" s="67"/>
      <c r="K72" s="67"/>
    </row>
    <row r="73" spans="1:11" ht="12.75">
      <c r="A73" s="67"/>
      <c r="B73" s="67"/>
      <c r="C73" s="67"/>
      <c r="D73" s="67"/>
      <c r="E73" s="67"/>
      <c r="F73" s="67"/>
      <c r="G73" s="67"/>
      <c r="H73" s="67"/>
      <c r="I73" s="67"/>
      <c r="J73" s="67"/>
      <c r="K73" s="67"/>
    </row>
    <row r="74" spans="1:11" ht="12.75">
      <c r="A74" s="67"/>
      <c r="B74" s="67"/>
      <c r="C74" s="67"/>
      <c r="D74" s="67"/>
      <c r="E74" s="67"/>
      <c r="F74" s="67"/>
      <c r="G74" s="67"/>
      <c r="H74" s="67"/>
      <c r="I74" s="67"/>
      <c r="J74" s="67"/>
      <c r="K74" s="67"/>
    </row>
    <row r="75" spans="1:11" ht="12.75">
      <c r="A75" s="67"/>
      <c r="B75" s="67"/>
      <c r="C75" s="67"/>
      <c r="D75" s="67"/>
      <c r="E75" s="67"/>
      <c r="F75" s="67"/>
      <c r="G75" s="67"/>
      <c r="H75" s="67"/>
      <c r="I75" s="67"/>
      <c r="J75" s="67"/>
      <c r="K75" s="67"/>
    </row>
    <row r="76" spans="1:11" ht="12.75">
      <c r="A76" s="67"/>
      <c r="B76" s="67"/>
      <c r="C76" s="67"/>
      <c r="D76" s="67"/>
      <c r="E76" s="67"/>
      <c r="F76" s="67"/>
      <c r="G76" s="67"/>
      <c r="H76" s="67"/>
      <c r="I76" s="67"/>
      <c r="J76" s="67"/>
      <c r="K76" s="67"/>
    </row>
    <row r="77" spans="1:11" ht="12.75">
      <c r="A77" s="67"/>
      <c r="B77" s="67"/>
      <c r="C77" s="67"/>
      <c r="D77" s="67"/>
      <c r="E77" s="67"/>
      <c r="F77" s="67"/>
      <c r="G77" s="67"/>
      <c r="H77" s="67"/>
      <c r="I77" s="67"/>
      <c r="J77" s="67"/>
      <c r="K77" s="67"/>
    </row>
    <row r="78" spans="1:11" ht="12.75">
      <c r="A78" s="67"/>
      <c r="B78" s="67"/>
      <c r="C78" s="67"/>
      <c r="D78" s="67"/>
      <c r="E78" s="67"/>
      <c r="F78" s="67"/>
      <c r="G78" s="67"/>
      <c r="H78" s="67"/>
      <c r="I78" s="67"/>
      <c r="J78" s="67"/>
      <c r="K78" s="67"/>
    </row>
    <row r="79" spans="1:11" ht="12.75">
      <c r="A79" s="67"/>
      <c r="B79" s="67"/>
      <c r="C79" s="67"/>
      <c r="D79" s="67"/>
      <c r="E79" s="67"/>
      <c r="F79" s="67"/>
      <c r="G79" s="67"/>
      <c r="H79" s="67"/>
      <c r="I79" s="67"/>
      <c r="J79" s="67"/>
      <c r="K79" s="67"/>
    </row>
    <row r="80" spans="1:11" ht="12.75">
      <c r="A80" s="67"/>
      <c r="B80" s="67"/>
      <c r="C80" s="67"/>
      <c r="D80" s="67"/>
      <c r="E80" s="67"/>
      <c r="F80" s="67"/>
      <c r="G80" s="67"/>
      <c r="H80" s="67"/>
      <c r="I80" s="67"/>
      <c r="J80" s="67"/>
      <c r="K80" s="67"/>
    </row>
    <row r="81" spans="1:11" ht="12.75">
      <c r="A81" s="67"/>
      <c r="B81" s="67"/>
      <c r="C81" s="67"/>
      <c r="D81" s="67"/>
      <c r="E81" s="67"/>
      <c r="F81" s="67"/>
      <c r="G81" s="67"/>
      <c r="H81" s="67"/>
      <c r="I81" s="67"/>
      <c r="J81" s="67"/>
      <c r="K81" s="67"/>
    </row>
    <row r="82" spans="1:11" ht="12.75">
      <c r="A82" s="67"/>
      <c r="B82" s="67"/>
      <c r="C82" s="67"/>
      <c r="D82" s="67"/>
      <c r="E82" s="67"/>
      <c r="F82" s="67"/>
      <c r="G82" s="67"/>
      <c r="H82" s="67"/>
      <c r="I82" s="67"/>
      <c r="J82" s="67"/>
      <c r="K82" s="67"/>
    </row>
    <row r="83" spans="1:11" ht="12.75">
      <c r="A83" s="67"/>
      <c r="B83" s="67"/>
      <c r="C83" s="67"/>
      <c r="D83" s="67"/>
      <c r="E83" s="67"/>
      <c r="F83" s="67"/>
      <c r="G83" s="67"/>
      <c r="H83" s="67"/>
      <c r="I83" s="67"/>
      <c r="J83" s="67"/>
      <c r="K83" s="67"/>
    </row>
    <row r="84" spans="1:11" ht="12.75">
      <c r="A84" s="67"/>
      <c r="B84" s="67"/>
      <c r="C84" s="67"/>
      <c r="D84" s="67"/>
      <c r="E84" s="67"/>
      <c r="F84" s="67"/>
      <c r="G84" s="67"/>
      <c r="H84" s="67"/>
      <c r="I84" s="67"/>
      <c r="J84" s="67"/>
      <c r="K84" s="67"/>
    </row>
    <row r="85" spans="1:11" ht="12.75">
      <c r="A85" s="67"/>
      <c r="B85" s="67"/>
      <c r="C85" s="67"/>
      <c r="D85" s="67"/>
      <c r="E85" s="67"/>
      <c r="F85" s="67"/>
      <c r="G85" s="67"/>
      <c r="H85" s="67"/>
      <c r="I85" s="67"/>
      <c r="J85" s="67"/>
      <c r="K85" s="67"/>
    </row>
    <row r="86" spans="1:11" ht="12.75">
      <c r="A86" s="67"/>
      <c r="B86" s="67"/>
      <c r="C86" s="67"/>
      <c r="D86" s="67"/>
      <c r="E86" s="67"/>
      <c r="F86" s="67"/>
      <c r="G86" s="67"/>
      <c r="H86" s="67"/>
      <c r="I86" s="67"/>
      <c r="J86" s="67"/>
      <c r="K86" s="67"/>
    </row>
    <row r="87" spans="1:11" ht="12.75">
      <c r="A87" s="67"/>
      <c r="B87" s="67"/>
      <c r="C87" s="67"/>
      <c r="D87" s="67"/>
      <c r="E87" s="67"/>
      <c r="F87" s="67"/>
      <c r="G87" s="67"/>
      <c r="H87" s="67"/>
      <c r="I87" s="67"/>
      <c r="J87" s="67"/>
      <c r="K87" s="67"/>
    </row>
    <row r="88" spans="1:11" ht="12.75">
      <c r="A88" s="67"/>
      <c r="B88" s="67"/>
      <c r="C88" s="67"/>
      <c r="D88" s="67"/>
      <c r="E88" s="67"/>
      <c r="F88" s="67"/>
      <c r="G88" s="67"/>
      <c r="H88" s="67"/>
      <c r="I88" s="67"/>
      <c r="J88" s="67"/>
      <c r="K88" s="67"/>
    </row>
    <row r="89" spans="1:11" ht="12.75">
      <c r="A89" s="67"/>
      <c r="B89" s="67"/>
      <c r="C89" s="67"/>
      <c r="D89" s="67"/>
      <c r="E89" s="67"/>
      <c r="F89" s="67"/>
      <c r="G89" s="67"/>
      <c r="H89" s="67"/>
      <c r="I89" s="67"/>
      <c r="J89" s="67"/>
      <c r="K89" s="67"/>
    </row>
    <row r="90" spans="1:11" ht="12.75">
      <c r="A90" s="67"/>
      <c r="B90" s="67"/>
      <c r="C90" s="67"/>
      <c r="D90" s="67"/>
      <c r="E90" s="67"/>
      <c r="F90" s="67"/>
      <c r="G90" s="67"/>
      <c r="H90" s="67"/>
      <c r="I90" s="67"/>
      <c r="J90" s="67"/>
      <c r="K90" s="67"/>
    </row>
    <row r="91" spans="1:11" ht="12.75">
      <c r="A91" s="67"/>
      <c r="B91" s="67"/>
      <c r="C91" s="67"/>
      <c r="D91" s="67"/>
      <c r="E91" s="67"/>
      <c r="F91" s="67"/>
      <c r="G91" s="67"/>
      <c r="H91" s="67"/>
      <c r="I91" s="67"/>
      <c r="J91" s="67"/>
      <c r="K91" s="67"/>
    </row>
    <row r="92" spans="1:11" ht="12.75">
      <c r="A92" s="67"/>
      <c r="B92" s="67"/>
      <c r="C92" s="67"/>
      <c r="D92" s="67"/>
      <c r="E92" s="67"/>
      <c r="F92" s="67"/>
      <c r="G92" s="67"/>
      <c r="H92" s="67"/>
      <c r="I92" s="67"/>
      <c r="J92" s="67"/>
      <c r="K92" s="67"/>
    </row>
    <row r="93" spans="1:11" ht="12.75">
      <c r="A93" s="67"/>
      <c r="B93" s="67"/>
      <c r="C93" s="67"/>
      <c r="D93" s="67"/>
      <c r="E93" s="67"/>
      <c r="F93" s="67"/>
      <c r="G93" s="67"/>
      <c r="H93" s="67"/>
      <c r="I93" s="67"/>
      <c r="J93" s="67"/>
      <c r="K93" s="67"/>
    </row>
    <row r="94" spans="1:11" ht="12.75">
      <c r="A94" s="67"/>
      <c r="B94" s="67"/>
      <c r="C94" s="67"/>
      <c r="D94" s="67"/>
      <c r="E94" s="67"/>
      <c r="F94" s="67"/>
      <c r="G94" s="67"/>
      <c r="H94" s="67"/>
      <c r="I94" s="67"/>
      <c r="J94" s="67"/>
      <c r="K94" s="67"/>
    </row>
    <row r="95" spans="1:11" ht="12.75">
      <c r="A95" s="67"/>
      <c r="B95" s="67"/>
      <c r="C95" s="67"/>
      <c r="D95" s="67"/>
      <c r="E95" s="67"/>
      <c r="F95" s="67"/>
      <c r="G95" s="67"/>
      <c r="H95" s="67"/>
      <c r="I95" s="67"/>
      <c r="J95" s="67"/>
      <c r="K95" s="67"/>
    </row>
    <row r="96" spans="1:11" ht="12.75">
      <c r="A96" s="67"/>
      <c r="B96" s="67"/>
      <c r="C96" s="67"/>
      <c r="D96" s="67"/>
      <c r="E96" s="67"/>
      <c r="F96" s="67"/>
      <c r="G96" s="67"/>
      <c r="H96" s="67"/>
      <c r="I96" s="67"/>
      <c r="J96" s="67"/>
      <c r="K96" s="67"/>
    </row>
    <row r="97" spans="1:11" ht="12.75">
      <c r="A97" s="67"/>
      <c r="B97" s="67"/>
      <c r="C97" s="67"/>
      <c r="D97" s="67"/>
      <c r="E97" s="67"/>
      <c r="F97" s="67"/>
      <c r="G97" s="67"/>
      <c r="H97" s="67"/>
      <c r="I97" s="67"/>
      <c r="J97" s="67"/>
      <c r="K97" s="67"/>
    </row>
    <row r="98" spans="1:11" ht="12.75">
      <c r="A98" s="67"/>
      <c r="B98" s="67"/>
      <c r="C98" s="67"/>
      <c r="D98" s="67"/>
      <c r="E98" s="67"/>
      <c r="F98" s="67"/>
      <c r="G98" s="67"/>
      <c r="H98" s="67"/>
      <c r="I98" s="67"/>
      <c r="J98" s="67"/>
      <c r="K98" s="67"/>
    </row>
    <row r="99" spans="1:11" ht="12.75">
      <c r="A99" s="67"/>
      <c r="B99" s="67"/>
      <c r="C99" s="67"/>
      <c r="D99" s="67"/>
      <c r="E99" s="67"/>
      <c r="F99" s="67"/>
      <c r="G99" s="67"/>
      <c r="H99" s="67"/>
      <c r="I99" s="67"/>
      <c r="J99" s="67"/>
      <c r="K99" s="67"/>
    </row>
    <row r="100" spans="1:11" ht="12.75">
      <c r="A100" s="67"/>
      <c r="B100" s="67"/>
      <c r="C100" s="67"/>
      <c r="D100" s="67"/>
      <c r="E100" s="67"/>
      <c r="F100" s="67"/>
      <c r="G100" s="67"/>
      <c r="H100" s="67"/>
      <c r="I100" s="67"/>
      <c r="J100" s="67"/>
      <c r="K100" s="67"/>
    </row>
    <row r="101" spans="1:11" ht="12.75">
      <c r="A101" s="67"/>
      <c r="B101" s="67"/>
      <c r="C101" s="67"/>
      <c r="D101" s="67"/>
      <c r="E101" s="67"/>
      <c r="F101" s="67"/>
      <c r="G101" s="67"/>
      <c r="H101" s="67"/>
      <c r="I101" s="67"/>
      <c r="J101" s="67"/>
      <c r="K101" s="67"/>
    </row>
    <row r="102" spans="1:11" ht="12.75">
      <c r="A102" s="67"/>
      <c r="B102" s="67"/>
      <c r="C102" s="67"/>
      <c r="D102" s="67"/>
      <c r="E102" s="67"/>
      <c r="F102" s="67"/>
      <c r="G102" s="67"/>
      <c r="H102" s="67"/>
      <c r="I102" s="67"/>
      <c r="J102" s="67"/>
      <c r="K102" s="67"/>
    </row>
    <row r="103" spans="1:11" ht="12.75">
      <c r="A103" s="67"/>
      <c r="B103" s="67"/>
      <c r="C103" s="67"/>
      <c r="D103" s="67"/>
      <c r="E103" s="67"/>
      <c r="F103" s="67"/>
      <c r="G103" s="67"/>
      <c r="H103" s="67"/>
      <c r="I103" s="67"/>
      <c r="J103" s="67"/>
      <c r="K103" s="67"/>
    </row>
    <row r="104" spans="1:11" ht="12.75">
      <c r="A104" s="67"/>
      <c r="B104" s="67"/>
      <c r="C104" s="67"/>
      <c r="D104" s="67"/>
      <c r="E104" s="67"/>
      <c r="F104" s="67"/>
      <c r="G104" s="67"/>
      <c r="H104" s="67"/>
      <c r="I104" s="67"/>
      <c r="J104" s="67"/>
      <c r="K104" s="67"/>
    </row>
    <row r="105" spans="1:11" ht="12.75">
      <c r="A105" s="67"/>
      <c r="B105" s="67"/>
      <c r="C105" s="67"/>
      <c r="D105" s="67"/>
      <c r="E105" s="67"/>
      <c r="F105" s="67"/>
      <c r="G105" s="67"/>
      <c r="H105" s="67"/>
      <c r="I105" s="67"/>
      <c r="J105" s="67"/>
      <c r="K105" s="67"/>
    </row>
    <row r="106" spans="1:11" ht="12.75">
      <c r="A106" s="67"/>
      <c r="B106" s="67"/>
      <c r="C106" s="67"/>
      <c r="D106" s="67"/>
      <c r="E106" s="67"/>
      <c r="F106" s="67"/>
      <c r="G106" s="67"/>
      <c r="H106" s="67"/>
      <c r="I106" s="67"/>
      <c r="J106" s="67"/>
      <c r="K106" s="67"/>
    </row>
    <row r="107" spans="1:11" ht="12.75">
      <c r="A107" s="67"/>
      <c r="B107" s="67"/>
      <c r="C107" s="67"/>
      <c r="D107" s="67"/>
      <c r="E107" s="67"/>
      <c r="F107" s="67"/>
      <c r="G107" s="67"/>
      <c r="H107" s="67"/>
      <c r="I107" s="67"/>
      <c r="J107" s="67"/>
      <c r="K107" s="67"/>
    </row>
    <row r="108" spans="1:11" ht="12.75">
      <c r="A108" s="67"/>
      <c r="B108" s="67"/>
      <c r="C108" s="67"/>
      <c r="D108" s="67"/>
      <c r="E108" s="67"/>
      <c r="F108" s="67"/>
      <c r="G108" s="67"/>
      <c r="H108" s="67"/>
      <c r="I108" s="67"/>
      <c r="J108" s="67"/>
      <c r="K108" s="67"/>
    </row>
    <row r="109" spans="1:11" ht="12.75">
      <c r="A109" s="67"/>
      <c r="B109" s="67"/>
      <c r="C109" s="67"/>
      <c r="D109" s="67"/>
      <c r="E109" s="67"/>
      <c r="F109" s="67"/>
      <c r="G109" s="67"/>
      <c r="H109" s="67"/>
      <c r="I109" s="67"/>
      <c r="J109" s="67"/>
      <c r="K109" s="67"/>
    </row>
    <row r="110" spans="1:11" ht="12.75">
      <c r="A110" s="67"/>
      <c r="B110" s="67"/>
      <c r="C110" s="67"/>
      <c r="D110" s="67"/>
      <c r="E110" s="67"/>
      <c r="F110" s="67"/>
      <c r="G110" s="67"/>
      <c r="H110" s="67"/>
      <c r="I110" s="67"/>
      <c r="J110" s="67"/>
      <c r="K110" s="67"/>
    </row>
    <row r="111" spans="1:11" ht="12.75">
      <c r="A111" s="67"/>
      <c r="B111" s="67"/>
      <c r="C111" s="67"/>
      <c r="D111" s="67"/>
      <c r="E111" s="67"/>
      <c r="F111" s="67"/>
      <c r="G111" s="67"/>
      <c r="H111" s="67"/>
      <c r="I111" s="67"/>
      <c r="J111" s="67"/>
      <c r="K111" s="67"/>
    </row>
    <row r="112" spans="1:11" ht="12.75">
      <c r="A112" s="67"/>
      <c r="B112" s="67"/>
      <c r="C112" s="67"/>
      <c r="D112" s="67"/>
      <c r="E112" s="67"/>
      <c r="F112" s="67"/>
      <c r="G112" s="67"/>
      <c r="H112" s="67"/>
      <c r="I112" s="67"/>
      <c r="J112" s="67"/>
      <c r="K112" s="67"/>
    </row>
    <row r="113" spans="1:11" ht="12.75">
      <c r="A113" s="67"/>
      <c r="B113" s="67"/>
      <c r="C113" s="67"/>
      <c r="D113" s="67"/>
      <c r="E113" s="67"/>
      <c r="F113" s="67"/>
      <c r="G113" s="67"/>
      <c r="H113" s="67"/>
      <c r="I113" s="67"/>
      <c r="J113" s="67"/>
      <c r="K113" s="67"/>
    </row>
    <row r="114" spans="1:11" ht="12.75">
      <c r="A114" s="67"/>
      <c r="B114" s="67"/>
      <c r="C114" s="67"/>
      <c r="D114" s="67"/>
      <c r="E114" s="67"/>
      <c r="F114" s="67"/>
      <c r="G114" s="67"/>
      <c r="H114" s="67"/>
      <c r="I114" s="67"/>
      <c r="J114" s="67"/>
      <c r="K114" s="67"/>
    </row>
    <row r="115" spans="1:11" ht="12.75">
      <c r="A115" s="67"/>
      <c r="B115" s="67"/>
      <c r="C115" s="67"/>
      <c r="D115" s="67"/>
      <c r="E115" s="67"/>
      <c r="F115" s="67"/>
      <c r="G115" s="67"/>
      <c r="H115" s="67"/>
      <c r="I115" s="67"/>
      <c r="J115" s="67"/>
      <c r="K115" s="67"/>
    </row>
    <row r="116" spans="1:11" ht="12.75">
      <c r="A116" s="67"/>
      <c r="B116" s="67"/>
      <c r="C116" s="67"/>
      <c r="D116" s="67"/>
      <c r="E116" s="67"/>
      <c r="F116" s="67"/>
      <c r="G116" s="67"/>
      <c r="H116" s="67"/>
      <c r="I116" s="67"/>
      <c r="J116" s="67"/>
      <c r="K116" s="67"/>
    </row>
    <row r="117" spans="1:11" ht="12.75">
      <c r="A117" s="67"/>
      <c r="B117" s="67"/>
      <c r="C117" s="67"/>
      <c r="D117" s="67"/>
      <c r="E117" s="67"/>
      <c r="F117" s="67"/>
      <c r="G117" s="67"/>
      <c r="H117" s="67"/>
      <c r="I117" s="67"/>
      <c r="J117" s="67"/>
      <c r="K117" s="67"/>
    </row>
    <row r="118" spans="1:11" ht="12.75">
      <c r="A118" s="67"/>
      <c r="B118" s="67"/>
      <c r="C118" s="67"/>
      <c r="D118" s="67"/>
      <c r="E118" s="67"/>
      <c r="F118" s="67"/>
      <c r="G118" s="67"/>
      <c r="H118" s="67"/>
      <c r="I118" s="67"/>
      <c r="J118" s="67"/>
      <c r="K118" s="67"/>
    </row>
    <row r="119" spans="1:11" ht="12.75">
      <c r="A119" s="67"/>
      <c r="B119" s="67"/>
      <c r="C119" s="67"/>
      <c r="D119" s="67"/>
      <c r="E119" s="67"/>
      <c r="F119" s="67"/>
      <c r="G119" s="67"/>
      <c r="H119" s="67"/>
      <c r="I119" s="67"/>
      <c r="J119" s="67"/>
      <c r="K119" s="67"/>
    </row>
    <row r="120" spans="1:11" ht="12.75">
      <c r="A120" s="67"/>
      <c r="B120" s="67"/>
      <c r="C120" s="67"/>
      <c r="D120" s="67"/>
      <c r="E120" s="67"/>
      <c r="F120" s="67"/>
      <c r="G120" s="67"/>
      <c r="H120" s="67"/>
      <c r="I120" s="67"/>
      <c r="J120" s="67"/>
      <c r="K120" s="67"/>
    </row>
  </sheetData>
  <sheetProtection/>
  <printOptions/>
  <pageMargins left="0.25" right="0.25" top="0.75" bottom="0.75" header="0.3" footer="0.3"/>
  <pageSetup fitToHeight="0" fitToWidth="1" horizontalDpi="600" verticalDpi="600" orientation="landscape" scale="79" r:id="rId3"/>
  <legacyDrawing r:id="rId2"/>
</worksheet>
</file>

<file path=xl/worksheets/sheet4.xml><?xml version="1.0" encoding="utf-8"?>
<worksheet xmlns="http://schemas.openxmlformats.org/spreadsheetml/2006/main" xmlns:r="http://schemas.openxmlformats.org/officeDocument/2006/relationships">
  <dimension ref="A1:P102"/>
  <sheetViews>
    <sheetView zoomScalePageLayoutView="0" workbookViewId="0" topLeftCell="A1">
      <selection activeCell="C18" sqref="C18"/>
    </sheetView>
  </sheetViews>
  <sheetFormatPr defaultColWidth="9.140625" defaultRowHeight="12.75"/>
  <cols>
    <col min="2" max="2" width="2.57421875" style="0" customWidth="1"/>
    <col min="3" max="12" width="12.28125" style="0" customWidth="1"/>
    <col min="13" max="13" width="2.28125" style="0" customWidth="1"/>
    <col min="14" max="14" width="14.8515625" style="0" bestFit="1" customWidth="1"/>
  </cols>
  <sheetData>
    <row r="1" spans="1:2" ht="12.75">
      <c r="A1" s="59" t="str">
        <f>"Residential Tonnages by Commodity:  "&amp;TEXT(A7,"mmmm")&amp;" - "&amp;TEXT(A18,"mmmm")</f>
        <v>Residential Tonnages by Commodity:  May - April</v>
      </c>
      <c r="B1" s="60"/>
    </row>
    <row r="2" spans="1:2" ht="13.5" customHeight="1">
      <c r="A2" s="61" t="str">
        <f>WUTC_KENT_MF!A1</f>
        <v>Kent-Meridian Disposal</v>
      </c>
      <c r="B2" s="61"/>
    </row>
    <row r="3" spans="1:2" ht="13.5" customHeight="1">
      <c r="A3" s="61"/>
      <c r="B3" s="61"/>
    </row>
    <row r="4" spans="1:14" ht="12.75">
      <c r="A4" s="60"/>
      <c r="B4" s="62"/>
      <c r="C4" s="63" t="s">
        <v>21</v>
      </c>
      <c r="D4" s="63" t="s">
        <v>22</v>
      </c>
      <c r="E4" s="63" t="s">
        <v>73</v>
      </c>
      <c r="F4" s="63" t="s">
        <v>23</v>
      </c>
      <c r="G4" s="63" t="s">
        <v>24</v>
      </c>
      <c r="H4" s="63" t="s">
        <v>25</v>
      </c>
      <c r="I4" s="63" t="s">
        <v>26</v>
      </c>
      <c r="J4" s="63" t="s">
        <v>27</v>
      </c>
      <c r="K4" s="63" t="s">
        <v>28</v>
      </c>
      <c r="L4" s="63" t="s">
        <v>29</v>
      </c>
      <c r="M4" s="63"/>
      <c r="N4" s="63" t="s">
        <v>30</v>
      </c>
    </row>
    <row r="5" spans="1:12" s="65" customFormat="1" ht="12.75">
      <c r="A5" s="64"/>
      <c r="B5" s="64"/>
      <c r="C5" s="128">
        <v>55</v>
      </c>
      <c r="D5" s="129">
        <v>57</v>
      </c>
      <c r="E5" s="129">
        <v>58</v>
      </c>
      <c r="F5" s="128">
        <v>53</v>
      </c>
      <c r="G5" s="128">
        <v>50</v>
      </c>
      <c r="H5" s="128">
        <v>60</v>
      </c>
      <c r="I5" s="128">
        <v>54</v>
      </c>
      <c r="J5" s="128">
        <v>54</v>
      </c>
      <c r="K5" s="128">
        <v>51</v>
      </c>
      <c r="L5" s="128">
        <v>59</v>
      </c>
    </row>
    <row r="6" spans="1:14" ht="12.75">
      <c r="A6" s="66"/>
      <c r="B6" s="67"/>
      <c r="C6" s="68"/>
      <c r="D6" s="68"/>
      <c r="E6" s="68"/>
      <c r="F6" s="68"/>
      <c r="G6" s="68"/>
      <c r="H6" s="68"/>
      <c r="I6" s="68"/>
      <c r="J6" s="68"/>
      <c r="L6" s="67"/>
      <c r="M6" s="67"/>
      <c r="N6" s="68" t="s">
        <v>31</v>
      </c>
    </row>
    <row r="7" spans="1:16" ht="12.75">
      <c r="A7" s="66">
        <f>Multi_Family!C6</f>
        <v>42886</v>
      </c>
      <c r="B7" s="67"/>
      <c r="C7" s="72">
        <f>HLOOKUP($A7,Multi_Family!$C$6:$N$79,C$5,FALSE)</f>
        <v>0.02325</v>
      </c>
      <c r="D7" s="76">
        <f>HLOOKUP($A7,Multi_Family!$C$6:$N$79,D$5,FALSE)</f>
        <v>0.54808</v>
      </c>
      <c r="E7" s="76">
        <f>HLOOKUP($A7,Multi_Family!$C$6:$N$79,E$5,FALSE)</f>
        <v>0</v>
      </c>
      <c r="F7" s="72">
        <f>HLOOKUP($A7,Multi_Family!$C$6:$N$79,F$5,FALSE)</f>
        <v>0.05115</v>
      </c>
      <c r="G7" s="72">
        <f>HLOOKUP($A7,Multi_Family!$C$6:$N$79,G$5,FALSE)</f>
        <v>0.6045</v>
      </c>
      <c r="H7" s="72">
        <f>HLOOKUP($A7,Multi_Family!$C$6:$N$79,H$5,FALSE)</f>
        <v>0.9975799999999997</v>
      </c>
      <c r="I7" s="72">
        <f>HLOOKUP($A7,Multi_Family!$C$6:$N$79,I$5,FALSE)/2</f>
        <v>0.069595</v>
      </c>
      <c r="J7" s="72">
        <f>HLOOKUP($A7,Multi_Family!$C$6:$N$79,J$5,FALSE)/2</f>
        <v>0.069595</v>
      </c>
      <c r="K7" s="72">
        <f>HLOOKUP($A7,Multi_Family!$C$6:$N$79,K$5,FALSE)</f>
        <v>0.55242</v>
      </c>
      <c r="L7" s="76">
        <f>HLOOKUP($A7,Multi_Family!$C$6:$N$79,L$5,FALSE)</f>
        <v>0.1838300000000004</v>
      </c>
      <c r="M7" s="77"/>
      <c r="N7" s="77">
        <f aca="true" t="shared" si="0" ref="N7:N18">SUM(C7:L7)</f>
        <v>3.1000000000000005</v>
      </c>
      <c r="P7" s="69"/>
    </row>
    <row r="8" spans="1:16" ht="12.75">
      <c r="A8" s="66">
        <f aca="true" t="shared" si="1" ref="A8:A17">EOMONTH(A7,1)</f>
        <v>42916</v>
      </c>
      <c r="B8" s="67"/>
      <c r="C8" s="72">
        <f>HLOOKUP($A8,Multi_Family!$C$6:$N$79,C$5,FALSE)</f>
        <v>0.037875</v>
      </c>
      <c r="D8" s="76">
        <f>HLOOKUP($A8,Multi_Family!$C$6:$N$79,D$5,FALSE)</f>
        <v>0.8928400000000001</v>
      </c>
      <c r="E8" s="76">
        <f>HLOOKUP($A8,Multi_Family!$C$6:$N$79,E$5,FALSE)</f>
        <v>0</v>
      </c>
      <c r="F8" s="72">
        <f>HLOOKUP($A8,Multi_Family!$C$6:$N$79,F$5,FALSE)</f>
        <v>0.083325</v>
      </c>
      <c r="G8" s="72">
        <f>HLOOKUP($A8,Multi_Family!$C$6:$N$79,G$5,FALSE)</f>
        <v>0.98475</v>
      </c>
      <c r="H8" s="72">
        <f>HLOOKUP($A8,Multi_Family!$C$6:$N$79,H$5,FALSE)</f>
        <v>1.6250899999999988</v>
      </c>
      <c r="I8" s="72">
        <f>HLOOKUP($A8,Multi_Family!$C$6:$N$79,I$5,FALSE)/2</f>
        <v>0.1133725</v>
      </c>
      <c r="J8" s="72">
        <f>HLOOKUP($A8,Multi_Family!$C$6:$N$79,J$5,FALSE)/2</f>
        <v>0.1133725</v>
      </c>
      <c r="K8" s="72">
        <f>HLOOKUP($A8,Multi_Family!$C$6:$N$79,K$5,FALSE)</f>
        <v>0.89991</v>
      </c>
      <c r="L8" s="76">
        <f>HLOOKUP($A8,Multi_Family!$C$6:$N$79,L$5,FALSE)</f>
        <v>0.29946500000000065</v>
      </c>
      <c r="M8" s="77"/>
      <c r="N8" s="77">
        <f t="shared" si="0"/>
        <v>5.05</v>
      </c>
      <c r="P8" s="69"/>
    </row>
    <row r="9" spans="1:16" ht="12.75">
      <c r="A9" s="66">
        <f t="shared" si="1"/>
        <v>42947</v>
      </c>
      <c r="B9" s="67"/>
      <c r="C9" s="72">
        <f>HLOOKUP($A9,Multi_Family!$C$6:$N$79,C$5,FALSE)</f>
        <v>0.025575</v>
      </c>
      <c r="D9" s="76">
        <f>HLOOKUP($A9,Multi_Family!$C$6:$N$79,D$5,FALSE)</f>
        <v>0.6028880000000001</v>
      </c>
      <c r="E9" s="76">
        <f>HLOOKUP($A9,Multi_Family!$C$6:$N$79,E$5,FALSE)</f>
        <v>0</v>
      </c>
      <c r="F9" s="72">
        <f>HLOOKUP($A9,Multi_Family!$C$6:$N$79,F$5,FALSE)</f>
        <v>0.056265</v>
      </c>
      <c r="G9" s="72">
        <f>HLOOKUP($A9,Multi_Family!$C$6:$N$79,G$5,FALSE)</f>
        <v>0.66495</v>
      </c>
      <c r="H9" s="72">
        <f>HLOOKUP($A9,Multi_Family!$C$6:$N$79,H$5,FALSE)</f>
        <v>1.0973379999999997</v>
      </c>
      <c r="I9" s="72">
        <f>HLOOKUP($A9,Multi_Family!$C$6:$N$79,I$5,FALSE)/2</f>
        <v>0.07655450000000001</v>
      </c>
      <c r="J9" s="72">
        <f>HLOOKUP($A9,Multi_Family!$C$6:$N$79,J$5,FALSE)/2</f>
        <v>0.07655450000000001</v>
      </c>
      <c r="K9" s="72">
        <f>HLOOKUP($A9,Multi_Family!$C$6:$N$79,K$5,FALSE)</f>
        <v>0.607662</v>
      </c>
      <c r="L9" s="76">
        <f>HLOOKUP($A9,Multi_Family!$C$6:$N$79,L$5,FALSE)</f>
        <v>0.20221300000000045</v>
      </c>
      <c r="M9" s="77"/>
      <c r="N9" s="77">
        <f t="shared" si="0"/>
        <v>3.4099999999999997</v>
      </c>
      <c r="P9" s="69"/>
    </row>
    <row r="10" spans="1:16" ht="12.75">
      <c r="A10" s="66">
        <f t="shared" si="1"/>
        <v>42978</v>
      </c>
      <c r="B10" s="67"/>
      <c r="C10" s="72">
        <f>HLOOKUP($A10,Multi_Family!$C$6:$N$79,C$5,FALSE)</f>
        <v>0.037274999999999996</v>
      </c>
      <c r="D10" s="76">
        <f>HLOOKUP($A10,Multi_Family!$C$6:$N$79,D$5,FALSE)</f>
        <v>0.878696</v>
      </c>
      <c r="E10" s="76">
        <f>HLOOKUP($A10,Multi_Family!$C$6:$N$79,E$5,FALSE)</f>
        <v>0</v>
      </c>
      <c r="F10" s="72">
        <f>HLOOKUP($A10,Multi_Family!$C$6:$N$79,F$5,FALSE)</f>
        <v>0.082005</v>
      </c>
      <c r="G10" s="72">
        <f>HLOOKUP($A10,Multi_Family!$C$6:$N$79,G$5,FALSE)</f>
        <v>0.96915</v>
      </c>
      <c r="H10" s="72">
        <f>HLOOKUP($A10,Multi_Family!$C$6:$N$79,H$5,FALSE)</f>
        <v>1.5993459999999993</v>
      </c>
      <c r="I10" s="72">
        <f>HLOOKUP($A10,Multi_Family!$C$6:$N$79,I$5,FALSE)/2</f>
        <v>0.1115765</v>
      </c>
      <c r="J10" s="72">
        <f>HLOOKUP($A10,Multi_Family!$C$6:$N$79,J$5,FALSE)/2</f>
        <v>0.1115765</v>
      </c>
      <c r="K10" s="72">
        <f>HLOOKUP($A10,Multi_Family!$C$6:$N$79,K$5,FALSE)</f>
        <v>0.8856539999999999</v>
      </c>
      <c r="L10" s="76">
        <f>HLOOKUP($A10,Multi_Family!$C$6:$N$79,L$5,FALSE)</f>
        <v>0.2947210000000006</v>
      </c>
      <c r="M10" s="77"/>
      <c r="N10" s="77">
        <f t="shared" si="0"/>
        <v>4.97</v>
      </c>
      <c r="P10" s="69"/>
    </row>
    <row r="11" spans="1:16" ht="12.75">
      <c r="A11" s="66">
        <f t="shared" si="1"/>
        <v>43008</v>
      </c>
      <c r="B11" s="67"/>
      <c r="C11" s="72">
        <f>HLOOKUP($A11,Multi_Family!$C$6:$N$79,C$5,FALSE)</f>
        <v>0.025349999999999998</v>
      </c>
      <c r="D11" s="76">
        <f>HLOOKUP($A11,Multi_Family!$C$6:$N$79,D$5,FALSE)</f>
        <v>0.597584</v>
      </c>
      <c r="E11" s="76">
        <f>HLOOKUP($A11,Multi_Family!$C$6:$N$79,E$5,FALSE)</f>
        <v>0</v>
      </c>
      <c r="F11" s="72">
        <f>HLOOKUP($A11,Multi_Family!$C$6:$N$79,F$5,FALSE)</f>
        <v>0.05577</v>
      </c>
      <c r="G11" s="72">
        <f>HLOOKUP($A11,Multi_Family!$C$6:$N$79,G$5,FALSE)</f>
        <v>0.6591</v>
      </c>
      <c r="H11" s="72">
        <f>HLOOKUP($A11,Multi_Family!$C$6:$N$79,H$5,FALSE)</f>
        <v>1.0876839999999994</v>
      </c>
      <c r="I11" s="72">
        <f>HLOOKUP($A11,Multi_Family!$C$6:$N$79,I$5,FALSE)/2</f>
        <v>0.075881</v>
      </c>
      <c r="J11" s="72">
        <f>HLOOKUP($A11,Multi_Family!$C$6:$N$79,J$5,FALSE)/2</f>
        <v>0.075881</v>
      </c>
      <c r="K11" s="72">
        <f>HLOOKUP($A11,Multi_Family!$C$6:$N$79,K$5,FALSE)</f>
        <v>0.602316</v>
      </c>
      <c r="L11" s="76">
        <f>HLOOKUP($A11,Multi_Family!$C$6:$N$79,L$5,FALSE)</f>
        <v>0.20043400000000045</v>
      </c>
      <c r="M11" s="77"/>
      <c r="N11" s="77">
        <f t="shared" si="0"/>
        <v>3.38</v>
      </c>
      <c r="P11" s="69"/>
    </row>
    <row r="12" spans="1:16" ht="12.75">
      <c r="A12" s="66">
        <f t="shared" si="1"/>
        <v>43039</v>
      </c>
      <c r="B12" s="67"/>
      <c r="C12" s="72">
        <f>HLOOKUP($A12,Multi_Family!$C$6:$N$79,C$5,FALSE)</f>
        <v>0.026324999999999998</v>
      </c>
      <c r="D12" s="76">
        <f>HLOOKUP($A12,Multi_Family!$C$6:$N$79,D$5,FALSE)</f>
        <v>0.620568</v>
      </c>
      <c r="E12" s="76">
        <f>HLOOKUP($A12,Multi_Family!$C$6:$N$79,E$5,FALSE)</f>
        <v>0</v>
      </c>
      <c r="F12" s="72">
        <f>HLOOKUP($A12,Multi_Family!$C$6:$N$79,F$5,FALSE)</f>
        <v>0.057915</v>
      </c>
      <c r="G12" s="72">
        <f>HLOOKUP($A12,Multi_Family!$C$6:$N$79,G$5,FALSE)</f>
        <v>0.68445</v>
      </c>
      <c r="H12" s="72">
        <f>HLOOKUP($A12,Multi_Family!$C$6:$N$79,H$5,FALSE)</f>
        <v>1.1295179999999991</v>
      </c>
      <c r="I12" s="72">
        <f>HLOOKUP($A12,Multi_Family!$C$6:$N$79,I$5,FALSE)/2</f>
        <v>0.0787995</v>
      </c>
      <c r="J12" s="72">
        <f>HLOOKUP($A12,Multi_Family!$C$6:$N$79,J$5,FALSE)/2</f>
        <v>0.0787995</v>
      </c>
      <c r="K12" s="72">
        <f>HLOOKUP($A12,Multi_Family!$C$6:$N$79,K$5,FALSE)</f>
        <v>0.625482</v>
      </c>
      <c r="L12" s="76">
        <f>HLOOKUP($A12,Multi_Family!$C$6:$N$79,L$5,FALSE)</f>
        <v>0.20814300000000044</v>
      </c>
      <c r="M12" s="77"/>
      <c r="N12" s="77">
        <f t="shared" si="0"/>
        <v>3.51</v>
      </c>
      <c r="P12" s="69"/>
    </row>
    <row r="13" spans="1:16" ht="12.75">
      <c r="A13" s="66">
        <f t="shared" si="1"/>
        <v>43069</v>
      </c>
      <c r="B13" s="67"/>
      <c r="C13" s="72">
        <f>HLOOKUP($A13,Multi_Family!$C$6:$N$79,C$5,FALSE)</f>
        <v>0.02505</v>
      </c>
      <c r="D13" s="76">
        <f>HLOOKUP($A13,Multi_Family!$C$6:$N$79,D$5,FALSE)</f>
        <v>0.590512</v>
      </c>
      <c r="E13" s="76">
        <f>HLOOKUP($A13,Multi_Family!$C$6:$N$79,E$5,FALSE)</f>
        <v>0</v>
      </c>
      <c r="F13" s="72">
        <f>HLOOKUP($A13,Multi_Family!$C$6:$N$79,F$5,FALSE)</f>
        <v>0.05511</v>
      </c>
      <c r="G13" s="72">
        <f>HLOOKUP($A13,Multi_Family!$C$6:$N$79,G$5,FALSE)</f>
        <v>0.6513</v>
      </c>
      <c r="H13" s="72">
        <f>HLOOKUP($A13,Multi_Family!$C$6:$N$79,H$5,FALSE)</f>
        <v>1.0748119999999992</v>
      </c>
      <c r="I13" s="72">
        <f>HLOOKUP($A13,Multi_Family!$C$6:$N$79,I$5,FALSE)/2</f>
        <v>0.074983</v>
      </c>
      <c r="J13" s="72">
        <f>HLOOKUP($A13,Multi_Family!$C$6:$N$79,J$5,FALSE)/2</f>
        <v>0.074983</v>
      </c>
      <c r="K13" s="72">
        <f>HLOOKUP($A13,Multi_Family!$C$6:$N$79,K$5,FALSE)</f>
        <v>0.5951879999999999</v>
      </c>
      <c r="L13" s="76">
        <f>HLOOKUP($A13,Multi_Family!$C$6:$N$79,L$5,FALSE)</f>
        <v>0.19806200000000043</v>
      </c>
      <c r="M13" s="77"/>
      <c r="N13" s="77">
        <f t="shared" si="0"/>
        <v>3.34</v>
      </c>
      <c r="P13" s="69"/>
    </row>
    <row r="14" spans="1:16" ht="12.75">
      <c r="A14" s="66">
        <f t="shared" si="1"/>
        <v>43100</v>
      </c>
      <c r="B14" s="67"/>
      <c r="C14" s="72">
        <f>HLOOKUP($A14,Multi_Family!$C$6:$N$79,C$5,FALSE)</f>
        <v>0.024075</v>
      </c>
      <c r="D14" s="76">
        <f>HLOOKUP($A14,Multi_Family!$C$6:$N$79,D$5,FALSE)</f>
        <v>0.567528</v>
      </c>
      <c r="E14" s="76">
        <f>HLOOKUP($A14,Multi_Family!$C$6:$N$79,E$5,FALSE)</f>
        <v>0</v>
      </c>
      <c r="F14" s="72">
        <f>HLOOKUP($A14,Multi_Family!$C$6:$N$79,F$5,FALSE)</f>
        <v>0.052965000000000005</v>
      </c>
      <c r="G14" s="72">
        <f>HLOOKUP($A14,Multi_Family!$C$6:$N$79,G$5,FALSE)</f>
        <v>0.62595</v>
      </c>
      <c r="H14" s="72">
        <f>HLOOKUP($A14,Multi_Family!$C$6:$N$79,H$5,FALSE)</f>
        <v>1.0329779999999995</v>
      </c>
      <c r="I14" s="72">
        <f>HLOOKUP($A14,Multi_Family!$C$6:$N$79,I$5,FALSE)/2</f>
        <v>0.0720645</v>
      </c>
      <c r="J14" s="72">
        <f>HLOOKUP($A14,Multi_Family!$C$6:$N$79,J$5,FALSE)/2</f>
        <v>0.0720645</v>
      </c>
      <c r="K14" s="72">
        <f>HLOOKUP($A14,Multi_Family!$C$6:$N$79,K$5,FALSE)</f>
        <v>0.572022</v>
      </c>
      <c r="L14" s="76">
        <f>HLOOKUP($A14,Multi_Family!$C$6:$N$79,L$5,FALSE)</f>
        <v>0.1903530000000004</v>
      </c>
      <c r="M14" s="77"/>
      <c r="N14" s="77">
        <f t="shared" si="0"/>
        <v>3.2100000000000004</v>
      </c>
      <c r="P14" s="69"/>
    </row>
    <row r="15" spans="1:16" ht="12.75">
      <c r="A15" s="66">
        <f t="shared" si="1"/>
        <v>43131</v>
      </c>
      <c r="B15" s="67"/>
      <c r="C15" s="72">
        <f>HLOOKUP($A15,Multi_Family!$C$6:$N$79,C$5,FALSE)</f>
        <v>0.032475</v>
      </c>
      <c r="D15" s="76">
        <f>HLOOKUP($A15,Multi_Family!$C$6:$N$79,D$5,FALSE)</f>
        <v>0.7655440000000001</v>
      </c>
      <c r="E15" s="76">
        <f>HLOOKUP($A15,Multi_Family!$C$6:$N$79,E$5,FALSE)</f>
        <v>0</v>
      </c>
      <c r="F15" s="72">
        <f>HLOOKUP($A15,Multi_Family!$C$6:$N$79,F$5,FALSE)</f>
        <v>0.07144500000000001</v>
      </c>
      <c r="G15" s="72">
        <f>HLOOKUP($A15,Multi_Family!$C$6:$N$79,G$5,FALSE)</f>
        <v>0.84435</v>
      </c>
      <c r="H15" s="72">
        <f>HLOOKUP($A15,Multi_Family!$C$6:$N$79,H$5,FALSE)</f>
        <v>1.393393999999999</v>
      </c>
      <c r="I15" s="72">
        <f>HLOOKUP($A15,Multi_Family!$C$6:$N$79,I$5,FALSE)/2</f>
        <v>0.0972085</v>
      </c>
      <c r="J15" s="72">
        <f>HLOOKUP($A15,Multi_Family!$C$6:$N$79,J$5,FALSE)/2</f>
        <v>0.0972085</v>
      </c>
      <c r="K15" s="72">
        <f>HLOOKUP($A15,Multi_Family!$C$6:$N$79,K$5,FALSE)</f>
        <v>0.771606</v>
      </c>
      <c r="L15" s="76">
        <f>HLOOKUP($A15,Multi_Family!$C$6:$N$79,L$5,FALSE)</f>
        <v>0.2567690000000006</v>
      </c>
      <c r="M15" s="77"/>
      <c r="N15" s="77">
        <f t="shared" si="0"/>
        <v>4.329999999999999</v>
      </c>
      <c r="P15" s="69"/>
    </row>
    <row r="16" spans="1:16" ht="12.75">
      <c r="A16" s="66">
        <f t="shared" si="1"/>
        <v>43159</v>
      </c>
      <c r="B16" s="67"/>
      <c r="C16" s="72">
        <f>HLOOKUP($A16,Multi_Family!$C$6:$N$79,C$5,FALSE)</f>
        <v>0.023625</v>
      </c>
      <c r="D16" s="76">
        <f>HLOOKUP($A16,Multi_Family!$C$6:$N$79,D$5,FALSE)</f>
        <v>0.55692</v>
      </c>
      <c r="E16" s="76">
        <f>HLOOKUP($A16,Multi_Family!$C$6:$N$79,E$5,FALSE)</f>
        <v>0</v>
      </c>
      <c r="F16" s="72">
        <f>HLOOKUP($A16,Multi_Family!$C$6:$N$79,F$5,FALSE)</f>
        <v>0.051975</v>
      </c>
      <c r="G16" s="72">
        <f>HLOOKUP($A16,Multi_Family!$C$6:$N$79,G$5,FALSE)</f>
        <v>0.61425</v>
      </c>
      <c r="H16" s="72">
        <f>HLOOKUP($A16,Multi_Family!$C$6:$N$79,H$5,FALSE)</f>
        <v>1.0136699999999994</v>
      </c>
      <c r="I16" s="72">
        <f>HLOOKUP($A16,Multi_Family!$C$6:$N$79,I$5,FALSE)/2</f>
        <v>0.0707175</v>
      </c>
      <c r="J16" s="72">
        <f>HLOOKUP($A16,Multi_Family!$C$6:$N$79,J$5,FALSE)/2</f>
        <v>0.0707175</v>
      </c>
      <c r="K16" s="72">
        <f>HLOOKUP($A16,Multi_Family!$C$6:$N$79,K$5,FALSE)</f>
        <v>0.56133</v>
      </c>
      <c r="L16" s="76">
        <f>HLOOKUP($A16,Multi_Family!$C$6:$N$79,L$5,FALSE)</f>
        <v>0.1867950000000004</v>
      </c>
      <c r="M16" s="77"/>
      <c r="N16" s="77">
        <f t="shared" si="0"/>
        <v>3.15</v>
      </c>
      <c r="P16" s="69"/>
    </row>
    <row r="17" spans="1:16" ht="12.75">
      <c r="A17" s="66">
        <f t="shared" si="1"/>
        <v>43190</v>
      </c>
      <c r="B17" s="67"/>
      <c r="C17" s="72">
        <f>HLOOKUP($A17,Multi_Family!$C$6:$N$79,C$5,FALSE)</f>
        <v>0.05205</v>
      </c>
      <c r="D17" s="76">
        <f>HLOOKUP($A17,Multi_Family!$C$6:$N$79,D$5,FALSE)</f>
        <v>1.226992</v>
      </c>
      <c r="E17" s="76">
        <f>HLOOKUP($A17,Multi_Family!$C$6:$N$79,E$5,FALSE)</f>
        <v>0</v>
      </c>
      <c r="F17" s="72">
        <f>HLOOKUP($A17,Multi_Family!$C$6:$N$79,F$5,FALSE)</f>
        <v>0.11451000000000001</v>
      </c>
      <c r="G17" s="72">
        <f>HLOOKUP($A17,Multi_Family!$C$6:$N$79,G$5,FALSE)</f>
        <v>1.3533000000000002</v>
      </c>
      <c r="H17" s="72">
        <f>HLOOKUP($A17,Multi_Family!$C$6:$N$79,H$5,FALSE)</f>
        <v>2.2332919999999996</v>
      </c>
      <c r="I17" s="72">
        <f>HLOOKUP($A17,Multi_Family!$C$6:$N$79,I$5,FALSE)/2</f>
        <v>0.15580300000000002</v>
      </c>
      <c r="J17" s="72">
        <f>HLOOKUP($A17,Multi_Family!$C$6:$N$79,J$5,FALSE)/2</f>
        <v>0.15580300000000002</v>
      </c>
      <c r="K17" s="72">
        <f>HLOOKUP($A17,Multi_Family!$C$6:$N$79,K$5,FALSE)</f>
        <v>1.2367080000000001</v>
      </c>
      <c r="L17" s="76">
        <f>HLOOKUP($A17,Multi_Family!$C$6:$N$79,L$5,FALSE)</f>
        <v>0.4115420000000009</v>
      </c>
      <c r="M17" s="77"/>
      <c r="N17" s="77">
        <f t="shared" si="0"/>
        <v>6.94</v>
      </c>
      <c r="P17" s="69"/>
    </row>
    <row r="18" spans="1:16" ht="12.75">
      <c r="A18" s="66">
        <f>EOMONTH(A17,1)</f>
        <v>43220</v>
      </c>
      <c r="B18" s="67"/>
      <c r="C18" s="72">
        <f>HLOOKUP($A18,Multi_Family!$C$6:$N$79,C$5,FALSE)</f>
        <v>0.0756</v>
      </c>
      <c r="D18" s="76">
        <f>HLOOKUP($A18,Multi_Family!$C$6:$N$79,D$5,FALSE)</f>
        <v>1.7821440000000002</v>
      </c>
      <c r="E18" s="76">
        <f>HLOOKUP($A18,Multi_Family!$C$6:$N$79,E$5,FALSE)</f>
        <v>0</v>
      </c>
      <c r="F18" s="72">
        <f>HLOOKUP($A18,Multi_Family!$C$6:$N$79,F$5,FALSE)</f>
        <v>0.16632</v>
      </c>
      <c r="G18" s="72">
        <f>HLOOKUP($A18,Multi_Family!$C$6:$N$79,G$5,FALSE)</f>
        <v>0</v>
      </c>
      <c r="H18" s="72">
        <f>HLOOKUP($A18,Multi_Family!$C$6:$N$79,H$5,FALSE)</f>
        <v>5.209343999999999</v>
      </c>
      <c r="I18" s="72">
        <f>HLOOKUP($A18,Multi_Family!$C$6:$N$79,I$5,FALSE)/2</f>
        <v>0.22629600000000002</v>
      </c>
      <c r="J18" s="72">
        <f>HLOOKUP($A18,Multi_Family!$C$6:$N$79,J$5,FALSE)/2</f>
        <v>0.22629600000000002</v>
      </c>
      <c r="K18" s="72">
        <f>HLOOKUP($A18,Multi_Family!$C$6:$N$79,K$5,FALSE)</f>
        <v>1.796256</v>
      </c>
      <c r="L18" s="76">
        <f>HLOOKUP($A18,Multi_Family!$C$6:$N$79,L$5,FALSE)</f>
        <v>0.5977440000000013</v>
      </c>
      <c r="M18" s="77"/>
      <c r="N18" s="77">
        <f t="shared" si="0"/>
        <v>10.079999999999998</v>
      </c>
      <c r="P18" s="69"/>
    </row>
    <row r="19" spans="1:15" ht="13.5" customHeight="1">
      <c r="A19" s="66"/>
      <c r="B19" s="67"/>
      <c r="C19" s="77"/>
      <c r="D19" s="77"/>
      <c r="E19" s="77"/>
      <c r="F19" s="77"/>
      <c r="G19" s="77"/>
      <c r="H19" s="77"/>
      <c r="I19" s="77"/>
      <c r="J19" s="77"/>
      <c r="K19" s="77"/>
      <c r="L19" s="77"/>
      <c r="M19" s="77"/>
      <c r="N19" s="77"/>
      <c r="O19" t="s">
        <v>74</v>
      </c>
    </row>
    <row r="20" spans="1:15" ht="12.75">
      <c r="A20" s="70" t="s">
        <v>32</v>
      </c>
      <c r="B20" s="67"/>
      <c r="C20" s="130">
        <f aca="true" t="shared" si="2" ref="C20:J20">SUM(C7:C19)</f>
        <v>0.4085249999999999</v>
      </c>
      <c r="D20" s="130">
        <f t="shared" si="2"/>
        <v>9.630296000000001</v>
      </c>
      <c r="E20" s="130">
        <f t="shared" si="2"/>
        <v>0</v>
      </c>
      <c r="F20" s="130">
        <f t="shared" si="2"/>
        <v>0.898755</v>
      </c>
      <c r="G20" s="130">
        <f t="shared" si="2"/>
        <v>8.656050000000002</v>
      </c>
      <c r="H20" s="130">
        <f t="shared" si="2"/>
        <v>19.49404599999999</v>
      </c>
      <c r="I20" s="130">
        <f t="shared" si="2"/>
        <v>1.2228515</v>
      </c>
      <c r="J20" s="130">
        <f t="shared" si="2"/>
        <v>1.2228515</v>
      </c>
      <c r="K20" s="130">
        <f>SUM(K7:K19)</f>
        <v>9.706554</v>
      </c>
      <c r="L20" s="130">
        <f>SUM(L7:L19)</f>
        <v>3.230071000000007</v>
      </c>
      <c r="M20" s="77"/>
      <c r="N20" s="130">
        <f>SUM(N7:N18)</f>
        <v>54.47</v>
      </c>
      <c r="O20" s="68">
        <f>N20/15</f>
        <v>3.631333333333333</v>
      </c>
    </row>
    <row r="21" spans="1:14" ht="12.75">
      <c r="A21" s="66"/>
      <c r="B21" s="67"/>
      <c r="C21" s="67"/>
      <c r="D21" s="67"/>
      <c r="E21" s="67"/>
      <c r="F21" s="67"/>
      <c r="G21" s="67"/>
      <c r="H21" s="67"/>
      <c r="I21" s="67"/>
      <c r="J21" s="67"/>
      <c r="K21" s="67"/>
      <c r="L21" s="67"/>
      <c r="M21" s="67"/>
      <c r="N21" s="68">
        <f>IF(N20&lt;&gt;SUM(Multi_Family!$C$66:$N$66),"ERROR","")</f>
      </c>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7"/>
    </row>
    <row r="26" spans="1:13" ht="12.75">
      <c r="A26" s="67"/>
      <c r="B26" s="67"/>
      <c r="C26" s="67"/>
      <c r="D26" s="67"/>
      <c r="E26" s="67"/>
      <c r="F26" s="67"/>
      <c r="G26" s="67"/>
      <c r="H26" s="67"/>
      <c r="I26" s="67"/>
      <c r="J26" s="67"/>
      <c r="K26" s="67"/>
      <c r="L26" s="67"/>
      <c r="M26" s="67"/>
    </row>
    <row r="27" spans="1:13" ht="12.75">
      <c r="A27" s="67"/>
      <c r="B27" s="67"/>
      <c r="C27" s="67"/>
      <c r="D27" s="67"/>
      <c r="E27" s="67"/>
      <c r="F27" s="67"/>
      <c r="G27" s="67"/>
      <c r="H27" s="67"/>
      <c r="I27" s="67"/>
      <c r="J27" s="67"/>
      <c r="K27" s="67"/>
      <c r="L27" s="67"/>
      <c r="M27" s="67"/>
    </row>
    <row r="28" spans="1:13" ht="12.75">
      <c r="A28" s="67"/>
      <c r="B28" s="67"/>
      <c r="C28" s="67"/>
      <c r="D28" s="67"/>
      <c r="E28" s="67"/>
      <c r="F28" s="67"/>
      <c r="G28" s="67"/>
      <c r="H28" s="67"/>
      <c r="I28" s="67"/>
      <c r="J28" s="67"/>
      <c r="K28" s="67"/>
      <c r="L28" s="67"/>
      <c r="M28" s="67"/>
    </row>
    <row r="29" spans="1:13" ht="12.75">
      <c r="A29" s="67"/>
      <c r="B29" s="67"/>
      <c r="C29" s="67"/>
      <c r="D29" s="67"/>
      <c r="E29" s="67"/>
      <c r="F29" s="67"/>
      <c r="G29" s="67"/>
      <c r="H29" s="67"/>
      <c r="I29" s="67"/>
      <c r="J29" s="67"/>
      <c r="K29" s="67"/>
      <c r="L29" s="67"/>
      <c r="M29" s="67"/>
    </row>
    <row r="30" spans="1:13" ht="12.75">
      <c r="A30" s="67"/>
      <c r="B30" s="67"/>
      <c r="C30" s="67"/>
      <c r="D30" s="67"/>
      <c r="E30" s="67"/>
      <c r="F30" s="67"/>
      <c r="G30" s="67"/>
      <c r="H30" s="67"/>
      <c r="I30" s="67"/>
      <c r="J30" s="67"/>
      <c r="K30" s="67"/>
      <c r="L30" s="67"/>
      <c r="M30" s="67"/>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sheetData>
  <sheetProtection/>
  <printOptions/>
  <pageMargins left="0.5" right="0.5" top="0.75" bottom="0.75" header="0.5" footer="0.5"/>
  <pageSetup horizontalDpi="600" verticalDpi="600" orientation="landscape" scale="85"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N121"/>
  <sheetViews>
    <sheetView showGridLines="0" zoomScalePageLayoutView="0" workbookViewId="0" topLeftCell="A1">
      <selection activeCell="E37" sqref="E37"/>
    </sheetView>
  </sheetViews>
  <sheetFormatPr defaultColWidth="9.140625" defaultRowHeight="12.75"/>
  <cols>
    <col min="3" max="3" width="13.28125" style="0" customWidth="1"/>
    <col min="4" max="5" width="11.57421875" style="0" customWidth="1"/>
    <col min="6" max="6" width="12.28125" style="0" customWidth="1"/>
    <col min="7" max="7" width="9.7109375" style="0" customWidth="1"/>
    <col min="8" max="8" width="9.421875" style="0" customWidth="1"/>
    <col min="9" max="9" width="9.28125" style="0" customWidth="1"/>
    <col min="10" max="10" width="10.00390625" style="0" customWidth="1"/>
    <col min="11" max="11" width="9.7109375" style="0" customWidth="1"/>
    <col min="12" max="12" width="10.421875" style="0" customWidth="1"/>
  </cols>
  <sheetData>
    <row r="1" spans="1:2" ht="12.75">
      <c r="A1" s="59" t="str">
        <f>"Commodity Pricing:  "&amp;TEXT(A7,"mmm-yy")&amp;" - "&amp;TEXT(A18,"mmm-yy")</f>
        <v>Commodity Pricing:  May-17 - Apr-18</v>
      </c>
      <c r="B1" s="60"/>
    </row>
    <row r="2" spans="1:2" ht="13.5" customHeight="1">
      <c r="A2" s="61" t="str">
        <f>WUTC_KENT_MF!A1</f>
        <v>Kent-Meridian Disposal</v>
      </c>
      <c r="B2" s="61"/>
    </row>
    <row r="3" spans="1:2" ht="13.5" customHeight="1">
      <c r="A3" s="61"/>
      <c r="B3" s="61"/>
    </row>
    <row r="4" spans="2:13" ht="12.75">
      <c r="B4" s="71"/>
      <c r="C4" s="63" t="s">
        <v>21</v>
      </c>
      <c r="D4" s="63" t="s">
        <v>22</v>
      </c>
      <c r="E4" s="63" t="s">
        <v>73</v>
      </c>
      <c r="F4" s="63" t="s">
        <v>23</v>
      </c>
      <c r="G4" s="63" t="s">
        <v>24</v>
      </c>
      <c r="H4" s="63" t="s">
        <v>25</v>
      </c>
      <c r="I4" s="63" t="s">
        <v>26</v>
      </c>
      <c r="J4" s="63" t="s">
        <v>27</v>
      </c>
      <c r="K4" s="63" t="s">
        <v>28</v>
      </c>
      <c r="L4" s="63" t="s">
        <v>29</v>
      </c>
      <c r="M4" s="63"/>
    </row>
    <row r="5" spans="2:13" ht="12.75">
      <c r="B5" s="71"/>
      <c r="C5" s="128">
        <v>69</v>
      </c>
      <c r="D5" s="128">
        <v>71</v>
      </c>
      <c r="E5" s="128">
        <v>72</v>
      </c>
      <c r="F5" s="128">
        <v>67</v>
      </c>
      <c r="G5" s="128">
        <v>64</v>
      </c>
      <c r="H5" s="128">
        <v>74</v>
      </c>
      <c r="I5" s="128">
        <v>68</v>
      </c>
      <c r="J5" s="128">
        <v>68</v>
      </c>
      <c r="K5" s="128">
        <v>65</v>
      </c>
      <c r="L5" s="128">
        <v>73</v>
      </c>
      <c r="M5" s="71"/>
    </row>
    <row r="6" spans="2:13" ht="12.75">
      <c r="B6" s="71"/>
      <c r="C6" s="71"/>
      <c r="D6" s="71"/>
      <c r="E6" s="71"/>
      <c r="F6" s="71"/>
      <c r="G6" s="71"/>
      <c r="H6" s="71"/>
      <c r="I6" s="71"/>
      <c r="J6" s="71"/>
      <c r="K6" s="71"/>
      <c r="L6" s="71"/>
      <c r="M6" s="71"/>
    </row>
    <row r="7" spans="1:13" ht="12.75">
      <c r="A7" s="66">
        <f>+'Commodity Tonnages'!A7</f>
        <v>42886</v>
      </c>
      <c r="B7" s="71"/>
      <c r="C7" s="72">
        <f>HLOOKUP($A7,Multi_Family!$C$6:$N$79,C$5,FALSE)</f>
        <v>905.35</v>
      </c>
      <c r="D7" s="76">
        <f>HLOOKUP($A7,Multi_Family!$C$6:$N$79,D$5,FALSE)</f>
        <v>-15.91</v>
      </c>
      <c r="E7" s="76">
        <f>HLOOKUP($A7,Multi_Family!$C$6:$N$79,E$5,FALSE)</f>
        <v>0</v>
      </c>
      <c r="F7" s="72">
        <f>HLOOKUP($A7,Multi_Family!$C$6:$N$79,F$5,FALSE)</f>
        <v>71.99</v>
      </c>
      <c r="G7" s="72">
        <f>HLOOKUP($A7,Multi_Family!$C$6:$N$79,G$5,FALSE)</f>
        <v>65.3</v>
      </c>
      <c r="H7" s="72">
        <f>HLOOKUP($A7,Multi_Family!$C$6:$N$79,H$5,FALSE)</f>
        <v>60.14</v>
      </c>
      <c r="I7" s="72">
        <f>HLOOKUP($A7,Multi_Family!$C$6:$N$79,I$5,FALSE)</f>
        <v>92.51</v>
      </c>
      <c r="J7" s="72">
        <f>HLOOKUP($A7,Multi_Family!$C$6:$N$79,J$5,FALSE)</f>
        <v>92.51</v>
      </c>
      <c r="K7" s="72">
        <f>HLOOKUP($A7,Multi_Family!$C$6:$N$79,K$5,FALSE)</f>
        <v>132.68</v>
      </c>
      <c r="L7" s="76">
        <f>HLOOKUP($A7,Multi_Family!$C$6:$N$79,L$5,FALSE)</f>
        <v>-134.59</v>
      </c>
      <c r="M7" s="71"/>
    </row>
    <row r="8" spans="1:13" ht="12.75">
      <c r="A8" s="66">
        <f>+'Commodity Tonnages'!A8</f>
        <v>42916</v>
      </c>
      <c r="B8" s="71"/>
      <c r="C8" s="72">
        <f>HLOOKUP($A8,Multi_Family!$C$6:$N$79,C$5,FALSE)</f>
        <v>894.34</v>
      </c>
      <c r="D8" s="76">
        <f>HLOOKUP($A8,Multi_Family!$C$6:$N$79,D$5,FALSE)</f>
        <v>-6.4</v>
      </c>
      <c r="E8" s="76">
        <f>HLOOKUP($A8,Multi_Family!$C$6:$N$79,E$5,FALSE)</f>
        <v>0</v>
      </c>
      <c r="F8" s="72">
        <f>HLOOKUP($A8,Multi_Family!$C$6:$N$79,F$5,FALSE)</f>
        <v>69.08</v>
      </c>
      <c r="G8" s="72">
        <f>HLOOKUP($A8,Multi_Family!$C$6:$N$79,G$5,FALSE)</f>
        <v>85.06</v>
      </c>
      <c r="H8" s="72">
        <f>HLOOKUP($A8,Multi_Family!$C$6:$N$79,H$5,FALSE)</f>
        <v>78.88</v>
      </c>
      <c r="I8" s="72">
        <f>HLOOKUP($A8,Multi_Family!$C$6:$N$79,I$5,FALSE)</f>
        <v>70.6</v>
      </c>
      <c r="J8" s="72">
        <f>HLOOKUP($A8,Multi_Family!$C$6:$N$79,J$5,FALSE)</f>
        <v>70.6</v>
      </c>
      <c r="K8" s="72">
        <f>HLOOKUP($A8,Multi_Family!$C$6:$N$79,K$5,FALSE)</f>
        <v>159.52</v>
      </c>
      <c r="L8" s="76">
        <f>HLOOKUP($A8,Multi_Family!$C$6:$N$79,L$5,FALSE)</f>
        <v>-134.59</v>
      </c>
      <c r="M8" s="71"/>
    </row>
    <row r="9" spans="1:13" ht="12.75">
      <c r="A9" s="66">
        <f>+'Commodity Tonnages'!A9</f>
        <v>42947</v>
      </c>
      <c r="B9" s="67"/>
      <c r="C9" s="72">
        <f>HLOOKUP($A9,Multi_Family!$C$6:$N$79,C$5,FALSE)</f>
        <v>871.1</v>
      </c>
      <c r="D9" s="76">
        <f>HLOOKUP($A9,Multi_Family!$C$6:$N$79,D$5,FALSE)</f>
        <v>-6.61</v>
      </c>
      <c r="E9" s="76">
        <f>HLOOKUP($A9,Multi_Family!$C$6:$N$79,E$5,FALSE)</f>
        <v>0</v>
      </c>
      <c r="F9" s="72">
        <f>HLOOKUP($A9,Multi_Family!$C$6:$N$79,F$5,FALSE)</f>
        <v>67.63</v>
      </c>
      <c r="G9" s="72">
        <f>HLOOKUP($A9,Multi_Family!$C$6:$N$79,G$5,FALSE)</f>
        <v>98.56</v>
      </c>
      <c r="H9" s="72">
        <f>HLOOKUP($A9,Multi_Family!$C$6:$N$79,H$5,FALSE)</f>
        <v>93.44</v>
      </c>
      <c r="I9" s="72">
        <f>HLOOKUP($A9,Multi_Family!$C$6:$N$79,I$5,FALSE)</f>
        <v>62.55</v>
      </c>
      <c r="J9" s="72">
        <f>HLOOKUP($A9,Multi_Family!$C$6:$N$79,J$5,FALSE)</f>
        <v>62.55</v>
      </c>
      <c r="K9" s="72">
        <f>HLOOKUP($A9,Multi_Family!$C$6:$N$79,K$5,FALSE)</f>
        <v>163.29</v>
      </c>
      <c r="L9" s="76">
        <f>HLOOKUP($A9,Multi_Family!$C$6:$N$79,L$5,FALSE)</f>
        <v>-134.59</v>
      </c>
      <c r="M9" s="68"/>
    </row>
    <row r="10" spans="1:13" ht="12.75">
      <c r="A10" s="66">
        <f>+'Commodity Tonnages'!A10</f>
        <v>42978</v>
      </c>
      <c r="B10" s="67"/>
      <c r="C10" s="72">
        <f>HLOOKUP($A10,Multi_Family!$C$6:$N$79,C$5,FALSE)</f>
        <v>905.36</v>
      </c>
      <c r="D10" s="76">
        <f>HLOOKUP($A10,Multi_Family!$C$6:$N$79,D$5,FALSE)</f>
        <v>-4.34</v>
      </c>
      <c r="E10" s="76">
        <f>HLOOKUP($A10,Multi_Family!$C$6:$N$79,E$5,FALSE)</f>
        <v>0</v>
      </c>
      <c r="F10" s="72">
        <f>HLOOKUP($A10,Multi_Family!$C$6:$N$79,F$5,FALSE)</f>
        <v>78.11</v>
      </c>
      <c r="G10" s="72">
        <f>HLOOKUP($A10,Multi_Family!$C$6:$N$79,G$5,FALSE)</f>
        <v>81.63</v>
      </c>
      <c r="H10" s="72">
        <f>HLOOKUP($A10,Multi_Family!$C$6:$N$79,H$5,FALSE)</f>
        <v>77.21</v>
      </c>
      <c r="I10" s="72">
        <f>HLOOKUP($A10,Multi_Family!$C$6:$N$79,I$5,FALSE)</f>
        <v>83.03</v>
      </c>
      <c r="J10" s="72">
        <f>HLOOKUP($A10,Multi_Family!$C$6:$N$79,J$5,FALSE)</f>
        <v>83.03</v>
      </c>
      <c r="K10" s="72">
        <f>HLOOKUP($A10,Multi_Family!$C$6:$N$79,K$5,FALSE)</f>
        <v>145.73</v>
      </c>
      <c r="L10" s="76">
        <f>HLOOKUP($A10,Multi_Family!$C$6:$N$79,L$5,FALSE)</f>
        <v>-134.59</v>
      </c>
      <c r="M10" s="68"/>
    </row>
    <row r="11" spans="1:13" ht="12.75">
      <c r="A11" s="66">
        <f>+'Commodity Tonnages'!A11</f>
        <v>43008</v>
      </c>
      <c r="B11" s="67"/>
      <c r="C11" s="72">
        <f>HLOOKUP($A11,Multi_Family!$C$6:$N$79,C$5,FALSE)</f>
        <v>953.11</v>
      </c>
      <c r="D11" s="76">
        <f>HLOOKUP($A11,Multi_Family!$C$6:$N$79,D$5,FALSE)</f>
        <v>-5.61</v>
      </c>
      <c r="E11" s="76">
        <f>HLOOKUP($A11,Multi_Family!$C$6:$N$79,E$5,FALSE)</f>
        <v>0</v>
      </c>
      <c r="F11" s="72">
        <f>HLOOKUP($A11,Multi_Family!$C$6:$N$79,F$5,FALSE)</f>
        <v>86.53</v>
      </c>
      <c r="G11" s="72">
        <f>HLOOKUP($A11,Multi_Family!$C$6:$N$79,G$5,FALSE)</f>
        <v>63.02</v>
      </c>
      <c r="H11" s="72">
        <f>HLOOKUP($A11,Multi_Family!$C$6:$N$79,H$5,FALSE)</f>
        <v>57.85</v>
      </c>
      <c r="I11" s="72">
        <f>HLOOKUP($A11,Multi_Family!$C$6:$N$79,I$5,FALSE)</f>
        <v>72.1</v>
      </c>
      <c r="J11" s="72">
        <f>HLOOKUP($A11,Multi_Family!$C$6:$N$79,J$5,FALSE)</f>
        <v>72.1</v>
      </c>
      <c r="K11" s="72">
        <f>HLOOKUP($A11,Multi_Family!$C$6:$N$79,K$5,FALSE)</f>
        <v>110.68</v>
      </c>
      <c r="L11" s="76">
        <f>HLOOKUP($A11,Multi_Family!$C$6:$N$79,L$5,FALSE)</f>
        <v>-134.59</v>
      </c>
      <c r="M11" s="68"/>
    </row>
    <row r="12" spans="1:13" ht="12.75">
      <c r="A12" s="66">
        <f>+'Commodity Tonnages'!A12</f>
        <v>43039</v>
      </c>
      <c r="B12" s="67"/>
      <c r="C12" s="72">
        <f>HLOOKUP($A12,Multi_Family!$C$6:$N$79,C$5,FALSE)</f>
        <v>980.71</v>
      </c>
      <c r="D12" s="76">
        <f>HLOOKUP($A12,Multi_Family!$C$6:$N$79,D$5,FALSE)</f>
        <v>-8.78</v>
      </c>
      <c r="E12" s="76">
        <f>HLOOKUP($A12,Multi_Family!$C$6:$N$79,E$5,FALSE)</f>
        <v>0</v>
      </c>
      <c r="F12" s="72">
        <f>HLOOKUP($A12,Multi_Family!$C$6:$N$79,F$5,FALSE)</f>
        <v>76.06</v>
      </c>
      <c r="G12" s="72">
        <f>HLOOKUP($A12,Multi_Family!$C$6:$N$79,G$5,FALSE)</f>
        <v>60.33</v>
      </c>
      <c r="H12" s="72">
        <f>HLOOKUP($A12,Multi_Family!$C$6:$N$79,H$5,FALSE)</f>
        <v>55.22</v>
      </c>
      <c r="I12" s="72">
        <f>HLOOKUP($A12,Multi_Family!$C$6:$N$79,I$5,FALSE)</f>
        <v>48.29</v>
      </c>
      <c r="J12" s="72">
        <f>HLOOKUP($A12,Multi_Family!$C$6:$N$79,J$5,FALSE)</f>
        <v>48.29</v>
      </c>
      <c r="K12" s="72">
        <f>HLOOKUP($A12,Multi_Family!$C$6:$N$79,K$5,FALSE)</f>
        <v>81.77</v>
      </c>
      <c r="L12" s="76">
        <f>HLOOKUP($A12,Multi_Family!$C$6:$N$79,L$5,FALSE)</f>
        <v>-134.59</v>
      </c>
      <c r="M12" s="68"/>
    </row>
    <row r="13" spans="1:13" ht="12.75">
      <c r="A13" s="66">
        <f>+'Commodity Tonnages'!A13</f>
        <v>43069</v>
      </c>
      <c r="B13" s="67"/>
      <c r="C13" s="72">
        <f>HLOOKUP($A13,Multi_Family!$C$6:$N$79,C$5,FALSE)</f>
        <v>971.66</v>
      </c>
      <c r="D13" s="76">
        <f>HLOOKUP($A13,Multi_Family!$C$6:$N$79,D$5,FALSE)</f>
        <v>-2.51</v>
      </c>
      <c r="E13" s="76">
        <f>HLOOKUP($A13,Multi_Family!$C$6:$N$79,E$5,FALSE)</f>
        <v>0</v>
      </c>
      <c r="F13" s="72">
        <f>HLOOKUP($A13,Multi_Family!$C$6:$N$79,F$5,FALSE)</f>
        <v>78.08</v>
      </c>
      <c r="G13" s="72">
        <f>HLOOKUP($A13,Multi_Family!$C$6:$N$79,G$5,FALSE)</f>
        <v>65.93</v>
      </c>
      <c r="H13" s="72">
        <f>HLOOKUP($A13,Multi_Family!$C$6:$N$79,H$5,FALSE)</f>
        <v>52.85</v>
      </c>
      <c r="I13" s="72">
        <f>HLOOKUP($A13,Multi_Family!$C$6:$N$79,I$5,FALSE)</f>
        <v>50.05</v>
      </c>
      <c r="J13" s="72">
        <f>HLOOKUP($A13,Multi_Family!$C$6:$N$79,J$5,FALSE)</f>
        <v>50.05</v>
      </c>
      <c r="K13" s="72">
        <f>HLOOKUP($A13,Multi_Family!$C$6:$N$79,K$5,FALSE)</f>
        <v>114.18</v>
      </c>
      <c r="L13" s="76">
        <f>HLOOKUP($A13,Multi_Family!$C$6:$N$79,L$5,FALSE)</f>
        <v>-134.59</v>
      </c>
      <c r="M13" s="68"/>
    </row>
    <row r="14" spans="1:13" ht="12.75">
      <c r="A14" s="66">
        <f>+'Commodity Tonnages'!A14</f>
        <v>43100</v>
      </c>
      <c r="B14" s="67"/>
      <c r="C14" s="72">
        <f>HLOOKUP($A14,Multi_Family!$C$6:$N$79,C$5,FALSE)</f>
        <v>973.36</v>
      </c>
      <c r="D14" s="76">
        <f>HLOOKUP($A14,Multi_Family!$C$6:$N$79,D$5,FALSE)</f>
        <v>-9.46</v>
      </c>
      <c r="E14" s="76">
        <f>HLOOKUP($A14,Multi_Family!$C$6:$N$79,E$5,FALSE)</f>
        <v>0</v>
      </c>
      <c r="F14" s="72">
        <f>HLOOKUP($A14,Multi_Family!$C$6:$N$79,F$5,FALSE)</f>
        <v>88.61</v>
      </c>
      <c r="G14" s="72">
        <f>HLOOKUP($A14,Multi_Family!$C$6:$N$79,G$5,FALSE)</f>
        <v>63.69</v>
      </c>
      <c r="H14" s="72">
        <f>HLOOKUP($A14,Multi_Family!$C$6:$N$79,H$5,FALSE)</f>
        <v>49.88</v>
      </c>
      <c r="I14" s="72">
        <f>HLOOKUP($A14,Multi_Family!$C$6:$N$79,I$5,FALSE)</f>
        <v>51.67</v>
      </c>
      <c r="J14" s="72">
        <f>HLOOKUP($A14,Multi_Family!$C$6:$N$79,J$5,FALSE)</f>
        <v>51.67</v>
      </c>
      <c r="K14" s="72">
        <f>HLOOKUP($A14,Multi_Family!$C$6:$N$79,K$5,FALSE)</f>
        <v>107.57</v>
      </c>
      <c r="L14" s="76">
        <f>HLOOKUP($A14,Multi_Family!$C$6:$N$79,L$5,FALSE)</f>
        <v>-134.59</v>
      </c>
      <c r="M14" s="68"/>
    </row>
    <row r="15" spans="1:13" ht="12.75">
      <c r="A15" s="66">
        <f>+'Commodity Tonnages'!A15</f>
        <v>43131</v>
      </c>
      <c r="B15" s="67"/>
      <c r="C15" s="72">
        <f>HLOOKUP($A15,Multi_Family!$C$6:$N$79,C$5,FALSE)</f>
        <v>1013.02</v>
      </c>
      <c r="D15" s="76">
        <f>HLOOKUP($A15,Multi_Family!$C$6:$N$79,D$5,FALSE)</f>
        <v>-9.98</v>
      </c>
      <c r="E15" s="76">
        <f>HLOOKUP($A15,Multi_Family!$C$6:$N$79,E$5,FALSE)</f>
        <v>0</v>
      </c>
      <c r="F15" s="72">
        <f>HLOOKUP($A15,Multi_Family!$C$6:$N$79,F$5,FALSE)</f>
        <v>102.96</v>
      </c>
      <c r="G15" s="72">
        <f>HLOOKUP($A15,Multi_Family!$C$6:$N$79,G$5,FALSE)</f>
        <v>39.8</v>
      </c>
      <c r="H15" s="72">
        <f>HLOOKUP($A15,Multi_Family!$C$6:$N$79,H$5,FALSE)</f>
        <v>40.17</v>
      </c>
      <c r="I15" s="72">
        <f>HLOOKUP($A15,Multi_Family!$C$6:$N$79,I$5,FALSE)</f>
        <v>53.44</v>
      </c>
      <c r="J15" s="72">
        <f>HLOOKUP($A15,Multi_Family!$C$6:$N$79,J$5,FALSE)</f>
        <v>53.44</v>
      </c>
      <c r="K15" s="72">
        <f>HLOOKUP($A15,Multi_Family!$C$6:$N$79,K$5,FALSE)</f>
        <v>105.09</v>
      </c>
      <c r="L15" s="76">
        <f>HLOOKUP($A15,Multi_Family!$C$6:$N$79,L$5,FALSE)</f>
        <v>-134.59</v>
      </c>
      <c r="M15" s="68"/>
    </row>
    <row r="16" spans="1:13" ht="12.75">
      <c r="A16" s="66">
        <f>+'Commodity Tonnages'!A16</f>
        <v>43159</v>
      </c>
      <c r="B16" s="67"/>
      <c r="C16" s="72">
        <f>HLOOKUP($A16,Multi_Family!$C$6:$N$79,C$5,FALSE)</f>
        <v>988.19</v>
      </c>
      <c r="D16" s="76">
        <f>HLOOKUP($A16,Multi_Family!$C$6:$N$79,D$5,FALSE)</f>
        <v>-8.01</v>
      </c>
      <c r="E16" s="76">
        <f>HLOOKUP($A16,Multi_Family!$C$6:$N$79,E$5,FALSE)</f>
        <v>0</v>
      </c>
      <c r="F16" s="72">
        <f>HLOOKUP($A16,Multi_Family!$C$6:$N$79,F$5,FALSE)</f>
        <v>92.72</v>
      </c>
      <c r="G16" s="72">
        <f>HLOOKUP($A16,Multi_Family!$C$6:$N$79,G$5,FALSE)</f>
        <v>-18.13</v>
      </c>
      <c r="H16" s="72">
        <f>HLOOKUP($A16,Multi_Family!$C$6:$N$79,H$5,FALSE)</f>
        <v>-21.81</v>
      </c>
      <c r="I16" s="72">
        <f>HLOOKUP($A16,Multi_Family!$C$6:$N$79,I$5,FALSE)</f>
        <v>85.33</v>
      </c>
      <c r="J16" s="72">
        <f>HLOOKUP($A16,Multi_Family!$C$6:$N$79,J$5,FALSE)</f>
        <v>85.33</v>
      </c>
      <c r="K16" s="72">
        <f>HLOOKUP($A16,Multi_Family!$C$6:$N$79,K$5,FALSE)</f>
        <v>62.76</v>
      </c>
      <c r="L16" s="76">
        <f>HLOOKUP($A16,Multi_Family!$C$6:$N$79,L$5,FALSE)</f>
        <v>-134.59</v>
      </c>
      <c r="M16" s="68"/>
    </row>
    <row r="17" spans="1:13" ht="12.75">
      <c r="A17" s="66">
        <f>+'Commodity Tonnages'!A17</f>
        <v>43190</v>
      </c>
      <c r="B17" s="67"/>
      <c r="C17" s="72">
        <f>HLOOKUP($A17,Multi_Family!$C$6:$N$79,C$5,FALSE)</f>
        <v>977.91</v>
      </c>
      <c r="D17" s="76">
        <f>HLOOKUP($A17,Multi_Family!$C$6:$N$79,D$5,FALSE)</f>
        <v>-9</v>
      </c>
      <c r="E17" s="76">
        <f>HLOOKUP($A17,Multi_Family!$C$6:$N$79,E$5,FALSE)</f>
        <v>0</v>
      </c>
      <c r="F17" s="72">
        <f>HLOOKUP($A17,Multi_Family!$C$6:$N$79,F$5,FALSE)</f>
        <v>106.7</v>
      </c>
      <c r="G17" s="72">
        <f>HLOOKUP($A17,Multi_Family!$C$6:$N$79,G$5,FALSE)</f>
        <v>-16.23</v>
      </c>
      <c r="H17" s="72">
        <f>HLOOKUP($A17,Multi_Family!$C$6:$N$79,H$5,FALSE)</f>
        <v>-21.39</v>
      </c>
      <c r="I17" s="72">
        <f>HLOOKUP($A17,Multi_Family!$C$6:$N$79,I$5,FALSE)</f>
        <v>105.24</v>
      </c>
      <c r="J17" s="72">
        <f>HLOOKUP($A17,Multi_Family!$C$6:$N$79,J$5,FALSE)</f>
        <v>105.24</v>
      </c>
      <c r="K17" s="72">
        <f>HLOOKUP($A17,Multi_Family!$C$6:$N$79,K$5,FALSE)</f>
        <v>56.69</v>
      </c>
      <c r="L17" s="76">
        <f>HLOOKUP($A17,Multi_Family!$C$6:$N$79,L$5,FALSE)</f>
        <v>-134.59</v>
      </c>
      <c r="M17" s="68"/>
    </row>
    <row r="18" spans="1:13" ht="12.75">
      <c r="A18" s="66">
        <f>+'Commodity Tonnages'!A18</f>
        <v>43220</v>
      </c>
      <c r="B18" s="67"/>
      <c r="C18" s="72">
        <f>HLOOKUP($A18,Multi_Family!$C$6:$N$79,C$5,FALSE)</f>
        <v>989.87</v>
      </c>
      <c r="D18" s="76">
        <f>HLOOKUP($A18,Multi_Family!$C$6:$N$79,D$5,FALSE)</f>
        <v>-10.23</v>
      </c>
      <c r="E18" s="76">
        <f>HLOOKUP($A18,Multi_Family!$C$6:$N$79,E$5,FALSE)</f>
        <v>0</v>
      </c>
      <c r="F18" s="72">
        <f>HLOOKUP($A18,Multi_Family!$C$6:$N$79,F$5,FALSE)</f>
        <v>109.51</v>
      </c>
      <c r="G18" s="72">
        <f>HLOOKUP($A18,Multi_Family!$C$6:$N$79,G$5,FALSE)</f>
        <v>0</v>
      </c>
      <c r="H18" s="72">
        <f>HLOOKUP($A18,Multi_Family!$C$6:$N$79,H$5,FALSE)</f>
        <v>-20.59</v>
      </c>
      <c r="I18" s="72">
        <f>HLOOKUP($A18,Multi_Family!$C$6:$N$79,I$5,FALSE)</f>
        <v>107.91</v>
      </c>
      <c r="J18" s="72">
        <f>HLOOKUP($A18,Multi_Family!$C$6:$N$79,J$5,FALSE)</f>
        <v>107.91</v>
      </c>
      <c r="K18" s="72">
        <f>HLOOKUP($A18,Multi_Family!$C$6:$N$79,K$5,FALSE)</f>
        <v>57.61</v>
      </c>
      <c r="L18" s="76">
        <f>HLOOKUP($A18,Multi_Family!$C$6:$N$79,L$5,FALSE)</f>
        <v>-134.59</v>
      </c>
      <c r="M18" s="68"/>
    </row>
    <row r="19" spans="1:13" ht="12.75">
      <c r="A19" s="67"/>
      <c r="B19" s="67"/>
      <c r="C19" s="68"/>
      <c r="D19" s="68"/>
      <c r="E19" s="68"/>
      <c r="F19" s="68"/>
      <c r="G19" s="68"/>
      <c r="H19" s="68"/>
      <c r="I19" s="68"/>
      <c r="J19" s="68"/>
      <c r="K19" s="68"/>
      <c r="L19" s="67"/>
      <c r="M19" s="68"/>
    </row>
    <row r="20" spans="1:14" ht="12.75">
      <c r="A20" s="70"/>
      <c r="B20" s="67"/>
      <c r="C20" s="68"/>
      <c r="D20" s="68"/>
      <c r="E20" s="68"/>
      <c r="F20" s="68"/>
      <c r="G20" s="68"/>
      <c r="H20" s="68"/>
      <c r="I20" s="68"/>
      <c r="J20" s="68"/>
      <c r="K20" s="68"/>
      <c r="L20" s="68"/>
      <c r="M20" s="68"/>
      <c r="N20" s="68" t="s">
        <v>31</v>
      </c>
    </row>
    <row r="21" spans="1:13" ht="12.75">
      <c r="A21" s="67"/>
      <c r="B21" s="67"/>
      <c r="C21" s="67"/>
      <c r="D21" s="67"/>
      <c r="E21" s="67"/>
      <c r="F21" s="67"/>
      <c r="G21" s="67"/>
      <c r="H21" s="67"/>
      <c r="I21" s="67"/>
      <c r="J21" s="67"/>
      <c r="K21" s="67"/>
      <c r="L21" s="67"/>
      <c r="M21" s="68"/>
    </row>
    <row r="22" spans="1:13" ht="12.75">
      <c r="A22" s="67"/>
      <c r="B22" s="67"/>
      <c r="C22" s="67"/>
      <c r="D22" s="67"/>
      <c r="E22" s="67"/>
      <c r="F22" s="67"/>
      <c r="G22" s="67"/>
      <c r="H22" s="67"/>
      <c r="I22" s="67"/>
      <c r="J22" s="67"/>
      <c r="K22" s="67"/>
      <c r="L22" s="67"/>
      <c r="M22" s="68"/>
    </row>
    <row r="23" spans="1:13" ht="12.75">
      <c r="A23" s="67"/>
      <c r="B23" s="67"/>
      <c r="C23" s="67"/>
      <c r="D23" s="67"/>
      <c r="E23" s="67"/>
      <c r="F23" s="67"/>
      <c r="G23" s="67"/>
      <c r="H23" s="67"/>
      <c r="I23" s="67"/>
      <c r="J23" s="67"/>
      <c r="K23" s="67"/>
      <c r="L23" s="67"/>
      <c r="M23" s="68"/>
    </row>
    <row r="24" spans="1:13" ht="12.75">
      <c r="A24" s="67"/>
      <c r="B24" s="67"/>
      <c r="C24" s="67"/>
      <c r="D24" s="67"/>
      <c r="E24" s="67"/>
      <c r="F24" s="67"/>
      <c r="G24" s="67"/>
      <c r="H24" s="67"/>
      <c r="I24" s="67"/>
      <c r="J24" s="67"/>
      <c r="K24" s="67"/>
      <c r="L24" s="67"/>
      <c r="M24" s="68"/>
    </row>
    <row r="25" spans="1:13" ht="12.75">
      <c r="A25" s="67"/>
      <c r="B25" s="67"/>
      <c r="C25" s="67"/>
      <c r="D25" s="67"/>
      <c r="E25" s="67"/>
      <c r="F25" s="67"/>
      <c r="G25" s="67"/>
      <c r="H25" s="67"/>
      <c r="I25" s="67"/>
      <c r="J25" s="67"/>
      <c r="K25" s="67"/>
      <c r="L25" s="67"/>
      <c r="M25" s="68"/>
    </row>
    <row r="26" spans="1:13" ht="12.75">
      <c r="A26" s="67"/>
      <c r="B26" s="67"/>
      <c r="C26" s="67"/>
      <c r="D26" s="67"/>
      <c r="E26" s="67"/>
      <c r="F26" s="67"/>
      <c r="G26" s="67"/>
      <c r="H26" s="67"/>
      <c r="I26" s="67"/>
      <c r="J26" s="67"/>
      <c r="K26" s="67"/>
      <c r="L26" s="67"/>
      <c r="M26" s="68"/>
    </row>
    <row r="27" spans="1:13" ht="12.75">
      <c r="A27" s="67"/>
      <c r="B27" s="67"/>
      <c r="C27" s="67"/>
      <c r="D27" s="67"/>
      <c r="E27" s="67"/>
      <c r="F27" s="67"/>
      <c r="G27" s="67"/>
      <c r="H27" s="67"/>
      <c r="I27" s="67"/>
      <c r="J27" s="67"/>
      <c r="K27" s="67"/>
      <c r="L27" s="67"/>
      <c r="M27" s="68"/>
    </row>
    <row r="28" spans="1:13" ht="12.75">
      <c r="A28" s="67"/>
      <c r="B28" s="67"/>
      <c r="C28" s="67"/>
      <c r="D28" s="67"/>
      <c r="E28" s="67"/>
      <c r="F28" s="67"/>
      <c r="G28" s="67"/>
      <c r="H28" s="67"/>
      <c r="I28" s="67"/>
      <c r="J28" s="67"/>
      <c r="K28" s="67"/>
      <c r="L28" s="67"/>
      <c r="M28" s="68"/>
    </row>
    <row r="29" spans="1:13" ht="12.75">
      <c r="A29" s="67"/>
      <c r="B29" s="67"/>
      <c r="C29" s="67"/>
      <c r="D29" s="67"/>
      <c r="E29" s="67"/>
      <c r="F29" s="67"/>
      <c r="G29" s="67"/>
      <c r="H29" s="67"/>
      <c r="I29" s="67"/>
      <c r="J29" s="67"/>
      <c r="K29" s="67"/>
      <c r="L29" s="67"/>
      <c r="M29" s="68"/>
    </row>
    <row r="30" spans="1:13" ht="12.75">
      <c r="A30" s="67"/>
      <c r="B30" s="67"/>
      <c r="C30" s="67"/>
      <c r="D30" s="67"/>
      <c r="E30" s="67"/>
      <c r="F30" s="67"/>
      <c r="G30" s="67"/>
      <c r="H30" s="67"/>
      <c r="I30" s="67"/>
      <c r="J30" s="67"/>
      <c r="K30" s="67"/>
      <c r="L30" s="67"/>
      <c r="M30" s="68"/>
    </row>
    <row r="31" spans="1:13" ht="12.75">
      <c r="A31" s="67"/>
      <c r="B31" s="67"/>
      <c r="C31" s="67"/>
      <c r="D31" s="67"/>
      <c r="E31" s="67"/>
      <c r="F31" s="67"/>
      <c r="G31" s="67"/>
      <c r="H31" s="67"/>
      <c r="I31" s="67"/>
      <c r="J31" s="67"/>
      <c r="K31" s="67"/>
      <c r="L31" s="67"/>
      <c r="M31" s="67"/>
    </row>
    <row r="32" spans="1:13" ht="12.75">
      <c r="A32" s="67"/>
      <c r="B32" s="67"/>
      <c r="C32" s="67"/>
      <c r="D32" s="67"/>
      <c r="E32" s="67"/>
      <c r="F32" s="67"/>
      <c r="G32" s="67"/>
      <c r="H32" s="67"/>
      <c r="I32" s="67"/>
      <c r="J32" s="67"/>
      <c r="K32" s="67"/>
      <c r="L32" s="67"/>
      <c r="M32" s="67"/>
    </row>
    <row r="33" spans="1:13" ht="12.75">
      <c r="A33" s="67"/>
      <c r="B33" s="67"/>
      <c r="C33" s="67"/>
      <c r="D33" s="67"/>
      <c r="E33" s="67"/>
      <c r="F33" s="67"/>
      <c r="G33" s="67"/>
      <c r="H33" s="67"/>
      <c r="I33" s="67"/>
      <c r="J33" s="67"/>
      <c r="K33" s="67"/>
      <c r="L33" s="67"/>
      <c r="M33" s="67"/>
    </row>
    <row r="34" spans="1:13" ht="12.75">
      <c r="A34" s="67"/>
      <c r="B34" s="67"/>
      <c r="C34" s="67"/>
      <c r="D34" s="67"/>
      <c r="E34" s="67"/>
      <c r="F34" s="67"/>
      <c r="G34" s="67"/>
      <c r="H34" s="67"/>
      <c r="I34" s="67"/>
      <c r="J34" s="67"/>
      <c r="K34" s="67"/>
      <c r="L34" s="67"/>
      <c r="M34" s="67"/>
    </row>
    <row r="35" spans="1:13" ht="12.75">
      <c r="A35" s="67"/>
      <c r="B35" s="67"/>
      <c r="C35" s="67"/>
      <c r="D35" s="67"/>
      <c r="E35" s="67"/>
      <c r="F35" s="67"/>
      <c r="G35" s="67"/>
      <c r="H35" s="67"/>
      <c r="I35" s="67"/>
      <c r="J35" s="67"/>
      <c r="K35" s="67"/>
      <c r="L35" s="67"/>
      <c r="M35" s="67"/>
    </row>
    <row r="36" spans="1:13" ht="12.75">
      <c r="A36" s="67"/>
      <c r="B36" s="67"/>
      <c r="C36" s="67"/>
      <c r="D36" s="67"/>
      <c r="E36" s="67"/>
      <c r="F36" s="67"/>
      <c r="G36" s="67"/>
      <c r="H36" s="67"/>
      <c r="I36" s="67"/>
      <c r="J36" s="67"/>
      <c r="K36" s="67"/>
      <c r="L36" s="67"/>
      <c r="M36" s="67"/>
    </row>
    <row r="37" spans="1:13" ht="12.75">
      <c r="A37" s="67"/>
      <c r="B37" s="67"/>
      <c r="C37" s="67"/>
      <c r="D37" s="67"/>
      <c r="E37" s="67"/>
      <c r="F37" s="67"/>
      <c r="G37" s="67"/>
      <c r="H37" s="67"/>
      <c r="I37" s="67"/>
      <c r="J37" s="67"/>
      <c r="K37" s="67"/>
      <c r="L37" s="67"/>
      <c r="M37" s="67"/>
    </row>
    <row r="38" spans="1:13" ht="12.75">
      <c r="A38" s="67"/>
      <c r="B38" s="67"/>
      <c r="C38" s="67"/>
      <c r="D38" s="67"/>
      <c r="E38" s="67"/>
      <c r="F38" s="67"/>
      <c r="G38" s="67"/>
      <c r="H38" s="67"/>
      <c r="I38" s="67"/>
      <c r="J38" s="67"/>
      <c r="K38" s="67"/>
      <c r="L38" s="67"/>
      <c r="M38" s="67"/>
    </row>
    <row r="39" spans="1:13" ht="12.75">
      <c r="A39" s="67"/>
      <c r="B39" s="67"/>
      <c r="C39" s="67"/>
      <c r="D39" s="67"/>
      <c r="E39" s="67"/>
      <c r="F39" s="67"/>
      <c r="G39" s="67"/>
      <c r="H39" s="67"/>
      <c r="I39" s="67"/>
      <c r="J39" s="67"/>
      <c r="K39" s="67"/>
      <c r="L39" s="67"/>
      <c r="M39" s="67"/>
    </row>
    <row r="40" spans="1:13" ht="12.75">
      <c r="A40" s="67"/>
      <c r="B40" s="67"/>
      <c r="C40" s="67"/>
      <c r="D40" s="67"/>
      <c r="E40" s="67"/>
      <c r="F40" s="67"/>
      <c r="G40" s="67"/>
      <c r="H40" s="67"/>
      <c r="I40" s="67"/>
      <c r="J40" s="67"/>
      <c r="K40" s="67"/>
      <c r="L40" s="67"/>
      <c r="M40" s="67"/>
    </row>
    <row r="41" spans="1:13" ht="12.75">
      <c r="A41" s="67"/>
      <c r="B41" s="67"/>
      <c r="C41" s="67"/>
      <c r="D41" s="67"/>
      <c r="E41" s="67"/>
      <c r="F41" s="67"/>
      <c r="G41" s="67"/>
      <c r="H41" s="67"/>
      <c r="I41" s="67"/>
      <c r="J41" s="67"/>
      <c r="K41" s="67"/>
      <c r="L41" s="67"/>
      <c r="M41" s="67"/>
    </row>
    <row r="42" spans="1:13" ht="12.75">
      <c r="A42" s="67"/>
      <c r="B42" s="67"/>
      <c r="C42" s="67"/>
      <c r="D42" s="67"/>
      <c r="E42" s="67"/>
      <c r="F42" s="67"/>
      <c r="G42" s="67"/>
      <c r="H42" s="67"/>
      <c r="I42" s="67"/>
      <c r="J42" s="67"/>
      <c r="K42" s="67"/>
      <c r="L42" s="67"/>
      <c r="M42" s="67"/>
    </row>
    <row r="43" spans="1:13" ht="12.75">
      <c r="A43" s="67"/>
      <c r="B43" s="67"/>
      <c r="C43" s="67"/>
      <c r="D43" s="67"/>
      <c r="E43" s="67"/>
      <c r="F43" s="67"/>
      <c r="G43" s="67"/>
      <c r="H43" s="67"/>
      <c r="I43" s="67"/>
      <c r="J43" s="67"/>
      <c r="K43" s="67"/>
      <c r="L43" s="67"/>
      <c r="M43" s="67"/>
    </row>
    <row r="44" spans="1:13" ht="12.75">
      <c r="A44" s="67"/>
      <c r="B44" s="67"/>
      <c r="C44" s="67"/>
      <c r="D44" s="67"/>
      <c r="E44" s="67"/>
      <c r="F44" s="67"/>
      <c r="G44" s="67"/>
      <c r="H44" s="67"/>
      <c r="I44" s="67"/>
      <c r="J44" s="67"/>
      <c r="K44" s="67"/>
      <c r="L44" s="67"/>
      <c r="M44" s="67"/>
    </row>
    <row r="45" spans="1:13" ht="12.75">
      <c r="A45" s="67"/>
      <c r="B45" s="67"/>
      <c r="C45" s="67"/>
      <c r="D45" s="67"/>
      <c r="E45" s="67"/>
      <c r="F45" s="67"/>
      <c r="G45" s="67"/>
      <c r="H45" s="67"/>
      <c r="I45" s="67"/>
      <c r="J45" s="67"/>
      <c r="K45" s="67"/>
      <c r="L45" s="67"/>
      <c r="M45" s="67"/>
    </row>
    <row r="46" spans="1:13" ht="12.75">
      <c r="A46" s="67"/>
      <c r="B46" s="67"/>
      <c r="C46" s="67"/>
      <c r="D46" s="67"/>
      <c r="E46" s="67"/>
      <c r="F46" s="67"/>
      <c r="G46" s="67"/>
      <c r="H46" s="67"/>
      <c r="I46" s="67"/>
      <c r="J46" s="67"/>
      <c r="K46" s="67"/>
      <c r="L46" s="67"/>
      <c r="M46" s="67"/>
    </row>
    <row r="47" spans="1:13" ht="12.75">
      <c r="A47" s="67"/>
      <c r="B47" s="67"/>
      <c r="C47" s="67"/>
      <c r="D47" s="67"/>
      <c r="E47" s="67"/>
      <c r="F47" s="67"/>
      <c r="G47" s="67"/>
      <c r="H47" s="67"/>
      <c r="I47" s="67"/>
      <c r="J47" s="67"/>
      <c r="K47" s="67"/>
      <c r="L47" s="67"/>
      <c r="M47" s="67"/>
    </row>
    <row r="48" spans="1:13" ht="12.75">
      <c r="A48" s="67"/>
      <c r="B48" s="67"/>
      <c r="C48" s="67"/>
      <c r="D48" s="67"/>
      <c r="E48" s="67"/>
      <c r="F48" s="67"/>
      <c r="G48" s="67"/>
      <c r="H48" s="67"/>
      <c r="I48" s="67"/>
      <c r="J48" s="67"/>
      <c r="K48" s="67"/>
      <c r="L48" s="67"/>
      <c r="M48" s="67"/>
    </row>
    <row r="49" spans="1:13" ht="12.75">
      <c r="A49" s="67"/>
      <c r="B49" s="67"/>
      <c r="C49" s="67"/>
      <c r="D49" s="67"/>
      <c r="E49" s="67"/>
      <c r="F49" s="67"/>
      <c r="G49" s="67"/>
      <c r="H49" s="67"/>
      <c r="I49" s="67"/>
      <c r="J49" s="67"/>
      <c r="K49" s="67"/>
      <c r="L49" s="67"/>
      <c r="M49" s="67"/>
    </row>
    <row r="50" spans="1:13" ht="12.75">
      <c r="A50" s="67"/>
      <c r="B50" s="67"/>
      <c r="C50" s="67"/>
      <c r="D50" s="67"/>
      <c r="E50" s="67"/>
      <c r="F50" s="67"/>
      <c r="G50" s="67"/>
      <c r="H50" s="67"/>
      <c r="I50" s="67"/>
      <c r="J50" s="67"/>
      <c r="K50" s="67"/>
      <c r="L50" s="67"/>
      <c r="M50" s="67"/>
    </row>
    <row r="51" spans="1:13" ht="12.75">
      <c r="A51" s="67"/>
      <c r="B51" s="67"/>
      <c r="C51" s="67"/>
      <c r="D51" s="67"/>
      <c r="E51" s="67"/>
      <c r="F51" s="67"/>
      <c r="G51" s="67"/>
      <c r="H51" s="67"/>
      <c r="I51" s="67"/>
      <c r="J51" s="67"/>
      <c r="K51" s="67"/>
      <c r="L51" s="67"/>
      <c r="M51" s="67"/>
    </row>
    <row r="52" spans="1:13" ht="12.75">
      <c r="A52" s="67"/>
      <c r="B52" s="67"/>
      <c r="C52" s="67"/>
      <c r="D52" s="67"/>
      <c r="E52" s="67"/>
      <c r="F52" s="67"/>
      <c r="G52" s="67"/>
      <c r="H52" s="67"/>
      <c r="I52" s="67"/>
      <c r="J52" s="67"/>
      <c r="K52" s="67"/>
      <c r="L52" s="67"/>
      <c r="M52" s="67"/>
    </row>
    <row r="53" spans="1:13" ht="12.75">
      <c r="A53" s="67"/>
      <c r="B53" s="67"/>
      <c r="C53" s="67"/>
      <c r="D53" s="67"/>
      <c r="E53" s="67"/>
      <c r="F53" s="67"/>
      <c r="G53" s="67"/>
      <c r="H53" s="67"/>
      <c r="I53" s="67"/>
      <c r="J53" s="67"/>
      <c r="K53" s="67"/>
      <c r="L53" s="67"/>
      <c r="M53" s="67"/>
    </row>
    <row r="54" spans="1:13" ht="12.75">
      <c r="A54" s="67"/>
      <c r="B54" s="67"/>
      <c r="C54" s="67"/>
      <c r="D54" s="67"/>
      <c r="E54" s="67"/>
      <c r="F54" s="67"/>
      <c r="G54" s="67"/>
      <c r="H54" s="67"/>
      <c r="I54" s="67"/>
      <c r="J54" s="67"/>
      <c r="K54" s="67"/>
      <c r="L54" s="67"/>
      <c r="M54" s="67"/>
    </row>
    <row r="55" spans="1:13" ht="12.75">
      <c r="A55" s="67"/>
      <c r="B55" s="67"/>
      <c r="C55" s="67"/>
      <c r="D55" s="67"/>
      <c r="E55" s="67"/>
      <c r="F55" s="67"/>
      <c r="G55" s="67"/>
      <c r="H55" s="67"/>
      <c r="I55" s="67"/>
      <c r="J55" s="67"/>
      <c r="K55" s="67"/>
      <c r="L55" s="67"/>
      <c r="M55" s="67"/>
    </row>
    <row r="56" spans="1:13" ht="12.75">
      <c r="A56" s="67"/>
      <c r="B56" s="67"/>
      <c r="C56" s="67"/>
      <c r="D56" s="67"/>
      <c r="E56" s="67"/>
      <c r="F56" s="67"/>
      <c r="G56" s="67"/>
      <c r="H56" s="67"/>
      <c r="I56" s="67"/>
      <c r="J56" s="67"/>
      <c r="K56" s="67"/>
      <c r="L56" s="67"/>
      <c r="M56" s="67"/>
    </row>
    <row r="57" spans="1:13" ht="12.75">
      <c r="A57" s="67"/>
      <c r="B57" s="67"/>
      <c r="C57" s="67"/>
      <c r="D57" s="67"/>
      <c r="E57" s="67"/>
      <c r="F57" s="67"/>
      <c r="G57" s="67"/>
      <c r="H57" s="67"/>
      <c r="I57" s="67"/>
      <c r="J57" s="67"/>
      <c r="K57" s="67"/>
      <c r="L57" s="67"/>
      <c r="M57" s="67"/>
    </row>
    <row r="58" spans="1:13" ht="12.75">
      <c r="A58" s="67"/>
      <c r="B58" s="67"/>
      <c r="C58" s="67"/>
      <c r="D58" s="67"/>
      <c r="E58" s="67"/>
      <c r="F58" s="67"/>
      <c r="G58" s="67"/>
      <c r="H58" s="67"/>
      <c r="I58" s="67"/>
      <c r="J58" s="67"/>
      <c r="K58" s="67"/>
      <c r="L58" s="67"/>
      <c r="M58" s="67"/>
    </row>
    <row r="59" spans="1:13" ht="12.75">
      <c r="A59" s="67"/>
      <c r="B59" s="67"/>
      <c r="C59" s="67"/>
      <c r="D59" s="67"/>
      <c r="E59" s="67"/>
      <c r="F59" s="67"/>
      <c r="G59" s="67"/>
      <c r="H59" s="67"/>
      <c r="I59" s="67"/>
      <c r="J59" s="67"/>
      <c r="K59" s="67"/>
      <c r="L59" s="67"/>
      <c r="M59" s="67"/>
    </row>
    <row r="60" spans="1:13" ht="12.75">
      <c r="A60" s="67"/>
      <c r="B60" s="67"/>
      <c r="C60" s="67"/>
      <c r="D60" s="67"/>
      <c r="E60" s="67"/>
      <c r="F60" s="67"/>
      <c r="G60" s="67"/>
      <c r="H60" s="67"/>
      <c r="I60" s="67"/>
      <c r="J60" s="67"/>
      <c r="K60" s="67"/>
      <c r="L60" s="67"/>
      <c r="M60" s="67"/>
    </row>
    <row r="61" spans="1:13" ht="12.75">
      <c r="A61" s="67"/>
      <c r="B61" s="67"/>
      <c r="C61" s="67"/>
      <c r="D61" s="67"/>
      <c r="E61" s="67"/>
      <c r="F61" s="67"/>
      <c r="G61" s="67"/>
      <c r="H61" s="67"/>
      <c r="I61" s="67"/>
      <c r="J61" s="67"/>
      <c r="K61" s="67"/>
      <c r="L61" s="67"/>
      <c r="M61" s="67"/>
    </row>
    <row r="62" spans="1:13" ht="12.75">
      <c r="A62" s="67"/>
      <c r="B62" s="67"/>
      <c r="C62" s="67"/>
      <c r="D62" s="67"/>
      <c r="E62" s="67"/>
      <c r="F62" s="67"/>
      <c r="G62" s="67"/>
      <c r="H62" s="67"/>
      <c r="I62" s="67"/>
      <c r="J62" s="67"/>
      <c r="K62" s="67"/>
      <c r="L62" s="67"/>
      <c r="M62" s="67"/>
    </row>
    <row r="63" spans="1:13" ht="12.75">
      <c r="A63" s="67"/>
      <c r="B63" s="67"/>
      <c r="C63" s="67"/>
      <c r="D63" s="67"/>
      <c r="E63" s="67"/>
      <c r="F63" s="67"/>
      <c r="G63" s="67"/>
      <c r="H63" s="67"/>
      <c r="I63" s="67"/>
      <c r="J63" s="67"/>
      <c r="K63" s="67"/>
      <c r="L63" s="67"/>
      <c r="M63" s="67"/>
    </row>
    <row r="64" spans="1:13" ht="12.75">
      <c r="A64" s="67"/>
      <c r="B64" s="67"/>
      <c r="C64" s="67"/>
      <c r="D64" s="67"/>
      <c r="E64" s="67"/>
      <c r="F64" s="67"/>
      <c r="G64" s="67"/>
      <c r="H64" s="67"/>
      <c r="I64" s="67"/>
      <c r="J64" s="67"/>
      <c r="K64" s="67"/>
      <c r="L64" s="67"/>
      <c r="M64" s="67"/>
    </row>
    <row r="65" spans="1:13" ht="12.75">
      <c r="A65" s="67"/>
      <c r="B65" s="67"/>
      <c r="C65" s="67"/>
      <c r="D65" s="67"/>
      <c r="E65" s="67"/>
      <c r="F65" s="67"/>
      <c r="G65" s="67"/>
      <c r="H65" s="67"/>
      <c r="I65" s="67"/>
      <c r="J65" s="67"/>
      <c r="K65" s="67"/>
      <c r="L65" s="67"/>
      <c r="M65" s="67"/>
    </row>
    <row r="66" spans="1:13" ht="12.75">
      <c r="A66" s="67"/>
      <c r="B66" s="67"/>
      <c r="C66" s="67"/>
      <c r="D66" s="67"/>
      <c r="E66" s="67"/>
      <c r="F66" s="67"/>
      <c r="G66" s="67"/>
      <c r="H66" s="67"/>
      <c r="I66" s="67"/>
      <c r="J66" s="67"/>
      <c r="K66" s="67"/>
      <c r="L66" s="67"/>
      <c r="M66" s="67"/>
    </row>
    <row r="67" spans="1:13" ht="12.75">
      <c r="A67" s="67"/>
      <c r="B67" s="67"/>
      <c r="C67" s="67"/>
      <c r="D67" s="67"/>
      <c r="E67" s="67"/>
      <c r="F67" s="67"/>
      <c r="G67" s="67"/>
      <c r="H67" s="67"/>
      <c r="I67" s="67"/>
      <c r="J67" s="67"/>
      <c r="K67" s="67"/>
      <c r="L67" s="67"/>
      <c r="M67" s="67"/>
    </row>
    <row r="68" spans="1:13" ht="12.75">
      <c r="A68" s="67"/>
      <c r="B68" s="67"/>
      <c r="C68" s="67"/>
      <c r="D68" s="67"/>
      <c r="E68" s="67"/>
      <c r="F68" s="67"/>
      <c r="G68" s="67"/>
      <c r="H68" s="67"/>
      <c r="I68" s="67"/>
      <c r="J68" s="67"/>
      <c r="K68" s="67"/>
      <c r="L68" s="67"/>
      <c r="M68" s="67"/>
    </row>
    <row r="69" spans="1:13" ht="12.75">
      <c r="A69" s="67"/>
      <c r="B69" s="67"/>
      <c r="C69" s="67"/>
      <c r="D69" s="67"/>
      <c r="E69" s="67"/>
      <c r="F69" s="67"/>
      <c r="G69" s="67"/>
      <c r="H69" s="67"/>
      <c r="I69" s="67"/>
      <c r="J69" s="67"/>
      <c r="K69" s="67"/>
      <c r="L69" s="67"/>
      <c r="M69" s="67"/>
    </row>
    <row r="70" spans="1:13" ht="12.75">
      <c r="A70" s="67"/>
      <c r="B70" s="67"/>
      <c r="C70" s="67"/>
      <c r="D70" s="67"/>
      <c r="E70" s="67"/>
      <c r="F70" s="67"/>
      <c r="G70" s="67"/>
      <c r="H70" s="67"/>
      <c r="I70" s="67"/>
      <c r="J70" s="67"/>
      <c r="K70" s="67"/>
      <c r="L70" s="67"/>
      <c r="M70" s="67"/>
    </row>
    <row r="71" spans="1:13" ht="12.75">
      <c r="A71" s="67"/>
      <c r="B71" s="67"/>
      <c r="C71" s="67"/>
      <c r="D71" s="67"/>
      <c r="E71" s="67"/>
      <c r="F71" s="67"/>
      <c r="G71" s="67"/>
      <c r="H71" s="67"/>
      <c r="I71" s="67"/>
      <c r="J71" s="67"/>
      <c r="K71" s="67"/>
      <c r="L71" s="67"/>
      <c r="M71" s="67"/>
    </row>
    <row r="72" spans="1:13" ht="12.75">
      <c r="A72" s="67"/>
      <c r="B72" s="67"/>
      <c r="C72" s="67"/>
      <c r="D72" s="67"/>
      <c r="E72" s="67"/>
      <c r="F72" s="67"/>
      <c r="G72" s="67"/>
      <c r="H72" s="67"/>
      <c r="I72" s="67"/>
      <c r="J72" s="67"/>
      <c r="K72" s="67"/>
      <c r="L72" s="67"/>
      <c r="M72" s="67"/>
    </row>
    <row r="73" spans="1:13" ht="12.75">
      <c r="A73" s="67"/>
      <c r="B73" s="67"/>
      <c r="C73" s="67"/>
      <c r="D73" s="67"/>
      <c r="E73" s="67"/>
      <c r="F73" s="67"/>
      <c r="G73" s="67"/>
      <c r="H73" s="67"/>
      <c r="I73" s="67"/>
      <c r="J73" s="67"/>
      <c r="K73" s="67"/>
      <c r="L73" s="67"/>
      <c r="M73" s="67"/>
    </row>
    <row r="74" spans="1:13" ht="12.75">
      <c r="A74" s="67"/>
      <c r="B74" s="67"/>
      <c r="C74" s="67"/>
      <c r="D74" s="67"/>
      <c r="E74" s="67"/>
      <c r="F74" s="67"/>
      <c r="G74" s="67"/>
      <c r="H74" s="67"/>
      <c r="I74" s="67"/>
      <c r="J74" s="67"/>
      <c r="K74" s="67"/>
      <c r="L74" s="67"/>
      <c r="M74" s="67"/>
    </row>
    <row r="75" spans="1:13" ht="12.75">
      <c r="A75" s="67"/>
      <c r="B75" s="67"/>
      <c r="C75" s="67"/>
      <c r="D75" s="67"/>
      <c r="E75" s="67"/>
      <c r="F75" s="67"/>
      <c r="G75" s="67"/>
      <c r="H75" s="67"/>
      <c r="I75" s="67"/>
      <c r="J75" s="67"/>
      <c r="K75" s="67"/>
      <c r="L75" s="67"/>
      <c r="M75" s="67"/>
    </row>
    <row r="76" spans="1:13" ht="12.75">
      <c r="A76" s="67"/>
      <c r="B76" s="67"/>
      <c r="C76" s="67"/>
      <c r="D76" s="67"/>
      <c r="E76" s="67"/>
      <c r="F76" s="67"/>
      <c r="G76" s="67"/>
      <c r="H76" s="67"/>
      <c r="I76" s="67"/>
      <c r="J76" s="67"/>
      <c r="K76" s="67"/>
      <c r="L76" s="67"/>
      <c r="M76" s="67"/>
    </row>
    <row r="77" spans="1:13" ht="12.75">
      <c r="A77" s="67"/>
      <c r="B77" s="67"/>
      <c r="C77" s="67"/>
      <c r="D77" s="67"/>
      <c r="E77" s="67"/>
      <c r="F77" s="67"/>
      <c r="G77" s="67"/>
      <c r="H77" s="67"/>
      <c r="I77" s="67"/>
      <c r="J77" s="67"/>
      <c r="K77" s="67"/>
      <c r="L77" s="67"/>
      <c r="M77" s="67"/>
    </row>
    <row r="78" spans="1:13" ht="12.75">
      <c r="A78" s="67"/>
      <c r="B78" s="67"/>
      <c r="C78" s="67"/>
      <c r="D78" s="67"/>
      <c r="E78" s="67"/>
      <c r="F78" s="67"/>
      <c r="G78" s="67"/>
      <c r="H78" s="67"/>
      <c r="I78" s="67"/>
      <c r="J78" s="67"/>
      <c r="K78" s="67"/>
      <c r="L78" s="67"/>
      <c r="M78" s="67"/>
    </row>
    <row r="79" spans="1:13" ht="12.75">
      <c r="A79" s="67"/>
      <c r="B79" s="67"/>
      <c r="C79" s="67"/>
      <c r="D79" s="67"/>
      <c r="E79" s="67"/>
      <c r="F79" s="67"/>
      <c r="G79" s="67"/>
      <c r="H79" s="67"/>
      <c r="I79" s="67"/>
      <c r="J79" s="67"/>
      <c r="K79" s="67"/>
      <c r="L79" s="67"/>
      <c r="M79" s="67"/>
    </row>
    <row r="80" spans="1:13" ht="12.75">
      <c r="A80" s="67"/>
      <c r="B80" s="67"/>
      <c r="C80" s="67"/>
      <c r="D80" s="67"/>
      <c r="E80" s="67"/>
      <c r="F80" s="67"/>
      <c r="G80" s="67"/>
      <c r="H80" s="67"/>
      <c r="I80" s="67"/>
      <c r="J80" s="67"/>
      <c r="K80" s="67"/>
      <c r="L80" s="67"/>
      <c r="M80" s="67"/>
    </row>
    <row r="81" spans="1:13" ht="12.75">
      <c r="A81" s="67"/>
      <c r="B81" s="67"/>
      <c r="C81" s="67"/>
      <c r="D81" s="67"/>
      <c r="E81" s="67"/>
      <c r="F81" s="67"/>
      <c r="G81" s="67"/>
      <c r="H81" s="67"/>
      <c r="I81" s="67"/>
      <c r="J81" s="67"/>
      <c r="K81" s="67"/>
      <c r="L81" s="67"/>
      <c r="M81" s="67"/>
    </row>
    <row r="82" spans="1:13" ht="12.75">
      <c r="A82" s="67"/>
      <c r="B82" s="67"/>
      <c r="C82" s="67"/>
      <c r="D82" s="67"/>
      <c r="E82" s="67"/>
      <c r="F82" s="67"/>
      <c r="G82" s="67"/>
      <c r="H82" s="67"/>
      <c r="I82" s="67"/>
      <c r="J82" s="67"/>
      <c r="K82" s="67"/>
      <c r="L82" s="67"/>
      <c r="M82" s="67"/>
    </row>
    <row r="83" spans="1:13" ht="12.75">
      <c r="A83" s="67"/>
      <c r="B83" s="67"/>
      <c r="C83" s="67"/>
      <c r="D83" s="67"/>
      <c r="E83" s="67"/>
      <c r="F83" s="67"/>
      <c r="G83" s="67"/>
      <c r="H83" s="67"/>
      <c r="I83" s="67"/>
      <c r="J83" s="67"/>
      <c r="K83" s="67"/>
      <c r="L83" s="67"/>
      <c r="M83" s="67"/>
    </row>
    <row r="84" spans="1:13" ht="12.75">
      <c r="A84" s="67"/>
      <c r="B84" s="67"/>
      <c r="C84" s="67"/>
      <c r="D84" s="67"/>
      <c r="E84" s="67"/>
      <c r="F84" s="67"/>
      <c r="G84" s="67"/>
      <c r="H84" s="67"/>
      <c r="I84" s="67"/>
      <c r="J84" s="67"/>
      <c r="K84" s="67"/>
      <c r="L84" s="67"/>
      <c r="M84" s="67"/>
    </row>
    <row r="85" spans="1:13" ht="12.75">
      <c r="A85" s="67"/>
      <c r="B85" s="67"/>
      <c r="C85" s="67"/>
      <c r="D85" s="67"/>
      <c r="E85" s="67"/>
      <c r="F85" s="67"/>
      <c r="G85" s="67"/>
      <c r="H85" s="67"/>
      <c r="I85" s="67"/>
      <c r="J85" s="67"/>
      <c r="K85" s="67"/>
      <c r="L85" s="67"/>
      <c r="M85" s="67"/>
    </row>
    <row r="86" spans="1:13" ht="12.75">
      <c r="A86" s="67"/>
      <c r="B86" s="67"/>
      <c r="C86" s="67"/>
      <c r="D86" s="67"/>
      <c r="E86" s="67"/>
      <c r="F86" s="67"/>
      <c r="G86" s="67"/>
      <c r="H86" s="67"/>
      <c r="I86" s="67"/>
      <c r="J86" s="67"/>
      <c r="K86" s="67"/>
      <c r="L86" s="67"/>
      <c r="M86" s="67"/>
    </row>
    <row r="87" spans="1:13" ht="12.75">
      <c r="A87" s="67"/>
      <c r="B87" s="67"/>
      <c r="C87" s="67"/>
      <c r="D87" s="67"/>
      <c r="E87" s="67"/>
      <c r="F87" s="67"/>
      <c r="G87" s="67"/>
      <c r="H87" s="67"/>
      <c r="I87" s="67"/>
      <c r="J87" s="67"/>
      <c r="K87" s="67"/>
      <c r="L87" s="67"/>
      <c r="M87" s="67"/>
    </row>
    <row r="88" spans="1:13" ht="12.75">
      <c r="A88" s="67"/>
      <c r="B88" s="67"/>
      <c r="C88" s="67"/>
      <c r="D88" s="67"/>
      <c r="E88" s="67"/>
      <c r="F88" s="67"/>
      <c r="G88" s="67"/>
      <c r="H88" s="67"/>
      <c r="I88" s="67"/>
      <c r="J88" s="67"/>
      <c r="K88" s="67"/>
      <c r="L88" s="67"/>
      <c r="M88" s="67"/>
    </row>
    <row r="89" spans="1:13" ht="12.75">
      <c r="A89" s="67"/>
      <c r="B89" s="67"/>
      <c r="C89" s="67"/>
      <c r="D89" s="67"/>
      <c r="E89" s="67"/>
      <c r="F89" s="67"/>
      <c r="G89" s="67"/>
      <c r="H89" s="67"/>
      <c r="I89" s="67"/>
      <c r="J89" s="67"/>
      <c r="K89" s="67"/>
      <c r="L89" s="67"/>
      <c r="M89" s="67"/>
    </row>
    <row r="90" spans="1:13" ht="12.75">
      <c r="A90" s="67"/>
      <c r="B90" s="67"/>
      <c r="C90" s="67"/>
      <c r="D90" s="67"/>
      <c r="E90" s="67"/>
      <c r="F90" s="67"/>
      <c r="G90" s="67"/>
      <c r="H90" s="67"/>
      <c r="I90" s="67"/>
      <c r="J90" s="67"/>
      <c r="K90" s="67"/>
      <c r="L90" s="67"/>
      <c r="M90" s="67"/>
    </row>
    <row r="91" spans="1:13" ht="12.75">
      <c r="A91" s="67"/>
      <c r="B91" s="67"/>
      <c r="C91" s="67"/>
      <c r="D91" s="67"/>
      <c r="E91" s="67"/>
      <c r="F91" s="67"/>
      <c r="G91" s="67"/>
      <c r="H91" s="67"/>
      <c r="I91" s="67"/>
      <c r="J91" s="67"/>
      <c r="K91" s="67"/>
      <c r="L91" s="67"/>
      <c r="M91" s="67"/>
    </row>
    <row r="92" spans="1:13" ht="12.75">
      <c r="A92" s="67"/>
      <c r="B92" s="67"/>
      <c r="C92" s="67"/>
      <c r="D92" s="67"/>
      <c r="E92" s="67"/>
      <c r="F92" s="67"/>
      <c r="G92" s="67"/>
      <c r="H92" s="67"/>
      <c r="I92" s="67"/>
      <c r="J92" s="67"/>
      <c r="K92" s="67"/>
      <c r="L92" s="67"/>
      <c r="M92" s="67"/>
    </row>
    <row r="93" spans="1:13" ht="12.75">
      <c r="A93" s="67"/>
      <c r="B93" s="67"/>
      <c r="C93" s="67"/>
      <c r="D93" s="67"/>
      <c r="E93" s="67"/>
      <c r="F93" s="67"/>
      <c r="G93" s="67"/>
      <c r="H93" s="67"/>
      <c r="I93" s="67"/>
      <c r="J93" s="67"/>
      <c r="K93" s="67"/>
      <c r="L93" s="67"/>
      <c r="M93" s="67"/>
    </row>
    <row r="94" spans="1:13" ht="12.75">
      <c r="A94" s="67"/>
      <c r="B94" s="67"/>
      <c r="C94" s="67"/>
      <c r="D94" s="67"/>
      <c r="E94" s="67"/>
      <c r="F94" s="67"/>
      <c r="G94" s="67"/>
      <c r="H94" s="67"/>
      <c r="I94" s="67"/>
      <c r="J94" s="67"/>
      <c r="K94" s="67"/>
      <c r="L94" s="67"/>
      <c r="M94" s="67"/>
    </row>
    <row r="95" spans="1:13" ht="12.75">
      <c r="A95" s="67"/>
      <c r="B95" s="67"/>
      <c r="C95" s="67"/>
      <c r="D95" s="67"/>
      <c r="E95" s="67"/>
      <c r="F95" s="67"/>
      <c r="G95" s="67"/>
      <c r="H95" s="67"/>
      <c r="I95" s="67"/>
      <c r="J95" s="67"/>
      <c r="K95" s="67"/>
      <c r="L95" s="67"/>
      <c r="M95" s="67"/>
    </row>
    <row r="96" spans="1:13" ht="12.75">
      <c r="A96" s="67"/>
      <c r="B96" s="67"/>
      <c r="C96" s="67"/>
      <c r="D96" s="67"/>
      <c r="E96" s="67"/>
      <c r="F96" s="67"/>
      <c r="G96" s="67"/>
      <c r="H96" s="67"/>
      <c r="I96" s="67"/>
      <c r="J96" s="67"/>
      <c r="K96" s="67"/>
      <c r="L96" s="67"/>
      <c r="M96" s="67"/>
    </row>
    <row r="97" spans="1:13" ht="12.75">
      <c r="A97" s="67"/>
      <c r="B97" s="67"/>
      <c r="C97" s="67"/>
      <c r="D97" s="67"/>
      <c r="E97" s="67"/>
      <c r="F97" s="67"/>
      <c r="G97" s="67"/>
      <c r="H97" s="67"/>
      <c r="I97" s="67"/>
      <c r="J97" s="67"/>
      <c r="K97" s="67"/>
      <c r="L97" s="67"/>
      <c r="M97" s="67"/>
    </row>
    <row r="98" spans="1:13" ht="12.75">
      <c r="A98" s="67"/>
      <c r="B98" s="67"/>
      <c r="C98" s="67"/>
      <c r="D98" s="67"/>
      <c r="E98" s="67"/>
      <c r="F98" s="67"/>
      <c r="G98" s="67"/>
      <c r="H98" s="67"/>
      <c r="I98" s="67"/>
      <c r="J98" s="67"/>
      <c r="K98" s="67"/>
      <c r="L98" s="67"/>
      <c r="M98" s="67"/>
    </row>
    <row r="99" spans="1:13" ht="12.75">
      <c r="A99" s="67"/>
      <c r="B99" s="67"/>
      <c r="C99" s="67"/>
      <c r="D99" s="67"/>
      <c r="E99" s="67"/>
      <c r="F99" s="67"/>
      <c r="G99" s="67"/>
      <c r="H99" s="67"/>
      <c r="I99" s="67"/>
      <c r="J99" s="67"/>
      <c r="K99" s="67"/>
      <c r="L99" s="67"/>
      <c r="M99" s="67"/>
    </row>
    <row r="100" spans="1:13" ht="12.75">
      <c r="A100" s="67"/>
      <c r="B100" s="67"/>
      <c r="C100" s="67"/>
      <c r="D100" s="67"/>
      <c r="E100" s="67"/>
      <c r="F100" s="67"/>
      <c r="G100" s="67"/>
      <c r="H100" s="67"/>
      <c r="I100" s="67"/>
      <c r="J100" s="67"/>
      <c r="K100" s="67"/>
      <c r="L100" s="67"/>
      <c r="M100" s="67"/>
    </row>
    <row r="101" spans="1:13" ht="12.75">
      <c r="A101" s="67"/>
      <c r="B101" s="67"/>
      <c r="C101" s="67"/>
      <c r="D101" s="67"/>
      <c r="E101" s="67"/>
      <c r="F101" s="67"/>
      <c r="G101" s="67"/>
      <c r="H101" s="67"/>
      <c r="I101" s="67"/>
      <c r="J101" s="67"/>
      <c r="K101" s="67"/>
      <c r="L101" s="67"/>
      <c r="M101" s="67"/>
    </row>
    <row r="102" spans="1:13" ht="12.75">
      <c r="A102" s="67"/>
      <c r="B102" s="67"/>
      <c r="C102" s="67"/>
      <c r="D102" s="67"/>
      <c r="E102" s="67"/>
      <c r="F102" s="67"/>
      <c r="G102" s="67"/>
      <c r="H102" s="67"/>
      <c r="I102" s="67"/>
      <c r="J102" s="67"/>
      <c r="K102" s="67"/>
      <c r="L102" s="67"/>
      <c r="M102" s="67"/>
    </row>
    <row r="103" spans="1:13" ht="12.75">
      <c r="A103" s="67"/>
      <c r="B103" s="67"/>
      <c r="C103" s="67"/>
      <c r="D103" s="67"/>
      <c r="E103" s="67"/>
      <c r="F103" s="67"/>
      <c r="G103" s="67"/>
      <c r="H103" s="67"/>
      <c r="I103" s="67"/>
      <c r="J103" s="67"/>
      <c r="K103" s="67"/>
      <c r="L103" s="67"/>
      <c r="M103" s="67"/>
    </row>
    <row r="104" spans="1:13" ht="12.75">
      <c r="A104" s="67"/>
      <c r="B104" s="67"/>
      <c r="C104" s="67"/>
      <c r="D104" s="67"/>
      <c r="E104" s="67"/>
      <c r="F104" s="67"/>
      <c r="G104" s="67"/>
      <c r="H104" s="67"/>
      <c r="I104" s="67"/>
      <c r="J104" s="67"/>
      <c r="K104" s="67"/>
      <c r="L104" s="67"/>
      <c r="M104" s="67"/>
    </row>
    <row r="105" spans="1:13" ht="12.75">
      <c r="A105" s="67"/>
      <c r="B105" s="67"/>
      <c r="C105" s="67"/>
      <c r="D105" s="67"/>
      <c r="E105" s="67"/>
      <c r="F105" s="67"/>
      <c r="G105" s="67"/>
      <c r="H105" s="67"/>
      <c r="I105" s="67"/>
      <c r="J105" s="67"/>
      <c r="K105" s="67"/>
      <c r="L105" s="67"/>
      <c r="M105" s="67"/>
    </row>
    <row r="106" spans="1:13" ht="12.75">
      <c r="A106" s="67"/>
      <c r="B106" s="67"/>
      <c r="C106" s="67"/>
      <c r="D106" s="67"/>
      <c r="E106" s="67"/>
      <c r="F106" s="67"/>
      <c r="G106" s="67"/>
      <c r="H106" s="67"/>
      <c r="I106" s="67"/>
      <c r="J106" s="67"/>
      <c r="K106" s="67"/>
      <c r="L106" s="67"/>
      <c r="M106" s="67"/>
    </row>
    <row r="107" spans="1:13" ht="12.75">
      <c r="A107" s="67"/>
      <c r="B107" s="67"/>
      <c r="C107" s="67"/>
      <c r="D107" s="67"/>
      <c r="E107" s="67"/>
      <c r="F107" s="67"/>
      <c r="G107" s="67"/>
      <c r="H107" s="67"/>
      <c r="I107" s="67"/>
      <c r="J107" s="67"/>
      <c r="K107" s="67"/>
      <c r="L107" s="67"/>
      <c r="M107" s="67"/>
    </row>
    <row r="108" spans="1:13" ht="12.75">
      <c r="A108" s="67"/>
      <c r="B108" s="67"/>
      <c r="C108" s="67"/>
      <c r="D108" s="67"/>
      <c r="E108" s="67"/>
      <c r="F108" s="67"/>
      <c r="G108" s="67"/>
      <c r="H108" s="67"/>
      <c r="I108" s="67"/>
      <c r="J108" s="67"/>
      <c r="K108" s="67"/>
      <c r="L108" s="67"/>
      <c r="M108" s="67"/>
    </row>
    <row r="109" spans="1:13" ht="12.75">
      <c r="A109" s="67"/>
      <c r="B109" s="67"/>
      <c r="C109" s="67"/>
      <c r="D109" s="67"/>
      <c r="E109" s="67"/>
      <c r="F109" s="67"/>
      <c r="G109" s="67"/>
      <c r="H109" s="67"/>
      <c r="I109" s="67"/>
      <c r="J109" s="67"/>
      <c r="K109" s="67"/>
      <c r="L109" s="67"/>
      <c r="M109" s="67"/>
    </row>
    <row r="110" spans="1:13" ht="12.75">
      <c r="A110" s="67"/>
      <c r="B110" s="67"/>
      <c r="C110" s="67"/>
      <c r="D110" s="67"/>
      <c r="E110" s="67"/>
      <c r="F110" s="67"/>
      <c r="G110" s="67"/>
      <c r="H110" s="67"/>
      <c r="I110" s="67"/>
      <c r="J110" s="67"/>
      <c r="K110" s="67"/>
      <c r="L110" s="67"/>
      <c r="M110" s="67"/>
    </row>
    <row r="111" spans="1:13" ht="12.75">
      <c r="A111" s="67"/>
      <c r="B111" s="67"/>
      <c r="C111" s="67"/>
      <c r="D111" s="67"/>
      <c r="E111" s="67"/>
      <c r="F111" s="67"/>
      <c r="G111" s="67"/>
      <c r="H111" s="67"/>
      <c r="I111" s="67"/>
      <c r="J111" s="67"/>
      <c r="K111" s="67"/>
      <c r="L111" s="67"/>
      <c r="M111" s="67"/>
    </row>
    <row r="112" spans="1:13" ht="12.75">
      <c r="A112" s="67"/>
      <c r="B112" s="67"/>
      <c r="C112" s="67"/>
      <c r="D112" s="67"/>
      <c r="E112" s="67"/>
      <c r="F112" s="67"/>
      <c r="G112" s="67"/>
      <c r="H112" s="67"/>
      <c r="I112" s="67"/>
      <c r="J112" s="67"/>
      <c r="K112" s="67"/>
      <c r="L112" s="67"/>
      <c r="M112" s="67"/>
    </row>
    <row r="113" spans="1:13" ht="12.75">
      <c r="A113" s="67"/>
      <c r="B113" s="67"/>
      <c r="C113" s="67"/>
      <c r="D113" s="67"/>
      <c r="E113" s="67"/>
      <c r="F113" s="67"/>
      <c r="G113" s="67"/>
      <c r="H113" s="67"/>
      <c r="I113" s="67"/>
      <c r="J113" s="67"/>
      <c r="K113" s="67"/>
      <c r="L113" s="67"/>
      <c r="M113" s="67"/>
    </row>
    <row r="114" spans="1:13" ht="12.75">
      <c r="A114" s="67"/>
      <c r="B114" s="67"/>
      <c r="C114" s="67"/>
      <c r="D114" s="67"/>
      <c r="E114" s="67"/>
      <c r="F114" s="67"/>
      <c r="G114" s="67"/>
      <c r="H114" s="67"/>
      <c r="I114" s="67"/>
      <c r="J114" s="67"/>
      <c r="K114" s="67"/>
      <c r="L114" s="67"/>
      <c r="M114" s="67"/>
    </row>
    <row r="115" spans="1:13" ht="12.75">
      <c r="A115" s="67"/>
      <c r="B115" s="67"/>
      <c r="C115" s="67"/>
      <c r="D115" s="67"/>
      <c r="E115" s="67"/>
      <c r="F115" s="67"/>
      <c r="G115" s="67"/>
      <c r="H115" s="67"/>
      <c r="I115" s="67"/>
      <c r="J115" s="67"/>
      <c r="K115" s="67"/>
      <c r="L115" s="67"/>
      <c r="M115" s="67"/>
    </row>
    <row r="116" spans="1:13" ht="12.75">
      <c r="A116" s="67"/>
      <c r="B116" s="67"/>
      <c r="C116" s="67"/>
      <c r="D116" s="67"/>
      <c r="E116" s="67"/>
      <c r="F116" s="67"/>
      <c r="G116" s="67"/>
      <c r="H116" s="67"/>
      <c r="I116" s="67"/>
      <c r="J116" s="67"/>
      <c r="K116" s="67"/>
      <c r="L116" s="67"/>
      <c r="M116" s="67"/>
    </row>
    <row r="117" spans="1:13" ht="12.75">
      <c r="A117" s="67"/>
      <c r="B117" s="67"/>
      <c r="C117" s="67"/>
      <c r="D117" s="67"/>
      <c r="E117" s="67"/>
      <c r="F117" s="67"/>
      <c r="G117" s="67"/>
      <c r="H117" s="67"/>
      <c r="I117" s="67"/>
      <c r="J117" s="67"/>
      <c r="K117" s="67"/>
      <c r="L117" s="67"/>
      <c r="M117" s="67"/>
    </row>
    <row r="118" spans="1:13" ht="12.75">
      <c r="A118" s="67"/>
      <c r="B118" s="67"/>
      <c r="C118" s="67"/>
      <c r="D118" s="67"/>
      <c r="E118" s="67"/>
      <c r="F118" s="67"/>
      <c r="G118" s="67"/>
      <c r="H118" s="67"/>
      <c r="I118" s="67"/>
      <c r="J118" s="67"/>
      <c r="K118" s="67"/>
      <c r="L118" s="67"/>
      <c r="M118" s="67"/>
    </row>
    <row r="119" spans="1:13" ht="12.75">
      <c r="A119" s="67"/>
      <c r="B119" s="67"/>
      <c r="C119" s="67"/>
      <c r="D119" s="67"/>
      <c r="E119" s="67"/>
      <c r="F119" s="67"/>
      <c r="G119" s="67"/>
      <c r="H119" s="67"/>
      <c r="I119" s="67"/>
      <c r="J119" s="67"/>
      <c r="K119" s="67"/>
      <c r="L119" s="67"/>
      <c r="M119" s="67"/>
    </row>
    <row r="120" spans="1:13" ht="12.75">
      <c r="A120" s="67"/>
      <c r="B120" s="67"/>
      <c r="C120" s="67"/>
      <c r="D120" s="67"/>
      <c r="E120" s="67"/>
      <c r="F120" s="67"/>
      <c r="G120" s="67"/>
      <c r="H120" s="67"/>
      <c r="I120" s="67"/>
      <c r="J120" s="67"/>
      <c r="K120" s="67"/>
      <c r="L120" s="67"/>
      <c r="M120" s="67"/>
    </row>
    <row r="121" spans="1:13" ht="12.75">
      <c r="A121" s="67"/>
      <c r="B121" s="67"/>
      <c r="C121" s="67"/>
      <c r="D121" s="67"/>
      <c r="E121" s="67"/>
      <c r="F121" s="67"/>
      <c r="G121" s="67"/>
      <c r="H121" s="67"/>
      <c r="I121" s="67"/>
      <c r="J121" s="67"/>
      <c r="K121" s="67"/>
      <c r="L121" s="67"/>
      <c r="M121" s="67"/>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P102"/>
  <sheetViews>
    <sheetView zoomScalePageLayoutView="0" workbookViewId="0" topLeftCell="A1">
      <pane xSplit="2" ySplit="6" topLeftCell="C7" activePane="bottomRight" state="frozen"/>
      <selection pane="topLeft" activeCell="L58" sqref="L58:L61"/>
      <selection pane="topRight" activeCell="L58" sqref="L58:L61"/>
      <selection pane="bottomLeft" activeCell="L58" sqref="L58:L61"/>
      <selection pane="bottomRight" activeCell="C10" sqref="C10:N10"/>
    </sheetView>
  </sheetViews>
  <sheetFormatPr defaultColWidth="9.140625" defaultRowHeight="12.75"/>
  <cols>
    <col min="1" max="1" width="6.00390625" style="67" customWidth="1"/>
    <col min="2" max="2" width="17.8515625" style="67" customWidth="1"/>
    <col min="3" max="4" width="9.8515625" style="67" customWidth="1"/>
    <col min="5" max="5" width="11.28125" style="67" customWidth="1"/>
    <col min="6" max="7" width="9.57421875" style="67" customWidth="1"/>
    <col min="8" max="8" width="9.8515625" style="67" customWidth="1"/>
    <col min="9" max="9" width="10.421875" style="67" customWidth="1"/>
    <col min="10" max="10" width="10.7109375" style="67" customWidth="1"/>
    <col min="11" max="14" width="9.140625" style="67" customWidth="1"/>
    <col min="15" max="15" width="10.7109375" style="67" bestFit="1" customWidth="1"/>
    <col min="16" max="16384" width="9.140625" style="67" customWidth="1"/>
  </cols>
  <sheetData>
    <row r="1" ht="11.25"/>
    <row r="2" spans="2:3" ht="11.25">
      <c r="B2" s="145" t="s">
        <v>91</v>
      </c>
      <c r="C2" s="83"/>
    </row>
    <row r="3" ht="11.25">
      <c r="C3" s="83"/>
    </row>
    <row r="4" spans="3:10" ht="11.25">
      <c r="C4" s="84"/>
      <c r="D4" s="84"/>
      <c r="E4" s="84"/>
      <c r="F4" s="84"/>
      <c r="G4" s="84"/>
      <c r="H4" s="85"/>
      <c r="I4" s="85"/>
      <c r="J4" s="82"/>
    </row>
    <row r="5" spans="3:10" ht="11.25">
      <c r="C5" s="84"/>
      <c r="D5" s="84"/>
      <c r="E5" s="84"/>
      <c r="F5" s="84"/>
      <c r="G5" s="84"/>
      <c r="H5" s="85"/>
      <c r="I5" s="85"/>
      <c r="J5" s="84"/>
    </row>
    <row r="6" spans="3:14" ht="9.75" customHeight="1">
      <c r="C6" s="120">
        <v>42886</v>
      </c>
      <c r="D6" s="86">
        <f aca="true" t="shared" si="0" ref="D6:N6">EOMONTH(C6,1)</f>
        <v>42916</v>
      </c>
      <c r="E6" s="86">
        <f t="shared" si="0"/>
        <v>42947</v>
      </c>
      <c r="F6" s="86">
        <f t="shared" si="0"/>
        <v>42978</v>
      </c>
      <c r="G6" s="86">
        <f t="shared" si="0"/>
        <v>43008</v>
      </c>
      <c r="H6" s="86">
        <f t="shared" si="0"/>
        <v>43039</v>
      </c>
      <c r="I6" s="86">
        <f t="shared" si="0"/>
        <v>43069</v>
      </c>
      <c r="J6" s="86">
        <f t="shared" si="0"/>
        <v>43100</v>
      </c>
      <c r="K6" s="86">
        <f t="shared" si="0"/>
        <v>43131</v>
      </c>
      <c r="L6" s="86">
        <f t="shared" si="0"/>
        <v>43159</v>
      </c>
      <c r="M6" s="86">
        <f t="shared" si="0"/>
        <v>43190</v>
      </c>
      <c r="N6" s="86">
        <f t="shared" si="0"/>
        <v>43220</v>
      </c>
    </row>
    <row r="7" spans="1:14" s="68" customFormat="1" ht="11.25">
      <c r="A7" s="87" t="s">
        <v>45</v>
      </c>
      <c r="C7" s="121">
        <v>3.1</v>
      </c>
      <c r="D7" s="121">
        <v>5.05</v>
      </c>
      <c r="E7" s="121">
        <v>3.41</v>
      </c>
      <c r="F7" s="121">
        <v>4.97</v>
      </c>
      <c r="G7" s="121">
        <v>3.38</v>
      </c>
      <c r="H7" s="121">
        <v>3.51</v>
      </c>
      <c r="I7" s="121">
        <v>3.34</v>
      </c>
      <c r="J7" s="121">
        <v>3.21</v>
      </c>
      <c r="K7" s="121">
        <v>4.33</v>
      </c>
      <c r="L7" s="121">
        <v>3.15</v>
      </c>
      <c r="M7" s="121">
        <v>6.94</v>
      </c>
      <c r="N7" s="121">
        <v>10.08</v>
      </c>
    </row>
    <row r="8" spans="1:14" ht="11.25">
      <c r="A8" s="67" t="s">
        <v>46</v>
      </c>
      <c r="C8" s="88">
        <v>0</v>
      </c>
      <c r="D8" s="88">
        <v>0</v>
      </c>
      <c r="E8" s="88">
        <v>0</v>
      </c>
      <c r="F8" s="88">
        <v>0</v>
      </c>
      <c r="G8" s="88">
        <v>0</v>
      </c>
      <c r="H8" s="88">
        <v>0</v>
      </c>
      <c r="I8" s="88">
        <v>0</v>
      </c>
      <c r="J8" s="88">
        <v>0</v>
      </c>
      <c r="K8" s="88">
        <v>0</v>
      </c>
      <c r="L8" s="88">
        <v>0</v>
      </c>
      <c r="M8" s="88">
        <v>0</v>
      </c>
      <c r="N8" s="88">
        <v>0</v>
      </c>
    </row>
    <row r="9" spans="1:14" ht="11.25">
      <c r="A9" s="67" t="s">
        <v>47</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2" t="s">
        <v>48</v>
      </c>
      <c r="C10" s="90">
        <f aca="true" t="shared" si="2" ref="C10:N10">+C7-C9</f>
        <v>3.1</v>
      </c>
      <c r="D10" s="90">
        <f t="shared" si="2"/>
        <v>5.05</v>
      </c>
      <c r="E10" s="90">
        <f t="shared" si="2"/>
        <v>3.41</v>
      </c>
      <c r="F10" s="90">
        <f t="shared" si="2"/>
        <v>4.97</v>
      </c>
      <c r="G10" s="90">
        <f t="shared" si="2"/>
        <v>3.38</v>
      </c>
      <c r="H10" s="90">
        <f t="shared" si="2"/>
        <v>3.51</v>
      </c>
      <c r="I10" s="90">
        <f t="shared" si="2"/>
        <v>3.34</v>
      </c>
      <c r="J10" s="90">
        <f t="shared" si="2"/>
        <v>3.21</v>
      </c>
      <c r="K10" s="90">
        <f t="shared" si="2"/>
        <v>4.33</v>
      </c>
      <c r="L10" s="90">
        <f t="shared" si="2"/>
        <v>3.15</v>
      </c>
      <c r="M10" s="90">
        <f t="shared" si="2"/>
        <v>6.94</v>
      </c>
      <c r="N10" s="90">
        <f t="shared" si="2"/>
        <v>10.08</v>
      </c>
    </row>
    <row r="11" ht="11.25"/>
    <row r="12" ht="11.25">
      <c r="A12" s="82" t="s">
        <v>49</v>
      </c>
    </row>
    <row r="13" spans="2:14" s="91" customFormat="1" ht="11.25">
      <c r="B13" s="91" t="s">
        <v>24</v>
      </c>
      <c r="C13" s="122">
        <v>0.195</v>
      </c>
      <c r="D13" s="122">
        <f>+C13</f>
        <v>0.195</v>
      </c>
      <c r="E13" s="122">
        <f aca="true" t="shared" si="3" ref="E13:M13">+D13</f>
        <v>0.195</v>
      </c>
      <c r="F13" s="122">
        <f t="shared" si="3"/>
        <v>0.195</v>
      </c>
      <c r="G13" s="122">
        <f t="shared" si="3"/>
        <v>0.195</v>
      </c>
      <c r="H13" s="122">
        <f t="shared" si="3"/>
        <v>0.195</v>
      </c>
      <c r="I13" s="122">
        <f t="shared" si="3"/>
        <v>0.195</v>
      </c>
      <c r="J13" s="122">
        <f t="shared" si="3"/>
        <v>0.195</v>
      </c>
      <c r="K13" s="122">
        <f t="shared" si="3"/>
        <v>0.195</v>
      </c>
      <c r="L13" s="122">
        <f t="shared" si="3"/>
        <v>0.195</v>
      </c>
      <c r="M13" s="122">
        <f t="shared" si="3"/>
        <v>0.195</v>
      </c>
      <c r="N13" s="122">
        <v>0</v>
      </c>
    </row>
    <row r="14" spans="2:14" s="91" customFormat="1" ht="11.25">
      <c r="B14" s="91" t="s">
        <v>28</v>
      </c>
      <c r="C14" s="122">
        <v>0.1782</v>
      </c>
      <c r="D14" s="122">
        <f aca="true" t="shared" si="4" ref="D14:N23">+C14</f>
        <v>0.1782</v>
      </c>
      <c r="E14" s="122">
        <f t="shared" si="4"/>
        <v>0.1782</v>
      </c>
      <c r="F14" s="122">
        <f t="shared" si="4"/>
        <v>0.1782</v>
      </c>
      <c r="G14" s="122">
        <f t="shared" si="4"/>
        <v>0.1782</v>
      </c>
      <c r="H14" s="122">
        <f t="shared" si="4"/>
        <v>0.1782</v>
      </c>
      <c r="I14" s="122">
        <f t="shared" si="4"/>
        <v>0.1782</v>
      </c>
      <c r="J14" s="122">
        <f t="shared" si="4"/>
        <v>0.1782</v>
      </c>
      <c r="K14" s="122">
        <f t="shared" si="4"/>
        <v>0.1782</v>
      </c>
      <c r="L14" s="122">
        <f t="shared" si="4"/>
        <v>0.1782</v>
      </c>
      <c r="M14" s="122">
        <f t="shared" si="4"/>
        <v>0.1782</v>
      </c>
      <c r="N14" s="122">
        <f t="shared" si="4"/>
        <v>0.1782</v>
      </c>
    </row>
    <row r="15" spans="2:14" s="91" customFormat="1" ht="11.25">
      <c r="B15" s="91" t="s">
        <v>50</v>
      </c>
      <c r="C15" s="122">
        <v>0</v>
      </c>
      <c r="D15" s="122">
        <f t="shared" si="4"/>
        <v>0</v>
      </c>
      <c r="E15" s="122">
        <f t="shared" si="4"/>
        <v>0</v>
      </c>
      <c r="F15" s="122">
        <f t="shared" si="4"/>
        <v>0</v>
      </c>
      <c r="G15" s="122">
        <f t="shared" si="4"/>
        <v>0</v>
      </c>
      <c r="H15" s="122">
        <f t="shared" si="4"/>
        <v>0</v>
      </c>
      <c r="I15" s="122">
        <f t="shared" si="4"/>
        <v>0</v>
      </c>
      <c r="J15" s="122">
        <f t="shared" si="4"/>
        <v>0</v>
      </c>
      <c r="K15" s="122">
        <f t="shared" si="4"/>
        <v>0</v>
      </c>
      <c r="L15" s="122">
        <f t="shared" si="4"/>
        <v>0</v>
      </c>
      <c r="M15" s="122">
        <f t="shared" si="4"/>
        <v>0</v>
      </c>
      <c r="N15" s="122">
        <f t="shared" si="4"/>
        <v>0</v>
      </c>
    </row>
    <row r="16" spans="2:14" s="91" customFormat="1" ht="11.25">
      <c r="B16" s="91" t="s">
        <v>51</v>
      </c>
      <c r="C16" s="122">
        <v>0.0165</v>
      </c>
      <c r="D16" s="122">
        <f t="shared" si="4"/>
        <v>0.0165</v>
      </c>
      <c r="E16" s="122">
        <f t="shared" si="4"/>
        <v>0.0165</v>
      </c>
      <c r="F16" s="122">
        <f t="shared" si="4"/>
        <v>0.0165</v>
      </c>
      <c r="G16" s="122">
        <f t="shared" si="4"/>
        <v>0.0165</v>
      </c>
      <c r="H16" s="122">
        <f t="shared" si="4"/>
        <v>0.0165</v>
      </c>
      <c r="I16" s="122">
        <f t="shared" si="4"/>
        <v>0.0165</v>
      </c>
      <c r="J16" s="122">
        <f t="shared" si="4"/>
        <v>0.0165</v>
      </c>
      <c r="K16" s="122">
        <f t="shared" si="4"/>
        <v>0.0165</v>
      </c>
      <c r="L16" s="122">
        <f t="shared" si="4"/>
        <v>0.0165</v>
      </c>
      <c r="M16" s="122">
        <f t="shared" si="4"/>
        <v>0.0165</v>
      </c>
      <c r="N16" s="122">
        <f t="shared" si="4"/>
        <v>0.0165</v>
      </c>
    </row>
    <row r="17" spans="2:14" s="91" customFormat="1" ht="11.25">
      <c r="B17" s="91" t="s">
        <v>52</v>
      </c>
      <c r="C17" s="122">
        <v>0.0449</v>
      </c>
      <c r="D17" s="122">
        <f t="shared" si="4"/>
        <v>0.0449</v>
      </c>
      <c r="E17" s="122">
        <f t="shared" si="4"/>
        <v>0.0449</v>
      </c>
      <c r="F17" s="122">
        <f t="shared" si="4"/>
        <v>0.0449</v>
      </c>
      <c r="G17" s="122">
        <f t="shared" si="4"/>
        <v>0.0449</v>
      </c>
      <c r="H17" s="122">
        <f t="shared" si="4"/>
        <v>0.0449</v>
      </c>
      <c r="I17" s="122">
        <f t="shared" si="4"/>
        <v>0.0449</v>
      </c>
      <c r="J17" s="122">
        <f t="shared" si="4"/>
        <v>0.0449</v>
      </c>
      <c r="K17" s="122">
        <f t="shared" si="4"/>
        <v>0.0449</v>
      </c>
      <c r="L17" s="122">
        <f t="shared" si="4"/>
        <v>0.0449</v>
      </c>
      <c r="M17" s="122">
        <f t="shared" si="4"/>
        <v>0.0449</v>
      </c>
      <c r="N17" s="122">
        <f t="shared" si="4"/>
        <v>0.0449</v>
      </c>
    </row>
    <row r="18" spans="2:14" s="91" customFormat="1" ht="11.25">
      <c r="B18" s="91" t="s">
        <v>53</v>
      </c>
      <c r="C18" s="122">
        <v>0.0075</v>
      </c>
      <c r="D18" s="122">
        <f t="shared" si="4"/>
        <v>0.0075</v>
      </c>
      <c r="E18" s="122">
        <f t="shared" si="4"/>
        <v>0.0075</v>
      </c>
      <c r="F18" s="122">
        <f t="shared" si="4"/>
        <v>0.0075</v>
      </c>
      <c r="G18" s="122">
        <f t="shared" si="4"/>
        <v>0.0075</v>
      </c>
      <c r="H18" s="122">
        <f t="shared" si="4"/>
        <v>0.0075</v>
      </c>
      <c r="I18" s="122">
        <f t="shared" si="4"/>
        <v>0.0075</v>
      </c>
      <c r="J18" s="122">
        <f t="shared" si="4"/>
        <v>0.0075</v>
      </c>
      <c r="K18" s="122">
        <f t="shared" si="4"/>
        <v>0.0075</v>
      </c>
      <c r="L18" s="122">
        <f t="shared" si="4"/>
        <v>0.0075</v>
      </c>
      <c r="M18" s="122">
        <f t="shared" si="4"/>
        <v>0.0075</v>
      </c>
      <c r="N18" s="122">
        <f t="shared" si="4"/>
        <v>0.0075</v>
      </c>
    </row>
    <row r="19" spans="2:14" s="91" customFormat="1" ht="11.25">
      <c r="B19" s="67" t="s">
        <v>54</v>
      </c>
      <c r="C19" s="122">
        <v>0</v>
      </c>
      <c r="D19" s="122">
        <f t="shared" si="4"/>
        <v>0</v>
      </c>
      <c r="E19" s="122">
        <f t="shared" si="4"/>
        <v>0</v>
      </c>
      <c r="F19" s="122">
        <f t="shared" si="4"/>
        <v>0</v>
      </c>
      <c r="G19" s="122">
        <f t="shared" si="4"/>
        <v>0</v>
      </c>
      <c r="H19" s="122">
        <f t="shared" si="4"/>
        <v>0</v>
      </c>
      <c r="I19" s="122">
        <f t="shared" si="4"/>
        <v>0</v>
      </c>
      <c r="J19" s="122">
        <f t="shared" si="4"/>
        <v>0</v>
      </c>
      <c r="K19" s="122">
        <f t="shared" si="4"/>
        <v>0</v>
      </c>
      <c r="L19" s="122">
        <f t="shared" si="4"/>
        <v>0</v>
      </c>
      <c r="M19" s="122">
        <f t="shared" si="4"/>
        <v>0</v>
      </c>
      <c r="N19" s="122">
        <f t="shared" si="4"/>
        <v>0</v>
      </c>
    </row>
    <row r="20" spans="2:14" s="91" customFormat="1" ht="11.25">
      <c r="B20" s="67" t="s">
        <v>22</v>
      </c>
      <c r="C20" s="122">
        <v>0.1768</v>
      </c>
      <c r="D20" s="122">
        <f t="shared" si="4"/>
        <v>0.1768</v>
      </c>
      <c r="E20" s="122">
        <f t="shared" si="4"/>
        <v>0.1768</v>
      </c>
      <c r="F20" s="122">
        <f t="shared" si="4"/>
        <v>0.1768</v>
      </c>
      <c r="G20" s="122">
        <f t="shared" si="4"/>
        <v>0.1768</v>
      </c>
      <c r="H20" s="122">
        <f t="shared" si="4"/>
        <v>0.1768</v>
      </c>
      <c r="I20" s="122">
        <f t="shared" si="4"/>
        <v>0.1768</v>
      </c>
      <c r="J20" s="122">
        <f t="shared" si="4"/>
        <v>0.1768</v>
      </c>
      <c r="K20" s="122">
        <f t="shared" si="4"/>
        <v>0.1768</v>
      </c>
      <c r="L20" s="122">
        <f t="shared" si="4"/>
        <v>0.1768</v>
      </c>
      <c r="M20" s="122">
        <f t="shared" si="4"/>
        <v>0.1768</v>
      </c>
      <c r="N20" s="122">
        <f t="shared" si="4"/>
        <v>0.1768</v>
      </c>
    </row>
    <row r="21" spans="2:14" s="91" customFormat="1" ht="11.25">
      <c r="B21" s="91" t="s">
        <v>55</v>
      </c>
      <c r="C21" s="122">
        <v>0</v>
      </c>
      <c r="D21" s="122">
        <f t="shared" si="4"/>
        <v>0</v>
      </c>
      <c r="E21" s="122">
        <f t="shared" si="4"/>
        <v>0</v>
      </c>
      <c r="F21" s="122">
        <f t="shared" si="4"/>
        <v>0</v>
      </c>
      <c r="G21" s="122">
        <f t="shared" si="4"/>
        <v>0</v>
      </c>
      <c r="H21" s="122">
        <f t="shared" si="4"/>
        <v>0</v>
      </c>
      <c r="I21" s="122">
        <f t="shared" si="4"/>
        <v>0</v>
      </c>
      <c r="J21" s="122">
        <f t="shared" si="4"/>
        <v>0</v>
      </c>
      <c r="K21" s="122">
        <f t="shared" si="4"/>
        <v>0</v>
      </c>
      <c r="L21" s="122">
        <f t="shared" si="4"/>
        <v>0</v>
      </c>
      <c r="M21" s="122">
        <f t="shared" si="4"/>
        <v>0</v>
      </c>
      <c r="N21" s="122">
        <f t="shared" si="4"/>
        <v>0</v>
      </c>
    </row>
    <row r="22" spans="2:14" s="91" customFormat="1" ht="11.25">
      <c r="B22" s="91" t="s">
        <v>56</v>
      </c>
      <c r="C22" s="122">
        <v>0.05930000000000013</v>
      </c>
      <c r="D22" s="122">
        <f t="shared" si="4"/>
        <v>0.05930000000000013</v>
      </c>
      <c r="E22" s="122">
        <f t="shared" si="4"/>
        <v>0.05930000000000013</v>
      </c>
      <c r="F22" s="122">
        <f t="shared" si="4"/>
        <v>0.05930000000000013</v>
      </c>
      <c r="G22" s="122">
        <f t="shared" si="4"/>
        <v>0.05930000000000013</v>
      </c>
      <c r="H22" s="122">
        <f t="shared" si="4"/>
        <v>0.05930000000000013</v>
      </c>
      <c r="I22" s="122">
        <f t="shared" si="4"/>
        <v>0.05930000000000013</v>
      </c>
      <c r="J22" s="122">
        <f t="shared" si="4"/>
        <v>0.05930000000000013</v>
      </c>
      <c r="K22" s="122">
        <f t="shared" si="4"/>
        <v>0.05930000000000013</v>
      </c>
      <c r="L22" s="122">
        <f t="shared" si="4"/>
        <v>0.05930000000000013</v>
      </c>
      <c r="M22" s="122">
        <f t="shared" si="4"/>
        <v>0.05930000000000013</v>
      </c>
      <c r="N22" s="122">
        <f t="shared" si="4"/>
        <v>0.05930000000000013</v>
      </c>
    </row>
    <row r="23" spans="2:14" s="91" customFormat="1" ht="11.25">
      <c r="B23" s="91" t="s">
        <v>57</v>
      </c>
      <c r="C23" s="123">
        <v>0.3218</v>
      </c>
      <c r="D23" s="122">
        <f t="shared" si="4"/>
        <v>0.3218</v>
      </c>
      <c r="E23" s="122">
        <f t="shared" si="4"/>
        <v>0.3218</v>
      </c>
      <c r="F23" s="122">
        <f t="shared" si="4"/>
        <v>0.3218</v>
      </c>
      <c r="G23" s="122">
        <f t="shared" si="4"/>
        <v>0.3218</v>
      </c>
      <c r="H23" s="122">
        <f t="shared" si="4"/>
        <v>0.3218</v>
      </c>
      <c r="I23" s="122">
        <f t="shared" si="4"/>
        <v>0.3218</v>
      </c>
      <c r="J23" s="122">
        <f t="shared" si="4"/>
        <v>0.3218</v>
      </c>
      <c r="K23" s="122">
        <f t="shared" si="4"/>
        <v>0.3218</v>
      </c>
      <c r="L23" s="122">
        <f t="shared" si="4"/>
        <v>0.3218</v>
      </c>
      <c r="M23" s="122">
        <f t="shared" si="4"/>
        <v>0.3218</v>
      </c>
      <c r="N23" s="122">
        <v>0.5168</v>
      </c>
    </row>
    <row r="24" spans="3:14" ht="11.25">
      <c r="C24" s="92">
        <v>1</v>
      </c>
      <c r="D24" s="92">
        <v>1</v>
      </c>
      <c r="E24" s="92">
        <v>1</v>
      </c>
      <c r="F24" s="92">
        <v>1</v>
      </c>
      <c r="G24" s="92">
        <v>1</v>
      </c>
      <c r="H24" s="92">
        <v>1</v>
      </c>
      <c r="I24" s="92">
        <v>1</v>
      </c>
      <c r="J24" s="92">
        <v>1</v>
      </c>
      <c r="K24" s="92">
        <v>1</v>
      </c>
      <c r="L24" s="92">
        <v>1</v>
      </c>
      <c r="M24" s="92">
        <v>1</v>
      </c>
      <c r="N24" s="92">
        <v>1</v>
      </c>
    </row>
    <row r="26" ht="11.25">
      <c r="A26" s="82" t="s">
        <v>58</v>
      </c>
    </row>
    <row r="27" spans="2:14" ht="11.25">
      <c r="B27" s="67" t="s">
        <v>24</v>
      </c>
      <c r="C27" s="77">
        <f>+C$10*C13</f>
        <v>0.6045</v>
      </c>
      <c r="D27" s="77">
        <f aca="true" t="shared" si="5" ref="D27:N27">+D$10*D13</f>
        <v>0.98475</v>
      </c>
      <c r="E27" s="77">
        <f t="shared" si="5"/>
        <v>0.66495</v>
      </c>
      <c r="F27" s="77">
        <f t="shared" si="5"/>
        <v>0.96915</v>
      </c>
      <c r="G27" s="77">
        <f t="shared" si="5"/>
        <v>0.6591</v>
      </c>
      <c r="H27" s="77">
        <f t="shared" si="5"/>
        <v>0.68445</v>
      </c>
      <c r="I27" s="77">
        <f t="shared" si="5"/>
        <v>0.6513</v>
      </c>
      <c r="J27" s="77">
        <f t="shared" si="5"/>
        <v>0.62595</v>
      </c>
      <c r="K27" s="77">
        <f t="shared" si="5"/>
        <v>0.84435</v>
      </c>
      <c r="L27" s="77">
        <f t="shared" si="5"/>
        <v>0.61425</v>
      </c>
      <c r="M27" s="77">
        <f t="shared" si="5"/>
        <v>1.3533000000000002</v>
      </c>
      <c r="N27" s="77">
        <f t="shared" si="5"/>
        <v>0</v>
      </c>
    </row>
    <row r="28" spans="2:14" ht="11.25">
      <c r="B28" s="67" t="s">
        <v>28</v>
      </c>
      <c r="C28" s="77">
        <f aca="true" t="shared" si="6" ref="C28:N28">+C$10*C14</f>
        <v>0.55242</v>
      </c>
      <c r="D28" s="77">
        <f t="shared" si="6"/>
        <v>0.89991</v>
      </c>
      <c r="E28" s="77">
        <f t="shared" si="6"/>
        <v>0.607662</v>
      </c>
      <c r="F28" s="77">
        <f t="shared" si="6"/>
        <v>0.8856539999999999</v>
      </c>
      <c r="G28" s="77">
        <f t="shared" si="6"/>
        <v>0.602316</v>
      </c>
      <c r="H28" s="77">
        <f t="shared" si="6"/>
        <v>0.625482</v>
      </c>
      <c r="I28" s="77">
        <f t="shared" si="6"/>
        <v>0.5951879999999999</v>
      </c>
      <c r="J28" s="77">
        <f t="shared" si="6"/>
        <v>0.572022</v>
      </c>
      <c r="K28" s="77">
        <f t="shared" si="6"/>
        <v>0.771606</v>
      </c>
      <c r="L28" s="77">
        <f t="shared" si="6"/>
        <v>0.56133</v>
      </c>
      <c r="M28" s="77">
        <f t="shared" si="6"/>
        <v>1.2367080000000001</v>
      </c>
      <c r="N28" s="77">
        <f t="shared" si="6"/>
        <v>1.796256</v>
      </c>
    </row>
    <row r="29" spans="2:14" ht="11.25">
      <c r="B29" s="67" t="s">
        <v>50</v>
      </c>
      <c r="C29" s="77">
        <f aca="true" t="shared" si="7" ref="C29:N29">+C$10*C15</f>
        <v>0</v>
      </c>
      <c r="D29" s="77">
        <f t="shared" si="7"/>
        <v>0</v>
      </c>
      <c r="E29" s="77">
        <f t="shared" si="7"/>
        <v>0</v>
      </c>
      <c r="F29" s="77">
        <f t="shared" si="7"/>
        <v>0</v>
      </c>
      <c r="G29" s="77">
        <f t="shared" si="7"/>
        <v>0</v>
      </c>
      <c r="H29" s="77">
        <f t="shared" si="7"/>
        <v>0</v>
      </c>
      <c r="I29" s="77">
        <f t="shared" si="7"/>
        <v>0</v>
      </c>
      <c r="J29" s="77">
        <f t="shared" si="7"/>
        <v>0</v>
      </c>
      <c r="K29" s="77">
        <f t="shared" si="7"/>
        <v>0</v>
      </c>
      <c r="L29" s="77">
        <f t="shared" si="7"/>
        <v>0</v>
      </c>
      <c r="M29" s="77">
        <f t="shared" si="7"/>
        <v>0</v>
      </c>
      <c r="N29" s="77">
        <f t="shared" si="7"/>
        <v>0</v>
      </c>
    </row>
    <row r="30" spans="2:14" ht="11.25">
      <c r="B30" s="67" t="s">
        <v>51</v>
      </c>
      <c r="C30" s="77">
        <f aca="true" t="shared" si="8" ref="C30:N30">+C$10*C16</f>
        <v>0.05115</v>
      </c>
      <c r="D30" s="77">
        <f t="shared" si="8"/>
        <v>0.083325</v>
      </c>
      <c r="E30" s="77">
        <f t="shared" si="8"/>
        <v>0.056265</v>
      </c>
      <c r="F30" s="77">
        <f t="shared" si="8"/>
        <v>0.082005</v>
      </c>
      <c r="G30" s="77">
        <f t="shared" si="8"/>
        <v>0.05577</v>
      </c>
      <c r="H30" s="77">
        <f t="shared" si="8"/>
        <v>0.057915</v>
      </c>
      <c r="I30" s="77">
        <f t="shared" si="8"/>
        <v>0.05511</v>
      </c>
      <c r="J30" s="77">
        <f t="shared" si="8"/>
        <v>0.052965000000000005</v>
      </c>
      <c r="K30" s="77">
        <f t="shared" si="8"/>
        <v>0.07144500000000001</v>
      </c>
      <c r="L30" s="77">
        <f t="shared" si="8"/>
        <v>0.051975</v>
      </c>
      <c r="M30" s="77">
        <f t="shared" si="8"/>
        <v>0.11451000000000001</v>
      </c>
      <c r="N30" s="77">
        <f t="shared" si="8"/>
        <v>0.16632</v>
      </c>
    </row>
    <row r="31" spans="2:14" ht="11.25">
      <c r="B31" s="67" t="s">
        <v>52</v>
      </c>
      <c r="C31" s="77">
        <f aca="true" t="shared" si="9" ref="C31:N31">+C$10*C17</f>
        <v>0.13919</v>
      </c>
      <c r="D31" s="77">
        <f t="shared" si="9"/>
        <v>0.226745</v>
      </c>
      <c r="E31" s="77">
        <f t="shared" si="9"/>
        <v>0.15310900000000002</v>
      </c>
      <c r="F31" s="77">
        <f t="shared" si="9"/>
        <v>0.223153</v>
      </c>
      <c r="G31" s="77">
        <f t="shared" si="9"/>
        <v>0.151762</v>
      </c>
      <c r="H31" s="77">
        <f t="shared" si="9"/>
        <v>0.157599</v>
      </c>
      <c r="I31" s="77">
        <f t="shared" si="9"/>
        <v>0.149966</v>
      </c>
      <c r="J31" s="77">
        <f t="shared" si="9"/>
        <v>0.144129</v>
      </c>
      <c r="K31" s="77">
        <f t="shared" si="9"/>
        <v>0.194417</v>
      </c>
      <c r="L31" s="77">
        <f t="shared" si="9"/>
        <v>0.141435</v>
      </c>
      <c r="M31" s="77">
        <f t="shared" si="9"/>
        <v>0.31160600000000005</v>
      </c>
      <c r="N31" s="77">
        <f t="shared" si="9"/>
        <v>0.45259200000000005</v>
      </c>
    </row>
    <row r="32" spans="2:14" ht="11.25">
      <c r="B32" s="67" t="s">
        <v>53</v>
      </c>
      <c r="C32" s="77">
        <f aca="true" t="shared" si="10" ref="C32:N32">+C$10*C18</f>
        <v>0.02325</v>
      </c>
      <c r="D32" s="77">
        <f t="shared" si="10"/>
        <v>0.037875</v>
      </c>
      <c r="E32" s="77">
        <f t="shared" si="10"/>
        <v>0.025575</v>
      </c>
      <c r="F32" s="77">
        <f t="shared" si="10"/>
        <v>0.037274999999999996</v>
      </c>
      <c r="G32" s="77">
        <f t="shared" si="10"/>
        <v>0.025349999999999998</v>
      </c>
      <c r="H32" s="77">
        <f t="shared" si="10"/>
        <v>0.026324999999999998</v>
      </c>
      <c r="I32" s="77">
        <f t="shared" si="10"/>
        <v>0.02505</v>
      </c>
      <c r="J32" s="77">
        <f t="shared" si="10"/>
        <v>0.024075</v>
      </c>
      <c r="K32" s="77">
        <f t="shared" si="10"/>
        <v>0.032475</v>
      </c>
      <c r="L32" s="77">
        <f t="shared" si="10"/>
        <v>0.023625</v>
      </c>
      <c r="M32" s="77">
        <f t="shared" si="10"/>
        <v>0.05205</v>
      </c>
      <c r="N32" s="77">
        <f t="shared" si="10"/>
        <v>0.0756</v>
      </c>
    </row>
    <row r="33" spans="2:14" ht="11.25">
      <c r="B33" s="67" t="s">
        <v>54</v>
      </c>
      <c r="C33" s="77">
        <f aca="true" t="shared" si="11" ref="C33:N33">+C$10*C19</f>
        <v>0</v>
      </c>
      <c r="D33" s="77">
        <f t="shared" si="11"/>
        <v>0</v>
      </c>
      <c r="E33" s="77">
        <f t="shared" si="11"/>
        <v>0</v>
      </c>
      <c r="F33" s="77">
        <f t="shared" si="11"/>
        <v>0</v>
      </c>
      <c r="G33" s="77">
        <f t="shared" si="11"/>
        <v>0</v>
      </c>
      <c r="H33" s="77">
        <f t="shared" si="11"/>
        <v>0</v>
      </c>
      <c r="I33" s="77">
        <f t="shared" si="11"/>
        <v>0</v>
      </c>
      <c r="J33" s="77">
        <f t="shared" si="11"/>
        <v>0</v>
      </c>
      <c r="K33" s="77">
        <f t="shared" si="11"/>
        <v>0</v>
      </c>
      <c r="L33" s="77">
        <f t="shared" si="11"/>
        <v>0</v>
      </c>
      <c r="M33" s="77">
        <f t="shared" si="11"/>
        <v>0</v>
      </c>
      <c r="N33" s="77">
        <f t="shared" si="11"/>
        <v>0</v>
      </c>
    </row>
    <row r="34" spans="2:14" ht="11.25">
      <c r="B34" s="67" t="s">
        <v>22</v>
      </c>
      <c r="C34" s="77">
        <f aca="true" t="shared" si="12" ref="C34:N34">+C$10*C20</f>
        <v>0.54808</v>
      </c>
      <c r="D34" s="77">
        <f t="shared" si="12"/>
        <v>0.8928400000000001</v>
      </c>
      <c r="E34" s="77">
        <f t="shared" si="12"/>
        <v>0.6028880000000001</v>
      </c>
      <c r="F34" s="77">
        <f t="shared" si="12"/>
        <v>0.878696</v>
      </c>
      <c r="G34" s="77">
        <f t="shared" si="12"/>
        <v>0.597584</v>
      </c>
      <c r="H34" s="77">
        <f t="shared" si="12"/>
        <v>0.620568</v>
      </c>
      <c r="I34" s="77">
        <f t="shared" si="12"/>
        <v>0.590512</v>
      </c>
      <c r="J34" s="77">
        <f t="shared" si="12"/>
        <v>0.567528</v>
      </c>
      <c r="K34" s="77">
        <f t="shared" si="12"/>
        <v>0.7655440000000001</v>
      </c>
      <c r="L34" s="77">
        <f t="shared" si="12"/>
        <v>0.55692</v>
      </c>
      <c r="M34" s="77">
        <f t="shared" si="12"/>
        <v>1.226992</v>
      </c>
      <c r="N34" s="77">
        <f t="shared" si="12"/>
        <v>1.7821440000000002</v>
      </c>
    </row>
    <row r="35" spans="2:14" ht="11.25">
      <c r="B35" s="67" t="s">
        <v>55</v>
      </c>
      <c r="C35" s="77">
        <f aca="true" t="shared" si="13" ref="C35:N35">+C$10*C21</f>
        <v>0</v>
      </c>
      <c r="D35" s="77">
        <f t="shared" si="13"/>
        <v>0</v>
      </c>
      <c r="E35" s="77">
        <f t="shared" si="13"/>
        <v>0</v>
      </c>
      <c r="F35" s="77">
        <f t="shared" si="13"/>
        <v>0</v>
      </c>
      <c r="G35" s="77">
        <f t="shared" si="13"/>
        <v>0</v>
      </c>
      <c r="H35" s="77">
        <f t="shared" si="13"/>
        <v>0</v>
      </c>
      <c r="I35" s="77">
        <f t="shared" si="13"/>
        <v>0</v>
      </c>
      <c r="J35" s="77">
        <f t="shared" si="13"/>
        <v>0</v>
      </c>
      <c r="K35" s="77">
        <f t="shared" si="13"/>
        <v>0</v>
      </c>
      <c r="L35" s="77">
        <f t="shared" si="13"/>
        <v>0</v>
      </c>
      <c r="M35" s="77">
        <f t="shared" si="13"/>
        <v>0</v>
      </c>
      <c r="N35" s="77">
        <f t="shared" si="13"/>
        <v>0</v>
      </c>
    </row>
    <row r="36" spans="2:14" ht="11.25">
      <c r="B36" s="67" t="s">
        <v>56</v>
      </c>
      <c r="C36" s="77">
        <f aca="true" t="shared" si="14" ref="C36:N36">+C$10*C22</f>
        <v>0.1838300000000004</v>
      </c>
      <c r="D36" s="77">
        <f t="shared" si="14"/>
        <v>0.29946500000000065</v>
      </c>
      <c r="E36" s="77">
        <f t="shared" si="14"/>
        <v>0.20221300000000045</v>
      </c>
      <c r="F36" s="77">
        <f t="shared" si="14"/>
        <v>0.2947210000000006</v>
      </c>
      <c r="G36" s="77">
        <f t="shared" si="14"/>
        <v>0.20043400000000045</v>
      </c>
      <c r="H36" s="77">
        <f t="shared" si="14"/>
        <v>0.20814300000000044</v>
      </c>
      <c r="I36" s="77">
        <f t="shared" si="14"/>
        <v>0.19806200000000043</v>
      </c>
      <c r="J36" s="77">
        <f t="shared" si="14"/>
        <v>0.1903530000000004</v>
      </c>
      <c r="K36" s="77">
        <f t="shared" si="14"/>
        <v>0.2567690000000006</v>
      </c>
      <c r="L36" s="77">
        <f t="shared" si="14"/>
        <v>0.1867950000000004</v>
      </c>
      <c r="M36" s="77">
        <f t="shared" si="14"/>
        <v>0.4115420000000009</v>
      </c>
      <c r="N36" s="77">
        <f t="shared" si="14"/>
        <v>0.5977440000000013</v>
      </c>
    </row>
    <row r="37" spans="2:14" ht="11.25">
      <c r="B37" s="67" t="s">
        <v>57</v>
      </c>
      <c r="C37" s="89">
        <f aca="true" t="shared" si="15" ref="C37:N37">+C$10*C23</f>
        <v>0.9975799999999999</v>
      </c>
      <c r="D37" s="89">
        <f t="shared" si="15"/>
        <v>1.62509</v>
      </c>
      <c r="E37" s="89">
        <f t="shared" si="15"/>
        <v>1.097338</v>
      </c>
      <c r="F37" s="89">
        <f t="shared" si="15"/>
        <v>1.5993459999999997</v>
      </c>
      <c r="G37" s="89">
        <f t="shared" si="15"/>
        <v>1.0876839999999999</v>
      </c>
      <c r="H37" s="89">
        <f t="shared" si="15"/>
        <v>1.1295179999999998</v>
      </c>
      <c r="I37" s="89">
        <f t="shared" si="15"/>
        <v>1.0748119999999999</v>
      </c>
      <c r="J37" s="89">
        <f t="shared" si="15"/>
        <v>1.032978</v>
      </c>
      <c r="K37" s="89">
        <f t="shared" si="15"/>
        <v>1.393394</v>
      </c>
      <c r="L37" s="89">
        <f t="shared" si="15"/>
        <v>1.0136699999999998</v>
      </c>
      <c r="M37" s="89">
        <f t="shared" si="15"/>
        <v>2.233292</v>
      </c>
      <c r="N37" s="89">
        <f t="shared" si="15"/>
        <v>5.209344000000001</v>
      </c>
    </row>
    <row r="38" spans="3:14" ht="11.25">
      <c r="C38" s="77">
        <f>SUM(C27:C37)</f>
        <v>3.1000000000000005</v>
      </c>
      <c r="D38" s="77">
        <f aca="true" t="shared" si="16" ref="D38:N38">SUM(D27:D37)</f>
        <v>5.050000000000001</v>
      </c>
      <c r="E38" s="77">
        <f t="shared" si="16"/>
        <v>3.41</v>
      </c>
      <c r="F38" s="77">
        <f t="shared" si="16"/>
        <v>4.970000000000001</v>
      </c>
      <c r="G38" s="77">
        <f t="shared" si="16"/>
        <v>3.3800000000000003</v>
      </c>
      <c r="H38" s="77">
        <f t="shared" si="16"/>
        <v>3.5100000000000007</v>
      </c>
      <c r="I38" s="77">
        <f t="shared" si="16"/>
        <v>3.3400000000000007</v>
      </c>
      <c r="J38" s="77">
        <f t="shared" si="16"/>
        <v>3.2100000000000004</v>
      </c>
      <c r="K38" s="77">
        <f t="shared" si="16"/>
        <v>4.330000000000001</v>
      </c>
      <c r="L38" s="77">
        <f t="shared" si="16"/>
        <v>3.1500000000000004</v>
      </c>
      <c r="M38" s="77">
        <f t="shared" si="16"/>
        <v>6.940000000000001</v>
      </c>
      <c r="N38" s="77">
        <f t="shared" si="16"/>
        <v>10.080000000000002</v>
      </c>
    </row>
    <row r="40" ht="11.25">
      <c r="A40" s="82" t="s">
        <v>59</v>
      </c>
    </row>
    <row r="41" spans="2:14" ht="11.25">
      <c r="B41" s="67" t="s">
        <v>24</v>
      </c>
      <c r="C41" s="93">
        <v>1</v>
      </c>
      <c r="D41" s="94">
        <v>1</v>
      </c>
      <c r="E41" s="94">
        <v>1</v>
      </c>
      <c r="F41" s="94">
        <v>1</v>
      </c>
      <c r="G41" s="94">
        <v>1</v>
      </c>
      <c r="H41" s="94">
        <v>1</v>
      </c>
      <c r="I41" s="94">
        <v>1</v>
      </c>
      <c r="J41" s="94">
        <v>1</v>
      </c>
      <c r="K41" s="94">
        <v>1</v>
      </c>
      <c r="L41" s="94">
        <v>1</v>
      </c>
      <c r="M41" s="94">
        <v>1</v>
      </c>
      <c r="N41" s="94">
        <v>1</v>
      </c>
    </row>
    <row r="42" spans="2:14" ht="11.25">
      <c r="B42" s="67" t="s">
        <v>28</v>
      </c>
      <c r="C42" s="93">
        <v>1</v>
      </c>
      <c r="D42" s="94">
        <v>1</v>
      </c>
      <c r="E42" s="94">
        <v>1</v>
      </c>
      <c r="F42" s="94">
        <v>1</v>
      </c>
      <c r="G42" s="94">
        <v>1</v>
      </c>
      <c r="H42" s="94">
        <v>1</v>
      </c>
      <c r="I42" s="94">
        <v>1</v>
      </c>
      <c r="J42" s="94">
        <v>1</v>
      </c>
      <c r="K42" s="94">
        <v>1</v>
      </c>
      <c r="L42" s="94">
        <v>1</v>
      </c>
      <c r="M42" s="94">
        <v>1</v>
      </c>
      <c r="N42" s="94">
        <v>1</v>
      </c>
    </row>
    <row r="43" spans="2:14" ht="11.25">
      <c r="B43" s="67" t="s">
        <v>50</v>
      </c>
      <c r="C43" s="93">
        <v>1</v>
      </c>
      <c r="D43" s="94">
        <v>1</v>
      </c>
      <c r="E43" s="94">
        <v>1</v>
      </c>
      <c r="F43" s="94">
        <v>1</v>
      </c>
      <c r="G43" s="94">
        <v>1</v>
      </c>
      <c r="H43" s="94">
        <v>1</v>
      </c>
      <c r="I43" s="94">
        <v>1</v>
      </c>
      <c r="J43" s="94">
        <v>1</v>
      </c>
      <c r="K43" s="94">
        <v>1</v>
      </c>
      <c r="L43" s="94">
        <v>1</v>
      </c>
      <c r="M43" s="94">
        <v>1</v>
      </c>
      <c r="N43" s="94">
        <v>1</v>
      </c>
    </row>
    <row r="44" spans="2:14" ht="11.25">
      <c r="B44" s="67" t="s">
        <v>51</v>
      </c>
      <c r="C44" s="93">
        <v>1</v>
      </c>
      <c r="D44" s="94">
        <v>1</v>
      </c>
      <c r="E44" s="94">
        <v>1</v>
      </c>
      <c r="F44" s="94">
        <v>1</v>
      </c>
      <c r="G44" s="94">
        <v>1</v>
      </c>
      <c r="H44" s="94">
        <v>1</v>
      </c>
      <c r="I44" s="94">
        <v>1</v>
      </c>
      <c r="J44" s="94">
        <v>1</v>
      </c>
      <c r="K44" s="94">
        <v>1</v>
      </c>
      <c r="L44" s="94">
        <v>1</v>
      </c>
      <c r="M44" s="94">
        <v>1</v>
      </c>
      <c r="N44" s="94">
        <v>1</v>
      </c>
    </row>
    <row r="45" spans="2:14" ht="11.25">
      <c r="B45" s="67" t="s">
        <v>52</v>
      </c>
      <c r="C45" s="93">
        <v>1</v>
      </c>
      <c r="D45" s="94">
        <v>1</v>
      </c>
      <c r="E45" s="94">
        <v>1</v>
      </c>
      <c r="F45" s="94">
        <v>1</v>
      </c>
      <c r="G45" s="94">
        <v>1</v>
      </c>
      <c r="H45" s="94">
        <v>1</v>
      </c>
      <c r="I45" s="94">
        <v>1</v>
      </c>
      <c r="J45" s="94">
        <v>1</v>
      </c>
      <c r="K45" s="94">
        <v>1</v>
      </c>
      <c r="L45" s="94">
        <v>1</v>
      </c>
      <c r="M45" s="94">
        <v>1</v>
      </c>
      <c r="N45" s="94">
        <v>1</v>
      </c>
    </row>
    <row r="46" spans="2:14" ht="11.25">
      <c r="B46" s="67" t="s">
        <v>53</v>
      </c>
      <c r="C46" s="93">
        <v>1</v>
      </c>
      <c r="D46" s="94">
        <v>1</v>
      </c>
      <c r="E46" s="94">
        <v>1</v>
      </c>
      <c r="F46" s="94">
        <v>1</v>
      </c>
      <c r="G46" s="94">
        <v>1</v>
      </c>
      <c r="H46" s="94">
        <v>1</v>
      </c>
      <c r="I46" s="94">
        <v>1</v>
      </c>
      <c r="J46" s="94">
        <v>1</v>
      </c>
      <c r="K46" s="94">
        <v>1</v>
      </c>
      <c r="L46" s="94">
        <v>1</v>
      </c>
      <c r="M46" s="94">
        <v>1</v>
      </c>
      <c r="N46" s="94">
        <v>1</v>
      </c>
    </row>
    <row r="47" spans="2:14" ht="11.25">
      <c r="B47" s="67" t="s">
        <v>54</v>
      </c>
      <c r="C47" s="93">
        <v>1</v>
      </c>
      <c r="D47" s="94">
        <v>1</v>
      </c>
      <c r="E47" s="94">
        <v>1</v>
      </c>
      <c r="F47" s="94">
        <v>1</v>
      </c>
      <c r="G47" s="94">
        <v>1</v>
      </c>
      <c r="H47" s="94">
        <v>1</v>
      </c>
      <c r="I47" s="94">
        <v>1</v>
      </c>
      <c r="J47" s="94">
        <v>1</v>
      </c>
      <c r="K47" s="94">
        <v>1</v>
      </c>
      <c r="L47" s="94">
        <v>1</v>
      </c>
      <c r="M47" s="94">
        <v>1</v>
      </c>
      <c r="N47" s="94">
        <v>1</v>
      </c>
    </row>
    <row r="48" spans="2:14" ht="11.25">
      <c r="B48" s="67" t="s">
        <v>22</v>
      </c>
      <c r="C48" s="93">
        <v>1</v>
      </c>
      <c r="D48" s="94">
        <v>1</v>
      </c>
      <c r="E48" s="94">
        <v>1</v>
      </c>
      <c r="F48" s="94">
        <v>1</v>
      </c>
      <c r="G48" s="94">
        <v>1</v>
      </c>
      <c r="H48" s="94">
        <v>1</v>
      </c>
      <c r="I48" s="94">
        <v>1</v>
      </c>
      <c r="J48" s="94">
        <v>1</v>
      </c>
      <c r="K48" s="94">
        <v>1</v>
      </c>
      <c r="L48" s="94">
        <v>1</v>
      </c>
      <c r="M48" s="94">
        <v>1</v>
      </c>
      <c r="N48" s="94">
        <v>1</v>
      </c>
    </row>
    <row r="49" spans="2:14" ht="11.25">
      <c r="B49" s="67" t="s">
        <v>55</v>
      </c>
      <c r="C49" s="93">
        <v>1</v>
      </c>
      <c r="D49" s="94">
        <v>1</v>
      </c>
      <c r="E49" s="94">
        <v>1</v>
      </c>
      <c r="F49" s="94">
        <v>1</v>
      </c>
      <c r="G49" s="94">
        <v>1</v>
      </c>
      <c r="H49" s="94">
        <v>1</v>
      </c>
      <c r="I49" s="94">
        <v>1</v>
      </c>
      <c r="J49" s="94">
        <v>1</v>
      </c>
      <c r="K49" s="94">
        <v>1</v>
      </c>
      <c r="L49" s="94">
        <v>1</v>
      </c>
      <c r="M49" s="94">
        <v>1</v>
      </c>
      <c r="N49" s="94">
        <v>1</v>
      </c>
    </row>
    <row r="50" spans="2:14" ht="11.25">
      <c r="B50" s="67" t="s">
        <v>56</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7" t="s">
        <v>57</v>
      </c>
      <c r="C52" s="92">
        <f>+C65/C37</f>
        <v>0.9999999999999998</v>
      </c>
      <c r="D52" s="94">
        <v>1</v>
      </c>
      <c r="E52" s="94">
        <v>1</v>
      </c>
      <c r="F52" s="94">
        <v>1</v>
      </c>
      <c r="G52" s="94">
        <v>1</v>
      </c>
      <c r="H52" s="94">
        <v>1</v>
      </c>
      <c r="I52" s="94">
        <v>1</v>
      </c>
      <c r="J52" s="94">
        <v>1</v>
      </c>
      <c r="K52" s="94">
        <v>1</v>
      </c>
      <c r="L52" s="94">
        <v>1</v>
      </c>
      <c r="M52" s="94">
        <v>1</v>
      </c>
      <c r="N52" s="94">
        <v>1</v>
      </c>
    </row>
    <row r="53" spans="12:14" ht="11.25">
      <c r="L53" s="92"/>
      <c r="N53" s="94"/>
    </row>
    <row r="54" spans="1:14" ht="11.25">
      <c r="A54" s="82" t="s">
        <v>60</v>
      </c>
      <c r="L54" s="92"/>
      <c r="N54" s="94"/>
    </row>
    <row r="55" spans="2:14" ht="11.25">
      <c r="B55" s="67" t="s">
        <v>24</v>
      </c>
      <c r="C55" s="77">
        <f>+C27*C41</f>
        <v>0.6045</v>
      </c>
      <c r="D55" s="77">
        <f aca="true" t="shared" si="17" ref="D55:N55">+D27*D41</f>
        <v>0.98475</v>
      </c>
      <c r="E55" s="77">
        <f t="shared" si="17"/>
        <v>0.66495</v>
      </c>
      <c r="F55" s="77">
        <f t="shared" si="17"/>
        <v>0.96915</v>
      </c>
      <c r="G55" s="77">
        <f t="shared" si="17"/>
        <v>0.6591</v>
      </c>
      <c r="H55" s="77">
        <f t="shared" si="17"/>
        <v>0.68445</v>
      </c>
      <c r="I55" s="77">
        <f t="shared" si="17"/>
        <v>0.6513</v>
      </c>
      <c r="J55" s="77">
        <f t="shared" si="17"/>
        <v>0.62595</v>
      </c>
      <c r="K55" s="77">
        <f t="shared" si="17"/>
        <v>0.84435</v>
      </c>
      <c r="L55" s="77">
        <f t="shared" si="17"/>
        <v>0.61425</v>
      </c>
      <c r="M55" s="77">
        <f t="shared" si="17"/>
        <v>1.3533000000000002</v>
      </c>
      <c r="N55" s="77">
        <f t="shared" si="17"/>
        <v>0</v>
      </c>
    </row>
    <row r="56" spans="2:14" ht="11.25">
      <c r="B56" s="67" t="s">
        <v>28</v>
      </c>
      <c r="C56" s="77">
        <f aca="true" t="shared" si="18" ref="C56:N56">+C28*C42</f>
        <v>0.55242</v>
      </c>
      <c r="D56" s="77">
        <f t="shared" si="18"/>
        <v>0.89991</v>
      </c>
      <c r="E56" s="77">
        <f t="shared" si="18"/>
        <v>0.607662</v>
      </c>
      <c r="F56" s="77">
        <f t="shared" si="18"/>
        <v>0.8856539999999999</v>
      </c>
      <c r="G56" s="77">
        <f t="shared" si="18"/>
        <v>0.602316</v>
      </c>
      <c r="H56" s="77">
        <f t="shared" si="18"/>
        <v>0.625482</v>
      </c>
      <c r="I56" s="77">
        <f t="shared" si="18"/>
        <v>0.5951879999999999</v>
      </c>
      <c r="J56" s="77">
        <f t="shared" si="18"/>
        <v>0.572022</v>
      </c>
      <c r="K56" s="77">
        <f t="shared" si="18"/>
        <v>0.771606</v>
      </c>
      <c r="L56" s="77">
        <f t="shared" si="18"/>
        <v>0.56133</v>
      </c>
      <c r="M56" s="77">
        <f t="shared" si="18"/>
        <v>1.2367080000000001</v>
      </c>
      <c r="N56" s="77">
        <f t="shared" si="18"/>
        <v>1.796256</v>
      </c>
    </row>
    <row r="57" spans="2:14" ht="11.25">
      <c r="B57" s="67" t="s">
        <v>50</v>
      </c>
      <c r="C57" s="77">
        <f aca="true" t="shared" si="19" ref="C57:N57">+C29*C43</f>
        <v>0</v>
      </c>
      <c r="D57" s="77">
        <f t="shared" si="19"/>
        <v>0</v>
      </c>
      <c r="E57" s="77">
        <f t="shared" si="19"/>
        <v>0</v>
      </c>
      <c r="F57" s="77">
        <f t="shared" si="19"/>
        <v>0</v>
      </c>
      <c r="G57" s="77">
        <f t="shared" si="19"/>
        <v>0</v>
      </c>
      <c r="H57" s="77">
        <f t="shared" si="19"/>
        <v>0</v>
      </c>
      <c r="I57" s="77">
        <f t="shared" si="19"/>
        <v>0</v>
      </c>
      <c r="J57" s="77">
        <f t="shared" si="19"/>
        <v>0</v>
      </c>
      <c r="K57" s="77">
        <f t="shared" si="19"/>
        <v>0</v>
      </c>
      <c r="L57" s="77">
        <f t="shared" si="19"/>
        <v>0</v>
      </c>
      <c r="M57" s="77">
        <f t="shared" si="19"/>
        <v>0</v>
      </c>
      <c r="N57" s="77">
        <f t="shared" si="19"/>
        <v>0</v>
      </c>
    </row>
    <row r="58" spans="2:14" ht="11.25">
      <c r="B58" s="67" t="s">
        <v>51</v>
      </c>
      <c r="C58" s="77">
        <f aca="true" t="shared" si="20" ref="C58:N58">+C30*C44</f>
        <v>0.05115</v>
      </c>
      <c r="D58" s="77">
        <f t="shared" si="20"/>
        <v>0.083325</v>
      </c>
      <c r="E58" s="77">
        <f t="shared" si="20"/>
        <v>0.056265</v>
      </c>
      <c r="F58" s="77">
        <f t="shared" si="20"/>
        <v>0.082005</v>
      </c>
      <c r="G58" s="77">
        <f t="shared" si="20"/>
        <v>0.05577</v>
      </c>
      <c r="H58" s="77">
        <f t="shared" si="20"/>
        <v>0.057915</v>
      </c>
      <c r="I58" s="77">
        <f t="shared" si="20"/>
        <v>0.05511</v>
      </c>
      <c r="J58" s="77">
        <f t="shared" si="20"/>
        <v>0.052965000000000005</v>
      </c>
      <c r="K58" s="77">
        <f t="shared" si="20"/>
        <v>0.07144500000000001</v>
      </c>
      <c r="L58" s="77">
        <f t="shared" si="20"/>
        <v>0.051975</v>
      </c>
      <c r="M58" s="77">
        <f t="shared" si="20"/>
        <v>0.11451000000000001</v>
      </c>
      <c r="N58" s="77">
        <f t="shared" si="20"/>
        <v>0.16632</v>
      </c>
    </row>
    <row r="59" spans="2:14" ht="11.25">
      <c r="B59" s="67" t="s">
        <v>52</v>
      </c>
      <c r="C59" s="77">
        <f aca="true" t="shared" si="21" ref="C59:N59">+C31*C45</f>
        <v>0.13919</v>
      </c>
      <c r="D59" s="77">
        <f t="shared" si="21"/>
        <v>0.226745</v>
      </c>
      <c r="E59" s="77">
        <f t="shared" si="21"/>
        <v>0.15310900000000002</v>
      </c>
      <c r="F59" s="77">
        <f t="shared" si="21"/>
        <v>0.223153</v>
      </c>
      <c r="G59" s="77">
        <f t="shared" si="21"/>
        <v>0.151762</v>
      </c>
      <c r="H59" s="77">
        <f t="shared" si="21"/>
        <v>0.157599</v>
      </c>
      <c r="I59" s="77">
        <f t="shared" si="21"/>
        <v>0.149966</v>
      </c>
      <c r="J59" s="77">
        <f t="shared" si="21"/>
        <v>0.144129</v>
      </c>
      <c r="K59" s="77">
        <f t="shared" si="21"/>
        <v>0.194417</v>
      </c>
      <c r="L59" s="77">
        <f t="shared" si="21"/>
        <v>0.141435</v>
      </c>
      <c r="M59" s="77">
        <f t="shared" si="21"/>
        <v>0.31160600000000005</v>
      </c>
      <c r="N59" s="77">
        <f t="shared" si="21"/>
        <v>0.45259200000000005</v>
      </c>
    </row>
    <row r="60" spans="2:14" ht="11.25">
      <c r="B60" s="67" t="s">
        <v>53</v>
      </c>
      <c r="C60" s="95">
        <f aca="true" t="shared" si="22" ref="C60:N60">+C32*C46</f>
        <v>0.02325</v>
      </c>
      <c r="D60" s="95">
        <f t="shared" si="22"/>
        <v>0.037875</v>
      </c>
      <c r="E60" s="95">
        <f t="shared" si="22"/>
        <v>0.025575</v>
      </c>
      <c r="F60" s="95">
        <f t="shared" si="22"/>
        <v>0.037274999999999996</v>
      </c>
      <c r="G60" s="95">
        <f t="shared" si="22"/>
        <v>0.025349999999999998</v>
      </c>
      <c r="H60" s="95">
        <f t="shared" si="22"/>
        <v>0.026324999999999998</v>
      </c>
      <c r="I60" s="95">
        <f t="shared" si="22"/>
        <v>0.02505</v>
      </c>
      <c r="J60" s="95">
        <f t="shared" si="22"/>
        <v>0.024075</v>
      </c>
      <c r="K60" s="95">
        <f t="shared" si="22"/>
        <v>0.032475</v>
      </c>
      <c r="L60" s="95">
        <f t="shared" si="22"/>
        <v>0.023625</v>
      </c>
      <c r="M60" s="95">
        <f t="shared" si="22"/>
        <v>0.05205</v>
      </c>
      <c r="N60" s="95">
        <f t="shared" si="22"/>
        <v>0.0756</v>
      </c>
    </row>
    <row r="61" spans="2:14" ht="11.25">
      <c r="B61" s="67" t="s">
        <v>54</v>
      </c>
      <c r="C61" s="77">
        <f aca="true" t="shared" si="23" ref="C61:N61">+C33*C47</f>
        <v>0</v>
      </c>
      <c r="D61" s="77">
        <f t="shared" si="23"/>
        <v>0</v>
      </c>
      <c r="E61" s="77">
        <f t="shared" si="23"/>
        <v>0</v>
      </c>
      <c r="F61" s="77">
        <f t="shared" si="23"/>
        <v>0</v>
      </c>
      <c r="G61" s="77">
        <f t="shared" si="23"/>
        <v>0</v>
      </c>
      <c r="H61" s="77">
        <f t="shared" si="23"/>
        <v>0</v>
      </c>
      <c r="I61" s="77">
        <f t="shared" si="23"/>
        <v>0</v>
      </c>
      <c r="J61" s="77">
        <f t="shared" si="23"/>
        <v>0</v>
      </c>
      <c r="K61" s="77">
        <f t="shared" si="23"/>
        <v>0</v>
      </c>
      <c r="L61" s="77">
        <f t="shared" si="23"/>
        <v>0</v>
      </c>
      <c r="M61" s="77">
        <f t="shared" si="23"/>
        <v>0</v>
      </c>
      <c r="N61" s="77">
        <f t="shared" si="23"/>
        <v>0</v>
      </c>
    </row>
    <row r="62" spans="2:14" ht="11.25">
      <c r="B62" s="67" t="s">
        <v>47</v>
      </c>
      <c r="C62" s="77">
        <f aca="true" t="shared" si="24" ref="C62:N62">+C34*C48</f>
        <v>0.54808</v>
      </c>
      <c r="D62" s="77">
        <f t="shared" si="24"/>
        <v>0.8928400000000001</v>
      </c>
      <c r="E62" s="77">
        <f t="shared" si="24"/>
        <v>0.6028880000000001</v>
      </c>
      <c r="F62" s="77">
        <f t="shared" si="24"/>
        <v>0.878696</v>
      </c>
      <c r="G62" s="77">
        <f t="shared" si="24"/>
        <v>0.597584</v>
      </c>
      <c r="H62" s="77">
        <f t="shared" si="24"/>
        <v>0.620568</v>
      </c>
      <c r="I62" s="77">
        <f t="shared" si="24"/>
        <v>0.590512</v>
      </c>
      <c r="J62" s="77">
        <f t="shared" si="24"/>
        <v>0.567528</v>
      </c>
      <c r="K62" s="77">
        <f t="shared" si="24"/>
        <v>0.7655440000000001</v>
      </c>
      <c r="L62" s="77">
        <f t="shared" si="24"/>
        <v>0.55692</v>
      </c>
      <c r="M62" s="77">
        <f t="shared" si="24"/>
        <v>1.226992</v>
      </c>
      <c r="N62" s="77">
        <f t="shared" si="24"/>
        <v>1.7821440000000002</v>
      </c>
    </row>
    <row r="63" spans="2:14" ht="11.25">
      <c r="B63" s="67" t="s">
        <v>55</v>
      </c>
      <c r="C63" s="77">
        <f aca="true" t="shared" si="25" ref="C63:N63">+C35*C49</f>
        <v>0</v>
      </c>
      <c r="D63" s="77">
        <f t="shared" si="25"/>
        <v>0</v>
      </c>
      <c r="E63" s="77">
        <f t="shared" si="25"/>
        <v>0</v>
      </c>
      <c r="F63" s="77">
        <f t="shared" si="25"/>
        <v>0</v>
      </c>
      <c r="G63" s="77">
        <f t="shared" si="25"/>
        <v>0</v>
      </c>
      <c r="H63" s="77">
        <f t="shared" si="25"/>
        <v>0</v>
      </c>
      <c r="I63" s="77">
        <f t="shared" si="25"/>
        <v>0</v>
      </c>
      <c r="J63" s="77">
        <f t="shared" si="25"/>
        <v>0</v>
      </c>
      <c r="K63" s="77">
        <f t="shared" si="25"/>
        <v>0</v>
      </c>
      <c r="L63" s="77">
        <f t="shared" si="25"/>
        <v>0</v>
      </c>
      <c r="M63" s="77">
        <f t="shared" si="25"/>
        <v>0</v>
      </c>
      <c r="N63" s="77">
        <f t="shared" si="25"/>
        <v>0</v>
      </c>
    </row>
    <row r="64" spans="2:14" ht="11.25">
      <c r="B64" s="67" t="s">
        <v>56</v>
      </c>
      <c r="C64" s="77">
        <f aca="true" t="shared" si="26" ref="C64:N64">+C36*C50</f>
        <v>0.1838300000000004</v>
      </c>
      <c r="D64" s="77">
        <f t="shared" si="26"/>
        <v>0.29946500000000065</v>
      </c>
      <c r="E64" s="77">
        <f t="shared" si="26"/>
        <v>0.20221300000000045</v>
      </c>
      <c r="F64" s="77">
        <f t="shared" si="26"/>
        <v>0.2947210000000006</v>
      </c>
      <c r="G64" s="77">
        <f t="shared" si="26"/>
        <v>0.20043400000000045</v>
      </c>
      <c r="H64" s="77">
        <f t="shared" si="26"/>
        <v>0.20814300000000044</v>
      </c>
      <c r="I64" s="77">
        <f t="shared" si="26"/>
        <v>0.19806200000000043</v>
      </c>
      <c r="J64" s="77">
        <f t="shared" si="26"/>
        <v>0.1903530000000004</v>
      </c>
      <c r="K64" s="77">
        <f t="shared" si="26"/>
        <v>0.2567690000000006</v>
      </c>
      <c r="L64" s="77">
        <f t="shared" si="26"/>
        <v>0.1867950000000004</v>
      </c>
      <c r="M64" s="77">
        <f t="shared" si="26"/>
        <v>0.4115420000000009</v>
      </c>
      <c r="N64" s="77">
        <f t="shared" si="26"/>
        <v>0.5977440000000013</v>
      </c>
    </row>
    <row r="65" spans="2:14" ht="11.25">
      <c r="B65" s="67" t="s">
        <v>57</v>
      </c>
      <c r="C65" s="89">
        <f aca="true" t="shared" si="27" ref="C65:N65">+C7-SUM(C55:C64)</f>
        <v>0.9975799999999997</v>
      </c>
      <c r="D65" s="89">
        <f t="shared" si="27"/>
        <v>1.6250899999999988</v>
      </c>
      <c r="E65" s="89">
        <f t="shared" si="27"/>
        <v>1.0973379999999997</v>
      </c>
      <c r="F65" s="89">
        <f t="shared" si="27"/>
        <v>1.5993459999999993</v>
      </c>
      <c r="G65" s="89">
        <f t="shared" si="27"/>
        <v>1.0876839999999994</v>
      </c>
      <c r="H65" s="89">
        <f t="shared" si="27"/>
        <v>1.1295179999999991</v>
      </c>
      <c r="I65" s="89">
        <f t="shared" si="27"/>
        <v>1.0748119999999992</v>
      </c>
      <c r="J65" s="89">
        <f t="shared" si="27"/>
        <v>1.0329779999999995</v>
      </c>
      <c r="K65" s="89">
        <f t="shared" si="27"/>
        <v>1.393393999999999</v>
      </c>
      <c r="L65" s="89">
        <f t="shared" si="27"/>
        <v>1.0136699999999994</v>
      </c>
      <c r="M65" s="89">
        <f t="shared" si="27"/>
        <v>2.2332919999999996</v>
      </c>
      <c r="N65" s="89">
        <f t="shared" si="27"/>
        <v>5.209343999999999</v>
      </c>
    </row>
    <row r="66" spans="3:14" ht="11.25">
      <c r="C66" s="77">
        <f aca="true" t="shared" si="28" ref="C66:N66">SUM(C55:C65)</f>
        <v>3.1</v>
      </c>
      <c r="D66" s="77">
        <f t="shared" si="28"/>
        <v>5.05</v>
      </c>
      <c r="E66" s="77">
        <f t="shared" si="28"/>
        <v>3.41</v>
      </c>
      <c r="F66" s="77">
        <f t="shared" si="28"/>
        <v>4.97</v>
      </c>
      <c r="G66" s="77">
        <f t="shared" si="28"/>
        <v>3.38</v>
      </c>
      <c r="H66" s="77">
        <f t="shared" si="28"/>
        <v>3.51</v>
      </c>
      <c r="I66" s="77">
        <f t="shared" si="28"/>
        <v>3.34</v>
      </c>
      <c r="J66" s="77">
        <f t="shared" si="28"/>
        <v>3.21</v>
      </c>
      <c r="K66" s="77">
        <f t="shared" si="28"/>
        <v>4.33</v>
      </c>
      <c r="L66" s="77">
        <f t="shared" si="28"/>
        <v>3.15</v>
      </c>
      <c r="M66" s="77">
        <f t="shared" si="28"/>
        <v>6.94</v>
      </c>
      <c r="N66" s="77">
        <f t="shared" si="28"/>
        <v>10.08</v>
      </c>
    </row>
    <row r="67" ht="7.5" customHeight="1"/>
    <row r="68" spans="1:5" ht="11.25">
      <c r="A68" s="96" t="s">
        <v>61</v>
      </c>
      <c r="C68" s="67">
        <v>1.1</v>
      </c>
      <c r="E68" s="67" t="s">
        <v>71</v>
      </c>
    </row>
    <row r="69" spans="2:14" ht="11.25">
      <c r="B69" s="67" t="s">
        <v>24</v>
      </c>
      <c r="C69" s="153">
        <v>65.3</v>
      </c>
      <c r="D69" s="153">
        <v>85.06</v>
      </c>
      <c r="E69" s="153">
        <v>98.56</v>
      </c>
      <c r="F69" s="153">
        <v>81.63</v>
      </c>
      <c r="G69" s="154">
        <v>63.02</v>
      </c>
      <c r="H69" s="154">
        <v>60.33</v>
      </c>
      <c r="I69" s="153">
        <v>65.93</v>
      </c>
      <c r="J69" s="153">
        <v>63.69</v>
      </c>
      <c r="K69" s="153">
        <v>39.8</v>
      </c>
      <c r="L69" s="155">
        <v>-18.13</v>
      </c>
      <c r="M69" s="155">
        <v>-16.23</v>
      </c>
      <c r="N69" s="153">
        <v>0</v>
      </c>
    </row>
    <row r="70" spans="2:14" ht="11.25">
      <c r="B70" s="67" t="s">
        <v>28</v>
      </c>
      <c r="C70" s="153">
        <v>132.68</v>
      </c>
      <c r="D70" s="153">
        <v>159.52</v>
      </c>
      <c r="E70" s="153">
        <v>163.29</v>
      </c>
      <c r="F70" s="153">
        <v>145.73</v>
      </c>
      <c r="G70" s="154">
        <v>110.68</v>
      </c>
      <c r="H70" s="154">
        <v>81.77</v>
      </c>
      <c r="I70" s="153">
        <v>114.18</v>
      </c>
      <c r="J70" s="153">
        <v>107.57</v>
      </c>
      <c r="K70" s="153">
        <v>105.09</v>
      </c>
      <c r="L70" s="153">
        <v>62.76</v>
      </c>
      <c r="M70" s="153">
        <v>56.69</v>
      </c>
      <c r="N70" s="162">
        <v>57.61</v>
      </c>
    </row>
    <row r="71" spans="2:14" ht="11.25">
      <c r="B71" s="67" t="s">
        <v>50</v>
      </c>
      <c r="C71" s="153">
        <v>0</v>
      </c>
      <c r="D71" s="153"/>
      <c r="E71" s="153"/>
      <c r="F71" s="153"/>
      <c r="G71" s="154"/>
      <c r="H71" s="154"/>
      <c r="I71" s="153"/>
      <c r="J71" s="153"/>
      <c r="K71" s="153"/>
      <c r="L71" s="153"/>
      <c r="M71" s="153"/>
      <c r="N71" s="153"/>
    </row>
    <row r="72" spans="2:14" ht="11.25">
      <c r="B72" s="67" t="s">
        <v>51</v>
      </c>
      <c r="C72" s="153">
        <v>71.99</v>
      </c>
      <c r="D72" s="153">
        <v>69.08</v>
      </c>
      <c r="E72" s="153">
        <v>67.63</v>
      </c>
      <c r="F72" s="153">
        <v>78.11</v>
      </c>
      <c r="G72" s="154">
        <v>86.53</v>
      </c>
      <c r="H72" s="154">
        <v>76.06</v>
      </c>
      <c r="I72" s="153">
        <v>78.08</v>
      </c>
      <c r="J72" s="153">
        <v>88.61</v>
      </c>
      <c r="K72" s="153">
        <v>102.96</v>
      </c>
      <c r="L72" s="153">
        <v>92.72</v>
      </c>
      <c r="M72" s="153">
        <v>106.7</v>
      </c>
      <c r="N72" s="162">
        <v>109.51</v>
      </c>
    </row>
    <row r="73" spans="2:14" ht="11.25">
      <c r="B73" s="67" t="s">
        <v>52</v>
      </c>
      <c r="C73" s="153">
        <v>92.51</v>
      </c>
      <c r="D73" s="153">
        <v>70.6</v>
      </c>
      <c r="E73" s="153">
        <v>62.55</v>
      </c>
      <c r="F73" s="153">
        <v>83.03</v>
      </c>
      <c r="G73" s="154">
        <v>72.1</v>
      </c>
      <c r="H73" s="154">
        <v>48.29</v>
      </c>
      <c r="I73" s="153">
        <v>50.05</v>
      </c>
      <c r="J73" s="153">
        <v>51.67</v>
      </c>
      <c r="K73" s="153">
        <v>53.44</v>
      </c>
      <c r="L73" s="153">
        <v>85.33</v>
      </c>
      <c r="M73" s="153">
        <v>105.24</v>
      </c>
      <c r="N73" s="162">
        <v>107.91</v>
      </c>
    </row>
    <row r="74" spans="2:14" ht="11.25">
      <c r="B74" s="67" t="s">
        <v>53</v>
      </c>
      <c r="C74" s="153">
        <v>905.35</v>
      </c>
      <c r="D74" s="153">
        <v>894.34</v>
      </c>
      <c r="E74" s="153">
        <v>871.1</v>
      </c>
      <c r="F74" s="153">
        <v>905.36</v>
      </c>
      <c r="G74" s="154">
        <v>953.11</v>
      </c>
      <c r="H74" s="154">
        <v>980.71</v>
      </c>
      <c r="I74" s="153">
        <v>971.66</v>
      </c>
      <c r="J74" s="153">
        <v>973.36</v>
      </c>
      <c r="K74" s="153">
        <v>1013.02</v>
      </c>
      <c r="L74" s="153">
        <v>988.19</v>
      </c>
      <c r="M74" s="153">
        <v>977.91</v>
      </c>
      <c r="N74" s="162">
        <v>989.87</v>
      </c>
    </row>
    <row r="75" spans="2:14" ht="11.25">
      <c r="B75" s="67" t="s">
        <v>54</v>
      </c>
      <c r="C75" s="153">
        <v>0</v>
      </c>
      <c r="D75" s="153"/>
      <c r="E75" s="153"/>
      <c r="F75" s="153"/>
      <c r="G75" s="154"/>
      <c r="H75" s="154"/>
      <c r="I75" s="153"/>
      <c r="J75" s="153"/>
      <c r="K75" s="153"/>
      <c r="L75" s="153"/>
      <c r="M75" s="153"/>
      <c r="N75" s="153"/>
    </row>
    <row r="76" spans="2:14" ht="11.25">
      <c r="B76" s="67" t="s">
        <v>47</v>
      </c>
      <c r="C76" s="153">
        <v>-15.91</v>
      </c>
      <c r="D76" s="153">
        <v>-6.4</v>
      </c>
      <c r="E76" s="153">
        <v>-6.61</v>
      </c>
      <c r="F76" s="153">
        <v>-4.34</v>
      </c>
      <c r="G76" s="154">
        <v>-5.61</v>
      </c>
      <c r="H76" s="154">
        <v>-8.78</v>
      </c>
      <c r="I76" s="153">
        <v>-2.51</v>
      </c>
      <c r="J76" s="153">
        <v>-9.46</v>
      </c>
      <c r="K76" s="153">
        <v>-9.98</v>
      </c>
      <c r="L76" s="153">
        <v>-8.01</v>
      </c>
      <c r="M76" s="153">
        <v>-9</v>
      </c>
      <c r="N76" s="153">
        <v>-10.23</v>
      </c>
    </row>
    <row r="77" spans="2:14" ht="11.25">
      <c r="B77" s="67" t="s">
        <v>55</v>
      </c>
      <c r="C77" s="155"/>
      <c r="D77" s="155"/>
      <c r="E77" s="155"/>
      <c r="F77" s="155"/>
      <c r="G77" s="156"/>
      <c r="H77" s="156"/>
      <c r="I77" s="155"/>
      <c r="J77" s="155"/>
      <c r="K77" s="155"/>
      <c r="L77" s="155"/>
      <c r="M77" s="155"/>
      <c r="N77" s="162"/>
    </row>
    <row r="78" spans="2:14" ht="11.25">
      <c r="B78" s="67" t="s">
        <v>56</v>
      </c>
      <c r="C78" s="155">
        <v>-134.59</v>
      </c>
      <c r="D78" s="155">
        <v>-134.59</v>
      </c>
      <c r="E78" s="155">
        <v>-134.59</v>
      </c>
      <c r="F78" s="155">
        <v>-134.59</v>
      </c>
      <c r="G78" s="156">
        <v>-134.59</v>
      </c>
      <c r="H78" s="156">
        <v>-134.59</v>
      </c>
      <c r="I78" s="155">
        <v>-134.59</v>
      </c>
      <c r="J78" s="155">
        <v>-134.59</v>
      </c>
      <c r="K78" s="155">
        <v>-134.59</v>
      </c>
      <c r="L78" s="155">
        <v>-134.59</v>
      </c>
      <c r="M78" s="155">
        <v>-134.59</v>
      </c>
      <c r="N78" s="162">
        <v>-134.59</v>
      </c>
    </row>
    <row r="79" spans="2:15" ht="11.25">
      <c r="B79" s="67" t="s">
        <v>57</v>
      </c>
      <c r="C79" s="153">
        <v>60.14</v>
      </c>
      <c r="D79" s="153">
        <v>78.88</v>
      </c>
      <c r="E79" s="153">
        <v>93.44</v>
      </c>
      <c r="F79" s="153">
        <v>77.21</v>
      </c>
      <c r="G79" s="154">
        <v>57.85</v>
      </c>
      <c r="H79" s="154">
        <v>55.22</v>
      </c>
      <c r="I79" s="153">
        <v>52.85</v>
      </c>
      <c r="J79" s="153">
        <v>49.88</v>
      </c>
      <c r="K79" s="153">
        <v>40.17</v>
      </c>
      <c r="L79" s="155">
        <v>-21.81</v>
      </c>
      <c r="M79" s="155">
        <v>-21.39</v>
      </c>
      <c r="N79" s="162">
        <v>-20.59</v>
      </c>
      <c r="O79" s="106">
        <f>SUM(C69:N79)</f>
        <v>14011.14</v>
      </c>
    </row>
    <row r="80" ht="7.5" customHeight="1"/>
    <row r="81" ht="11.25">
      <c r="A81" s="82" t="s">
        <v>62</v>
      </c>
    </row>
    <row r="82" spans="2:15" ht="11.25">
      <c r="B82" s="67" t="s">
        <v>24</v>
      </c>
      <c r="C82" s="97">
        <f>+C69*C55</f>
        <v>39.47385</v>
      </c>
      <c r="D82" s="77">
        <f aca="true" t="shared" si="29" ref="D82:N82">+D69*D55</f>
        <v>83.76283500000001</v>
      </c>
      <c r="E82" s="77">
        <f t="shared" si="29"/>
        <v>65.53747200000001</v>
      </c>
      <c r="F82" s="77">
        <f t="shared" si="29"/>
        <v>79.11171449999999</v>
      </c>
      <c r="G82" s="77">
        <f t="shared" si="29"/>
        <v>41.53648200000001</v>
      </c>
      <c r="H82" s="77">
        <f t="shared" si="29"/>
        <v>41.2928685</v>
      </c>
      <c r="I82" s="77">
        <f t="shared" si="29"/>
        <v>42.940209</v>
      </c>
      <c r="J82" s="77">
        <f t="shared" si="29"/>
        <v>39.8667555</v>
      </c>
      <c r="K82" s="77">
        <f t="shared" si="29"/>
        <v>33.60513</v>
      </c>
      <c r="L82" s="77">
        <f t="shared" si="29"/>
        <v>-11.1363525</v>
      </c>
      <c r="M82" s="77">
        <f t="shared" si="29"/>
        <v>-21.964059000000002</v>
      </c>
      <c r="N82" s="77">
        <f t="shared" si="29"/>
        <v>0</v>
      </c>
      <c r="O82" s="106">
        <f aca="true" t="shared" si="30" ref="O82:O92">SUM(C82:N82)</f>
        <v>434.026905</v>
      </c>
    </row>
    <row r="83" spans="2:15" ht="11.25">
      <c r="B83" s="67" t="s">
        <v>28</v>
      </c>
      <c r="C83" s="97">
        <f aca="true" t="shared" si="31" ref="C83:N83">+C70*C56</f>
        <v>73.29508560000001</v>
      </c>
      <c r="D83" s="77">
        <f t="shared" si="31"/>
        <v>143.5536432</v>
      </c>
      <c r="E83" s="77">
        <f t="shared" si="31"/>
        <v>99.22512798</v>
      </c>
      <c r="F83" s="77">
        <f t="shared" si="31"/>
        <v>129.06635741999997</v>
      </c>
      <c r="G83" s="77">
        <f t="shared" si="31"/>
        <v>66.66433488</v>
      </c>
      <c r="H83" s="77">
        <f t="shared" si="31"/>
        <v>51.145663139999996</v>
      </c>
      <c r="I83" s="77">
        <f t="shared" si="31"/>
        <v>67.95856583999999</v>
      </c>
      <c r="J83" s="77">
        <f t="shared" si="31"/>
        <v>61.53240654</v>
      </c>
      <c r="K83" s="77">
        <f t="shared" si="31"/>
        <v>81.08807454000001</v>
      </c>
      <c r="L83" s="77">
        <f t="shared" si="31"/>
        <v>35.229070799999995</v>
      </c>
      <c r="M83" s="77">
        <f t="shared" si="31"/>
        <v>70.10897652</v>
      </c>
      <c r="N83" s="77">
        <f t="shared" si="31"/>
        <v>103.48230816</v>
      </c>
      <c r="O83" s="106">
        <f t="shared" si="30"/>
        <v>982.34961462</v>
      </c>
    </row>
    <row r="84" spans="2:15" ht="11.25">
      <c r="B84" s="67" t="s">
        <v>50</v>
      </c>
      <c r="C84" s="97">
        <f aca="true" t="shared" si="32" ref="C84:N84">+C71*C57</f>
        <v>0</v>
      </c>
      <c r="D84" s="77">
        <f t="shared" si="32"/>
        <v>0</v>
      </c>
      <c r="E84" s="77">
        <f t="shared" si="32"/>
        <v>0</v>
      </c>
      <c r="F84" s="77">
        <f t="shared" si="32"/>
        <v>0</v>
      </c>
      <c r="G84" s="77">
        <f t="shared" si="32"/>
        <v>0</v>
      </c>
      <c r="H84" s="77">
        <f t="shared" si="32"/>
        <v>0</v>
      </c>
      <c r="I84" s="77"/>
      <c r="J84" s="77">
        <f t="shared" si="32"/>
        <v>0</v>
      </c>
      <c r="K84" s="77">
        <f t="shared" si="32"/>
        <v>0</v>
      </c>
      <c r="L84" s="77">
        <f t="shared" si="32"/>
        <v>0</v>
      </c>
      <c r="M84" s="77">
        <f t="shared" si="32"/>
        <v>0</v>
      </c>
      <c r="N84" s="77">
        <f t="shared" si="32"/>
        <v>0</v>
      </c>
      <c r="O84" s="106">
        <f t="shared" si="30"/>
        <v>0</v>
      </c>
    </row>
    <row r="85" spans="2:15" ht="11.25">
      <c r="B85" s="67" t="s">
        <v>51</v>
      </c>
      <c r="C85" s="97">
        <f aca="true" t="shared" si="33" ref="C85:N85">+C72*C58</f>
        <v>3.6822885</v>
      </c>
      <c r="D85" s="77">
        <f t="shared" si="33"/>
        <v>5.756091</v>
      </c>
      <c r="E85" s="77">
        <f t="shared" si="33"/>
        <v>3.80520195</v>
      </c>
      <c r="F85" s="77">
        <f t="shared" si="33"/>
        <v>6.405410549999999</v>
      </c>
      <c r="G85" s="77">
        <f t="shared" si="33"/>
        <v>4.8257781</v>
      </c>
      <c r="H85" s="77">
        <f t="shared" si="33"/>
        <v>4.4050149</v>
      </c>
      <c r="I85" s="77">
        <f t="shared" si="33"/>
        <v>4.3029888</v>
      </c>
      <c r="J85" s="77">
        <f t="shared" si="33"/>
        <v>4.69322865</v>
      </c>
      <c r="K85" s="77">
        <f t="shared" si="33"/>
        <v>7.355977200000001</v>
      </c>
      <c r="L85" s="77">
        <f t="shared" si="33"/>
        <v>4.819122</v>
      </c>
      <c r="M85" s="77">
        <f t="shared" si="33"/>
        <v>12.218217000000001</v>
      </c>
      <c r="N85" s="77">
        <f t="shared" si="33"/>
        <v>18.2137032</v>
      </c>
      <c r="O85" s="106">
        <f t="shared" si="30"/>
        <v>80.48302185</v>
      </c>
    </row>
    <row r="86" spans="2:15" ht="11.25">
      <c r="B86" s="67" t="s">
        <v>52</v>
      </c>
      <c r="C86" s="97">
        <f aca="true" t="shared" si="34" ref="C86:N86">+C73*C59</f>
        <v>12.876466900000002</v>
      </c>
      <c r="D86" s="77">
        <f t="shared" si="34"/>
        <v>16.008197</v>
      </c>
      <c r="E86" s="77">
        <f t="shared" si="34"/>
        <v>9.57696795</v>
      </c>
      <c r="F86" s="77">
        <f t="shared" si="34"/>
        <v>18.52839359</v>
      </c>
      <c r="G86" s="77">
        <f t="shared" si="34"/>
        <v>10.9420402</v>
      </c>
      <c r="H86" s="77">
        <f t="shared" si="34"/>
        <v>7.610455709999999</v>
      </c>
      <c r="I86" s="77">
        <f t="shared" si="34"/>
        <v>7.505798299999999</v>
      </c>
      <c r="J86" s="77">
        <f t="shared" si="34"/>
        <v>7.447145430000001</v>
      </c>
      <c r="K86" s="77">
        <f t="shared" si="34"/>
        <v>10.38964448</v>
      </c>
      <c r="L86" s="77">
        <f t="shared" si="34"/>
        <v>12.06864855</v>
      </c>
      <c r="M86" s="77">
        <f t="shared" si="34"/>
        <v>32.793415440000004</v>
      </c>
      <c r="N86" s="77">
        <f t="shared" si="34"/>
        <v>48.83920272</v>
      </c>
      <c r="O86" s="106">
        <f t="shared" si="30"/>
        <v>194.58637627000002</v>
      </c>
    </row>
    <row r="87" spans="2:15" ht="11.25">
      <c r="B87" s="67" t="s">
        <v>53</v>
      </c>
      <c r="C87" s="97">
        <f aca="true" t="shared" si="35" ref="C87:N87">+C74*C60</f>
        <v>21.0493875</v>
      </c>
      <c r="D87" s="77">
        <f t="shared" si="35"/>
        <v>33.8731275</v>
      </c>
      <c r="E87" s="77">
        <f t="shared" si="35"/>
        <v>22.2783825</v>
      </c>
      <c r="F87" s="77">
        <f t="shared" si="35"/>
        <v>33.747294</v>
      </c>
      <c r="G87" s="77">
        <f t="shared" si="35"/>
        <v>24.1613385</v>
      </c>
      <c r="H87" s="77">
        <f t="shared" si="35"/>
        <v>25.817190749999998</v>
      </c>
      <c r="I87" s="77">
        <f t="shared" si="35"/>
        <v>24.340083</v>
      </c>
      <c r="J87" s="77">
        <f t="shared" si="35"/>
        <v>23.433642</v>
      </c>
      <c r="K87" s="77">
        <f t="shared" si="35"/>
        <v>32.8978245</v>
      </c>
      <c r="L87" s="77">
        <f t="shared" si="35"/>
        <v>23.34598875</v>
      </c>
      <c r="M87" s="77">
        <f t="shared" si="35"/>
        <v>50.900215499999995</v>
      </c>
      <c r="N87" s="77">
        <f t="shared" si="35"/>
        <v>74.834172</v>
      </c>
      <c r="O87" s="106">
        <f t="shared" si="30"/>
        <v>390.6786465</v>
      </c>
    </row>
    <row r="88" spans="2:15" ht="11.25">
      <c r="B88" s="67" t="s">
        <v>54</v>
      </c>
      <c r="C88" s="97">
        <f aca="true" t="shared" si="36" ref="C88:N88">+C75*C61</f>
        <v>0</v>
      </c>
      <c r="D88" s="77">
        <f t="shared" si="36"/>
        <v>0</v>
      </c>
      <c r="E88" s="77">
        <f t="shared" si="36"/>
        <v>0</v>
      </c>
      <c r="F88" s="77">
        <f t="shared" si="36"/>
        <v>0</v>
      </c>
      <c r="G88" s="77">
        <f t="shared" si="36"/>
        <v>0</v>
      </c>
      <c r="H88" s="77">
        <f t="shared" si="36"/>
        <v>0</v>
      </c>
      <c r="I88" s="77"/>
      <c r="J88" s="77">
        <f t="shared" si="36"/>
        <v>0</v>
      </c>
      <c r="K88" s="77">
        <f t="shared" si="36"/>
        <v>0</v>
      </c>
      <c r="L88" s="77">
        <f t="shared" si="36"/>
        <v>0</v>
      </c>
      <c r="M88" s="77">
        <f t="shared" si="36"/>
        <v>0</v>
      </c>
      <c r="N88" s="77">
        <f t="shared" si="36"/>
        <v>0</v>
      </c>
      <c r="O88" s="106">
        <f t="shared" si="30"/>
        <v>0</v>
      </c>
    </row>
    <row r="89" spans="2:15" ht="11.25">
      <c r="B89" s="67" t="s">
        <v>47</v>
      </c>
      <c r="C89" s="97">
        <f aca="true" t="shared" si="37" ref="C89:N89">+C76*C62</f>
        <v>-8.7199528</v>
      </c>
      <c r="D89" s="77">
        <f t="shared" si="37"/>
        <v>-5.714176000000001</v>
      </c>
      <c r="E89" s="77">
        <f t="shared" si="37"/>
        <v>-3.9850896800000006</v>
      </c>
      <c r="F89" s="77">
        <f t="shared" si="37"/>
        <v>-3.81354064</v>
      </c>
      <c r="G89" s="77">
        <f t="shared" si="37"/>
        <v>-3.3524462400000004</v>
      </c>
      <c r="H89" s="77">
        <f t="shared" si="37"/>
        <v>-5.44858704</v>
      </c>
      <c r="I89" s="77">
        <f t="shared" si="37"/>
        <v>-1.48218512</v>
      </c>
      <c r="J89" s="77">
        <f t="shared" si="37"/>
        <v>-5.36881488</v>
      </c>
      <c r="K89" s="77">
        <f t="shared" si="37"/>
        <v>-7.640129120000002</v>
      </c>
      <c r="L89" s="77">
        <f t="shared" si="37"/>
        <v>-4.4609292</v>
      </c>
      <c r="M89" s="77">
        <f t="shared" si="37"/>
        <v>-11.042928</v>
      </c>
      <c r="N89" s="77">
        <f t="shared" si="37"/>
        <v>-18.231333120000002</v>
      </c>
      <c r="O89" s="106">
        <f t="shared" si="30"/>
        <v>-79.26011184000001</v>
      </c>
    </row>
    <row r="90" spans="2:15" ht="11.25">
      <c r="B90" s="67" t="s">
        <v>55</v>
      </c>
      <c r="C90" s="97">
        <f aca="true" t="shared" si="38" ref="C90:N90">+C77*C63</f>
        <v>0</v>
      </c>
      <c r="D90" s="77">
        <f t="shared" si="38"/>
        <v>0</v>
      </c>
      <c r="E90" s="77">
        <f t="shared" si="38"/>
        <v>0</v>
      </c>
      <c r="F90" s="77">
        <f t="shared" si="38"/>
        <v>0</v>
      </c>
      <c r="G90" s="77">
        <f t="shared" si="38"/>
        <v>0</v>
      </c>
      <c r="H90" s="77">
        <f t="shared" si="38"/>
        <v>0</v>
      </c>
      <c r="I90" s="77">
        <f t="shared" si="38"/>
        <v>0</v>
      </c>
      <c r="J90" s="77">
        <f t="shared" si="38"/>
        <v>0</v>
      </c>
      <c r="K90" s="77">
        <f t="shared" si="38"/>
        <v>0</v>
      </c>
      <c r="L90" s="77">
        <f t="shared" si="38"/>
        <v>0</v>
      </c>
      <c r="M90" s="77">
        <f t="shared" si="38"/>
        <v>0</v>
      </c>
      <c r="N90" s="77">
        <f t="shared" si="38"/>
        <v>0</v>
      </c>
      <c r="O90" s="106">
        <f t="shared" si="30"/>
        <v>0</v>
      </c>
    </row>
    <row r="91" spans="2:15" ht="11.25">
      <c r="B91" s="67" t="s">
        <v>56</v>
      </c>
      <c r="C91" s="97">
        <f aca="true" t="shared" si="39" ref="C91:N91">+C78*C64</f>
        <v>-24.741679700000056</v>
      </c>
      <c r="D91" s="77">
        <f t="shared" si="39"/>
        <v>-40.30499435000009</v>
      </c>
      <c r="E91" s="77">
        <f t="shared" si="39"/>
        <v>-27.215847670000063</v>
      </c>
      <c r="F91" s="77">
        <f t="shared" si="39"/>
        <v>-39.666499390000084</v>
      </c>
      <c r="G91" s="77">
        <f t="shared" si="39"/>
        <v>-26.97641206000006</v>
      </c>
      <c r="H91" s="77">
        <f t="shared" si="39"/>
        <v>-28.01396637000006</v>
      </c>
      <c r="I91" s="77">
        <f t="shared" si="39"/>
        <v>-26.65716458000006</v>
      </c>
      <c r="J91" s="77">
        <f t="shared" si="39"/>
        <v>-25.619610270000056</v>
      </c>
      <c r="K91" s="77">
        <f t="shared" si="39"/>
        <v>-34.558539710000076</v>
      </c>
      <c r="L91" s="77">
        <f t="shared" si="39"/>
        <v>-25.140739050000054</v>
      </c>
      <c r="M91" s="77">
        <f t="shared" si="39"/>
        <v>-55.38943778000012</v>
      </c>
      <c r="N91" s="77">
        <f t="shared" si="39"/>
        <v>-80.45036496000017</v>
      </c>
      <c r="O91" s="106">
        <f t="shared" si="30"/>
        <v>-434.73525589000093</v>
      </c>
    </row>
    <row r="92" spans="2:15" ht="11.25">
      <c r="B92" s="67" t="s">
        <v>57</v>
      </c>
      <c r="C92" s="98">
        <f aca="true" t="shared" si="40" ref="C92:N92">+C79*C65</f>
        <v>59.99446119999998</v>
      </c>
      <c r="D92" s="89">
        <f t="shared" si="40"/>
        <v>128.1870991999999</v>
      </c>
      <c r="E92" s="89">
        <f t="shared" si="40"/>
        <v>102.53526271999996</v>
      </c>
      <c r="F92" s="89">
        <f t="shared" si="40"/>
        <v>123.48550465999993</v>
      </c>
      <c r="G92" s="89">
        <f t="shared" si="40"/>
        <v>62.92251939999997</v>
      </c>
      <c r="H92" s="89">
        <f t="shared" si="40"/>
        <v>62.37198395999995</v>
      </c>
      <c r="I92" s="89">
        <f t="shared" si="40"/>
        <v>56.80381419999996</v>
      </c>
      <c r="J92" s="89">
        <f t="shared" si="40"/>
        <v>51.52494263999998</v>
      </c>
      <c r="K92" s="77">
        <f t="shared" si="40"/>
        <v>55.97263697999996</v>
      </c>
      <c r="L92" s="77">
        <f t="shared" si="40"/>
        <v>-22.108142699999984</v>
      </c>
      <c r="M92" s="77">
        <f t="shared" si="40"/>
        <v>-47.77011587999999</v>
      </c>
      <c r="N92" s="77">
        <f t="shared" si="40"/>
        <v>-107.26039295999998</v>
      </c>
      <c r="O92" s="106">
        <f t="shared" si="30"/>
        <v>526.6595734199996</v>
      </c>
    </row>
    <row r="93" spans="1:16" ht="11.25">
      <c r="A93" s="82" t="s">
        <v>63</v>
      </c>
      <c r="B93" s="82"/>
      <c r="C93" s="99">
        <f aca="true" t="shared" si="41" ref="C93:N93">SUM(C82:C92)</f>
        <v>176.90990719999996</v>
      </c>
      <c r="D93" s="100">
        <f t="shared" si="41"/>
        <v>365.1218225499998</v>
      </c>
      <c r="E93" s="100">
        <f t="shared" si="41"/>
        <v>271.7574777499999</v>
      </c>
      <c r="F93" s="100">
        <f t="shared" si="41"/>
        <v>346.8646346899999</v>
      </c>
      <c r="G93" s="100">
        <f t="shared" si="41"/>
        <v>180.72363477999988</v>
      </c>
      <c r="H93" s="100">
        <f t="shared" si="41"/>
        <v>159.18062354999986</v>
      </c>
      <c r="I93" s="100">
        <f t="shared" si="41"/>
        <v>175.7121094399999</v>
      </c>
      <c r="J93" s="100">
        <f t="shared" si="41"/>
        <v>157.50969560999994</v>
      </c>
      <c r="K93" s="105">
        <f t="shared" si="41"/>
        <v>179.11061886999988</v>
      </c>
      <c r="L93" s="105">
        <f t="shared" si="41"/>
        <v>12.616666649999946</v>
      </c>
      <c r="M93" s="105">
        <f t="shared" si="41"/>
        <v>29.854283799999905</v>
      </c>
      <c r="N93" s="105">
        <f t="shared" si="41"/>
        <v>39.427295039999834</v>
      </c>
      <c r="O93" s="106">
        <f>SUM(C93:N93)</f>
        <v>2094.7887699299986</v>
      </c>
      <c r="P93" s="106">
        <f>O93/2</f>
        <v>1047.3943849649993</v>
      </c>
    </row>
    <row r="94" spans="1:15" ht="11.25">
      <c r="A94" s="82" t="s">
        <v>64</v>
      </c>
      <c r="B94" s="82"/>
      <c r="C94" s="99">
        <f aca="true" t="shared" si="42" ref="C94:N94">+C93/C66</f>
        <v>57.067711999999986</v>
      </c>
      <c r="D94" s="100">
        <f t="shared" si="42"/>
        <v>72.30135099999997</v>
      </c>
      <c r="E94" s="100">
        <f t="shared" si="42"/>
        <v>79.69427499999998</v>
      </c>
      <c r="F94" s="100">
        <f t="shared" si="42"/>
        <v>69.79167699999998</v>
      </c>
      <c r="G94" s="100">
        <f t="shared" si="42"/>
        <v>53.46853099999997</v>
      </c>
      <c r="H94" s="100">
        <f t="shared" si="42"/>
        <v>45.350604999999966</v>
      </c>
      <c r="I94" s="100">
        <f t="shared" si="42"/>
        <v>52.60841599999997</v>
      </c>
      <c r="J94" s="100">
        <f t="shared" si="42"/>
        <v>49.06844099999998</v>
      </c>
      <c r="K94" s="124">
        <f t="shared" si="42"/>
        <v>41.365038999999975</v>
      </c>
      <c r="L94" s="124">
        <f t="shared" si="42"/>
        <v>4.005290999999983</v>
      </c>
      <c r="M94" s="124">
        <f t="shared" si="42"/>
        <v>4.301769999999986</v>
      </c>
      <c r="N94" s="124">
        <f t="shared" si="42"/>
        <v>3.9114379999999835</v>
      </c>
      <c r="O94" s="106"/>
    </row>
    <row r="95" ht="7.5" customHeight="1"/>
    <row r="96" spans="1:14" ht="11.25">
      <c r="A96" s="82"/>
      <c r="C96" s="106">
        <f>C94*0.7</f>
        <v>39.94739839999999</v>
      </c>
      <c r="D96" s="106">
        <f aca="true" t="shared" si="43" ref="D96:N96">D94*0.7</f>
        <v>50.610945699999974</v>
      </c>
      <c r="E96" s="106">
        <f t="shared" si="43"/>
        <v>55.78599249999998</v>
      </c>
      <c r="F96" s="106">
        <f t="shared" si="43"/>
        <v>48.854173899999985</v>
      </c>
      <c r="G96" s="106">
        <f t="shared" si="43"/>
        <v>37.42797169999998</v>
      </c>
      <c r="H96" s="106">
        <f t="shared" si="43"/>
        <v>31.745423499999973</v>
      </c>
      <c r="I96" s="106">
        <f t="shared" si="43"/>
        <v>36.82589119999998</v>
      </c>
      <c r="J96" s="106">
        <f t="shared" si="43"/>
        <v>34.347908699999984</v>
      </c>
      <c r="K96" s="106">
        <f t="shared" si="43"/>
        <v>28.95552729999998</v>
      </c>
      <c r="L96" s="106">
        <f t="shared" si="43"/>
        <v>2.803703699999988</v>
      </c>
      <c r="M96" s="106">
        <f t="shared" si="43"/>
        <v>3.01123899999999</v>
      </c>
      <c r="N96" s="106">
        <f t="shared" si="43"/>
        <v>2.7380065999999883</v>
      </c>
    </row>
    <row r="97" spans="3:14" ht="11.25">
      <c r="C97" s="101"/>
      <c r="D97" s="101"/>
      <c r="E97" s="101"/>
      <c r="F97" s="101"/>
      <c r="G97" s="101"/>
      <c r="H97" s="101"/>
      <c r="I97" s="101"/>
      <c r="J97" s="101"/>
      <c r="K97" s="101"/>
      <c r="L97" s="101"/>
      <c r="M97" s="101"/>
      <c r="N97" s="101"/>
    </row>
    <row r="98" spans="1:10" ht="11.25">
      <c r="A98" s="82"/>
      <c r="B98" s="82"/>
      <c r="C98" s="99"/>
      <c r="D98" s="99"/>
      <c r="E98" s="99"/>
      <c r="F98" s="99"/>
      <c r="G98" s="99"/>
      <c r="H98" s="99"/>
      <c r="I98" s="99"/>
      <c r="J98" s="103"/>
    </row>
    <row r="99" spans="3:10" ht="7.5" customHeight="1">
      <c r="C99" s="102"/>
      <c r="D99" s="102"/>
      <c r="E99" s="102"/>
      <c r="F99" s="102"/>
      <c r="G99" s="102"/>
      <c r="H99" s="102"/>
      <c r="I99" s="102"/>
      <c r="J99" s="102"/>
    </row>
    <row r="100" spans="1:10" ht="11.25">
      <c r="A100" s="82"/>
      <c r="B100" s="82"/>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2"/>
      <c r="C102" s="101"/>
      <c r="D102" s="101"/>
      <c r="E102" s="101"/>
      <c r="F102" s="101"/>
      <c r="G102" s="101"/>
      <c r="H102" s="101"/>
      <c r="I102" s="101"/>
      <c r="J102" s="104"/>
    </row>
  </sheetData>
  <sheetProtection/>
  <printOptions/>
  <pageMargins left="0.25" right="0.25" top="0.75" bottom="0.75" header="0.3" footer="0.3"/>
  <pageSetup fitToWidth="0" fitToHeight="1" orientation="portrait" scale="62"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2017-06-14T20:03:47Z</cp:lastPrinted>
  <dcterms:created xsi:type="dcterms:W3CDTF">2008-05-23T15:47:44Z</dcterms:created>
  <dcterms:modified xsi:type="dcterms:W3CDTF">2018-05-22T18:31:04Z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FIORITO ENTERPRISES INC &amp; RABANCO COMPANIES</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180485</vt:lpwstr>
  </property>
  <property fmtid="{D5CDD505-2E9C-101B-9397-08002B2CF9AE}" pid="10" name="Dat">
    <vt:lpwstr>2018-05-31T00:00:00Z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2018-05-31T00:00:00Z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