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5.xml" ContentType="application/vnd.openxmlformats-officedocument.spreadsheetml.externalLink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6.xml" ContentType="application/vnd.openxmlformats-officedocument.spreadsheetml.externalLink+xml"/>
  <Override PartName="/xl/comments2.xml" ContentType="application/vnd.openxmlformats-officedocument.spreadsheetml.comments+xml"/>
  <Override PartName="/xl/externalLinks/externalLink1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5205" yWindow="960" windowWidth="20145" windowHeight="8235" activeTab="4"/>
  </bookViews>
  <sheets>
    <sheet name="2017-2019 Budget Summary" sheetId="1" r:id="rId1"/>
    <sheet name="2017-2018 Admin Time" sheetId="2" r:id="rId2"/>
    <sheet name="Impact on Recycling" sheetId="8" r:id="rId3"/>
    <sheet name="Impact on Recycling (old)" sheetId="3" state="hidden" r:id="rId4"/>
    <sheet name="2017-2018 Cost Summary" sheetId="12" r:id="rId5"/>
    <sheet name="MF" sheetId="5" state="hidden" r:id="rId6"/>
    <sheet name="SF 13-14 (2)" sheetId="4" state="hidden" r:id="rId7"/>
    <sheet name="SF" sheetId="7" state="hidden" r:id="rId8"/>
    <sheet name="SF 14-15" sheetId="9" state="hidden" r:id="rId9"/>
    <sheet name="MF 14-15" sheetId="10" state="hidden" r:id="rId10"/>
    <sheet name="Reporting Timeline" sheetId="11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Titles" localSheetId="6">'SF 13-14 (2)'!$2:$2</definedName>
  </definedNames>
  <calcPr calcId="145621"/>
</workbook>
</file>

<file path=xl/calcChain.xml><?xml version="1.0" encoding="utf-8"?>
<calcChain xmlns="http://schemas.openxmlformats.org/spreadsheetml/2006/main">
  <c r="D18" i="12" l="1"/>
  <c r="B18" i="12"/>
  <c r="D17" i="12"/>
  <c r="B17" i="12"/>
  <c r="D15" i="12" l="1"/>
  <c r="B15" i="12"/>
  <c r="D14" i="12"/>
  <c r="B14" i="12"/>
  <c r="D12" i="12"/>
  <c r="B12" i="12"/>
  <c r="D11" i="12"/>
  <c r="B11" i="12"/>
  <c r="J44" i="8" l="1"/>
  <c r="E47" i="8" l="1"/>
  <c r="D47" i="8"/>
  <c r="C47" i="8"/>
  <c r="H18" i="8"/>
  <c r="I18" i="8" s="1"/>
  <c r="G18" i="8"/>
  <c r="H41" i="2"/>
  <c r="G39" i="2" l="1"/>
  <c r="F39" i="2"/>
  <c r="E39" i="2"/>
  <c r="D39" i="2"/>
  <c r="C39" i="2"/>
  <c r="D43" i="1"/>
  <c r="D41" i="1"/>
  <c r="J18" i="8"/>
  <c r="J47" i="8"/>
  <c r="J32" i="8"/>
  <c r="H25" i="2" l="1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A7" i="12" l="1"/>
  <c r="F11" i="12"/>
  <c r="D20" i="12"/>
  <c r="F12" i="12"/>
  <c r="F14" i="12"/>
  <c r="F15" i="12"/>
  <c r="F17" i="12"/>
  <c r="F18" i="12"/>
  <c r="A23" i="12"/>
  <c r="D45" i="12"/>
  <c r="D46" i="12" l="1"/>
  <c r="D48" i="12" s="1"/>
  <c r="D50" i="12"/>
  <c r="F20" i="12"/>
  <c r="B20" i="12"/>
  <c r="E50" i="12" l="1"/>
  <c r="D52" i="12"/>
  <c r="E52" i="12" s="1"/>
  <c r="E48" i="12"/>
  <c r="F10" i="12"/>
  <c r="D10" i="12"/>
  <c r="J17" i="8" l="1"/>
  <c r="J31" i="8"/>
  <c r="G17" i="8" l="1"/>
  <c r="E46" i="8" l="1"/>
  <c r="D46" i="8"/>
  <c r="C46" i="8"/>
  <c r="H17" i="8"/>
  <c r="I17" i="8" s="1"/>
  <c r="J46" i="8" l="1"/>
  <c r="B12" i="1"/>
  <c r="B15" i="1"/>
  <c r="B14" i="1"/>
  <c r="B17" i="1"/>
  <c r="B18" i="1"/>
  <c r="B11" i="1"/>
  <c r="D43" i="8" l="1"/>
  <c r="H14" i="8" l="1"/>
  <c r="D41" i="2" l="1"/>
  <c r="E41" i="2"/>
  <c r="F41" i="2"/>
  <c r="G41" i="2"/>
  <c r="C41" i="2" l="1"/>
  <c r="I41" i="2" s="1"/>
  <c r="H39" i="2"/>
  <c r="E43" i="8"/>
  <c r="J27" i="8"/>
  <c r="J28" i="8"/>
  <c r="C14" i="8" l="1"/>
  <c r="C43" i="8" l="1"/>
  <c r="J43" i="8" s="1"/>
  <c r="J14" i="8"/>
  <c r="G14" i="8"/>
  <c r="I14" i="8" s="1"/>
  <c r="D11" i="1" l="1"/>
  <c r="P4" i="10" l="1"/>
  <c r="P5" i="10"/>
  <c r="P6" i="10"/>
  <c r="P7" i="10"/>
  <c r="P8" i="10"/>
  <c r="P9" i="10"/>
  <c r="P10" i="10"/>
  <c r="P11" i="10"/>
  <c r="P12" i="10"/>
  <c r="P13" i="10"/>
  <c r="P14" i="10"/>
  <c r="P15" i="10"/>
  <c r="P17" i="10"/>
  <c r="P18" i="10"/>
  <c r="P19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4" i="10"/>
  <c r="P35" i="10"/>
  <c r="P36" i="10"/>
  <c r="P37" i="10"/>
  <c r="P38" i="10"/>
  <c r="P39" i="10"/>
  <c r="P41" i="10"/>
  <c r="P42" i="10"/>
  <c r="P3" i="10"/>
  <c r="R4" i="10" l="1"/>
  <c r="S4" i="10"/>
  <c r="S12" i="9"/>
  <c r="S9" i="9"/>
  <c r="S6" i="9"/>
  <c r="Q4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3" i="9"/>
  <c r="P4" i="9"/>
  <c r="P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50" i="9"/>
  <c r="P151" i="9"/>
  <c r="P152" i="9"/>
  <c r="P153" i="9"/>
  <c r="P154" i="9"/>
  <c r="P155" i="9"/>
  <c r="P156" i="9"/>
  <c r="P157" i="9"/>
  <c r="P158" i="9"/>
  <c r="P159" i="9"/>
  <c r="P3" i="9"/>
  <c r="E26" i="8" l="1"/>
  <c r="D45" i="1" l="1"/>
  <c r="D12" i="1"/>
  <c r="D14" i="1"/>
  <c r="D15" i="1"/>
  <c r="D17" i="1"/>
  <c r="D18" i="1"/>
  <c r="D19" i="1"/>
  <c r="E247" i="4" l="1"/>
  <c r="F247" i="4"/>
  <c r="G247" i="4"/>
  <c r="H247" i="4"/>
  <c r="I247" i="4"/>
  <c r="J247" i="4"/>
  <c r="K247" i="4"/>
  <c r="L247" i="4"/>
  <c r="M247" i="4"/>
  <c r="N247" i="4"/>
  <c r="D247" i="4"/>
  <c r="E248" i="4"/>
  <c r="F248" i="4"/>
  <c r="G248" i="4"/>
  <c r="H248" i="4"/>
  <c r="I248" i="4"/>
  <c r="J248" i="4"/>
  <c r="K248" i="4"/>
  <c r="L248" i="4"/>
  <c r="M248" i="4"/>
  <c r="N248" i="4"/>
  <c r="O248" i="4"/>
  <c r="D248" i="4"/>
  <c r="E216" i="4"/>
  <c r="F216" i="4"/>
  <c r="G216" i="4"/>
  <c r="H216" i="4"/>
  <c r="I216" i="4"/>
  <c r="J216" i="4"/>
  <c r="K216" i="4"/>
  <c r="L216" i="4"/>
  <c r="M216" i="4"/>
  <c r="N216" i="4"/>
  <c r="O216" i="4"/>
  <c r="D216" i="4"/>
  <c r="L217" i="4"/>
  <c r="M217" i="4"/>
  <c r="N217" i="4"/>
  <c r="F217" i="4"/>
  <c r="G217" i="4"/>
  <c r="H217" i="4"/>
  <c r="I217" i="4"/>
  <c r="J217" i="4"/>
  <c r="K217" i="4"/>
  <c r="E217" i="4"/>
  <c r="D217" i="4"/>
  <c r="E218" i="4"/>
  <c r="F218" i="4"/>
  <c r="G218" i="4"/>
  <c r="H218" i="4"/>
  <c r="I218" i="4"/>
  <c r="J218" i="4"/>
  <c r="K218" i="4"/>
  <c r="D218" i="4"/>
  <c r="F210" i="4"/>
  <c r="G210" i="4"/>
  <c r="H210" i="4"/>
  <c r="I210" i="4"/>
  <c r="J210" i="4"/>
  <c r="K210" i="4"/>
  <c r="E210" i="4"/>
  <c r="D210" i="4"/>
  <c r="E211" i="4"/>
  <c r="F211" i="4"/>
  <c r="G211" i="4"/>
  <c r="H211" i="4"/>
  <c r="I211" i="4"/>
  <c r="J211" i="4"/>
  <c r="K211" i="4"/>
  <c r="D211" i="4"/>
  <c r="E181" i="4"/>
  <c r="F181" i="4"/>
  <c r="G181" i="4"/>
  <c r="H181" i="4"/>
  <c r="I181" i="4"/>
  <c r="J181" i="4"/>
  <c r="K181" i="4"/>
  <c r="D181" i="4"/>
  <c r="E180" i="4"/>
  <c r="F180" i="4"/>
  <c r="G180" i="4"/>
  <c r="H180" i="4"/>
  <c r="I180" i="4"/>
  <c r="J180" i="4"/>
  <c r="K180" i="4"/>
  <c r="D180" i="4"/>
  <c r="E179" i="4"/>
  <c r="F179" i="4"/>
  <c r="G179" i="4"/>
  <c r="H179" i="4"/>
  <c r="I179" i="4"/>
  <c r="J179" i="4"/>
  <c r="K179" i="4"/>
  <c r="D179" i="4"/>
  <c r="F212" i="4"/>
  <c r="G212" i="4"/>
  <c r="H212" i="4"/>
  <c r="I212" i="4"/>
  <c r="J212" i="4"/>
  <c r="K212" i="4"/>
  <c r="E212" i="4"/>
  <c r="D212" i="4"/>
  <c r="E175" i="4"/>
  <c r="F175" i="4"/>
  <c r="G175" i="4"/>
  <c r="H175" i="4"/>
  <c r="I175" i="4"/>
  <c r="J175" i="4"/>
  <c r="K175" i="4"/>
  <c r="D175" i="4"/>
  <c r="E174" i="4"/>
  <c r="F174" i="4"/>
  <c r="G174" i="4"/>
  <c r="H174" i="4"/>
  <c r="I174" i="4"/>
  <c r="J174" i="4"/>
  <c r="K174" i="4"/>
  <c r="D174" i="4"/>
  <c r="Q320" i="7"/>
  <c r="P320" i="7"/>
  <c r="Q319" i="7"/>
  <c r="P319" i="7"/>
  <c r="Q318" i="7"/>
  <c r="P318" i="7"/>
  <c r="Q317" i="7"/>
  <c r="P317" i="7"/>
  <c r="Q316" i="7"/>
  <c r="P316" i="7"/>
  <c r="Q315" i="7"/>
  <c r="P315" i="7"/>
  <c r="Q314" i="7"/>
  <c r="P314" i="7"/>
  <c r="Q313" i="7"/>
  <c r="P313" i="7"/>
  <c r="Q312" i="7"/>
  <c r="P312" i="7"/>
  <c r="Q311" i="7"/>
  <c r="P311" i="7"/>
  <c r="Q310" i="7"/>
  <c r="P310" i="7"/>
  <c r="Q309" i="7"/>
  <c r="P309" i="7"/>
  <c r="Q308" i="7"/>
  <c r="P308" i="7"/>
  <c r="Q307" i="7"/>
  <c r="P307" i="7"/>
  <c r="Q306" i="7"/>
  <c r="P306" i="7"/>
  <c r="Q305" i="7"/>
  <c r="P305" i="7"/>
  <c r="Q304" i="7"/>
  <c r="P304" i="7"/>
  <c r="Q303" i="7"/>
  <c r="P303" i="7"/>
  <c r="Q302" i="7"/>
  <c r="P302" i="7"/>
  <c r="Q301" i="7"/>
  <c r="P301" i="7"/>
  <c r="Q300" i="7"/>
  <c r="P300" i="7"/>
  <c r="Q299" i="7"/>
  <c r="P299" i="7"/>
  <c r="Q298" i="7"/>
  <c r="P298" i="7"/>
  <c r="Q297" i="7"/>
  <c r="P297" i="7"/>
  <c r="Q296" i="7"/>
  <c r="P296" i="7"/>
  <c r="Q295" i="7"/>
  <c r="P295" i="7"/>
  <c r="Q294" i="7"/>
  <c r="P294" i="7"/>
  <c r="Q293" i="7"/>
  <c r="P293" i="7"/>
  <c r="Q292" i="7"/>
  <c r="P292" i="7"/>
  <c r="Q291" i="7"/>
  <c r="P291" i="7"/>
  <c r="Q290" i="7"/>
  <c r="P290" i="7"/>
  <c r="Q289" i="7"/>
  <c r="P289" i="7"/>
  <c r="Q288" i="7"/>
  <c r="P288" i="7"/>
  <c r="Q287" i="7"/>
  <c r="P287" i="7"/>
  <c r="Q286" i="7"/>
  <c r="P286" i="7"/>
  <c r="Q285" i="7"/>
  <c r="P285" i="7"/>
  <c r="Q284" i="7"/>
  <c r="P284" i="7"/>
  <c r="Q283" i="7"/>
  <c r="P283" i="7"/>
  <c r="Q282" i="7"/>
  <c r="P282" i="7"/>
  <c r="Q281" i="7"/>
  <c r="P281" i="7"/>
  <c r="Q280" i="7"/>
  <c r="P280" i="7"/>
  <c r="Q279" i="7"/>
  <c r="P279" i="7"/>
  <c r="Q278" i="7"/>
  <c r="P278" i="7"/>
  <c r="Q277" i="7"/>
  <c r="P277" i="7"/>
  <c r="Q276" i="7"/>
  <c r="P276" i="7"/>
  <c r="Q275" i="7"/>
  <c r="P275" i="7"/>
  <c r="Q274" i="7"/>
  <c r="P274" i="7"/>
  <c r="Q273" i="7"/>
  <c r="P273" i="7"/>
  <c r="Q272" i="7"/>
  <c r="P272" i="7"/>
  <c r="Q271" i="7"/>
  <c r="P271" i="7"/>
  <c r="Q270" i="7"/>
  <c r="P270" i="7"/>
  <c r="Q269" i="7"/>
  <c r="P269" i="7"/>
  <c r="Q268" i="7"/>
  <c r="P268" i="7"/>
  <c r="Q267" i="7"/>
  <c r="P267" i="7"/>
  <c r="Q266" i="7"/>
  <c r="P266" i="7"/>
  <c r="Q265" i="7"/>
  <c r="P265" i="7"/>
  <c r="Q264" i="7"/>
  <c r="P264" i="7"/>
  <c r="Q263" i="7"/>
  <c r="P263" i="7"/>
  <c r="Q262" i="7"/>
  <c r="P262" i="7"/>
  <c r="Q261" i="7"/>
  <c r="P261" i="7"/>
  <c r="Q260" i="7"/>
  <c r="P260" i="7"/>
  <c r="Q259" i="7"/>
  <c r="P259" i="7"/>
  <c r="Q258" i="7"/>
  <c r="P258" i="7"/>
  <c r="Q257" i="7"/>
  <c r="P257" i="7"/>
  <c r="Q256" i="7"/>
  <c r="P256" i="7"/>
  <c r="Q255" i="7"/>
  <c r="P255" i="7"/>
  <c r="Q254" i="7"/>
  <c r="P254" i="7"/>
  <c r="Q253" i="7"/>
  <c r="P253" i="7"/>
  <c r="Q252" i="7"/>
  <c r="P252" i="7"/>
  <c r="Q251" i="7"/>
  <c r="P251" i="7"/>
  <c r="Q250" i="7"/>
  <c r="P250" i="7"/>
  <c r="Q249" i="7"/>
  <c r="P249" i="7"/>
  <c r="Q248" i="7"/>
  <c r="P248" i="7"/>
  <c r="Q247" i="7"/>
  <c r="P247" i="7"/>
  <c r="Q246" i="7"/>
  <c r="P246" i="7"/>
  <c r="Q245" i="7"/>
  <c r="P245" i="7"/>
  <c r="Q244" i="7"/>
  <c r="P244" i="7"/>
  <c r="Q243" i="7"/>
  <c r="P243" i="7"/>
  <c r="Q242" i="7"/>
  <c r="P242" i="7"/>
  <c r="Q241" i="7"/>
  <c r="P241" i="7"/>
  <c r="Q240" i="7"/>
  <c r="P240" i="7"/>
  <c r="Q239" i="7"/>
  <c r="P239" i="7"/>
  <c r="Q238" i="7"/>
  <c r="P238" i="7"/>
  <c r="Q237" i="7"/>
  <c r="P237" i="7"/>
  <c r="Q236" i="7"/>
  <c r="P236" i="7"/>
  <c r="Q235" i="7"/>
  <c r="P235" i="7"/>
  <c r="Q234" i="7"/>
  <c r="P234" i="7"/>
  <c r="Q233" i="7"/>
  <c r="P233" i="7"/>
  <c r="Q232" i="7"/>
  <c r="P232" i="7"/>
  <c r="Q231" i="7"/>
  <c r="P231" i="7"/>
  <c r="Q230" i="7"/>
  <c r="P230" i="7"/>
  <c r="Q229" i="7"/>
  <c r="P229" i="7"/>
  <c r="Q228" i="7"/>
  <c r="P228" i="7"/>
  <c r="Q227" i="7"/>
  <c r="P227" i="7"/>
  <c r="Q226" i="7"/>
  <c r="P226" i="7"/>
  <c r="Q225" i="7"/>
  <c r="P225" i="7"/>
  <c r="Q224" i="7"/>
  <c r="P224" i="7"/>
  <c r="Q223" i="7"/>
  <c r="P223" i="7"/>
  <c r="Q222" i="7"/>
  <c r="P222" i="7"/>
  <c r="Q221" i="7"/>
  <c r="P221" i="7"/>
  <c r="Q220" i="7"/>
  <c r="P220" i="7"/>
  <c r="Q219" i="7"/>
  <c r="P219" i="7"/>
  <c r="Q218" i="7"/>
  <c r="P218" i="7"/>
  <c r="Q217" i="7"/>
  <c r="P217" i="7"/>
  <c r="Q216" i="7"/>
  <c r="P216" i="7"/>
  <c r="Q215" i="7"/>
  <c r="P215" i="7"/>
  <c r="Q214" i="7"/>
  <c r="P214" i="7"/>
  <c r="Q213" i="7"/>
  <c r="P213" i="7"/>
  <c r="Q212" i="7"/>
  <c r="P212" i="7"/>
  <c r="Q211" i="7"/>
  <c r="P211" i="7"/>
  <c r="Q210" i="7"/>
  <c r="P210" i="7"/>
  <c r="Q209" i="7"/>
  <c r="P209" i="7"/>
  <c r="Q208" i="7"/>
  <c r="P208" i="7"/>
  <c r="Q207" i="7"/>
  <c r="P207" i="7"/>
  <c r="Q206" i="7"/>
  <c r="P206" i="7"/>
  <c r="Q205" i="7"/>
  <c r="P205" i="7"/>
  <c r="Q204" i="7"/>
  <c r="P204" i="7"/>
  <c r="Q203" i="7"/>
  <c r="P203" i="7"/>
  <c r="Q202" i="7"/>
  <c r="P202" i="7"/>
  <c r="Q201" i="7"/>
  <c r="P201" i="7"/>
  <c r="Q200" i="7"/>
  <c r="P200" i="7"/>
  <c r="Q199" i="7"/>
  <c r="P199" i="7"/>
  <c r="Q198" i="7"/>
  <c r="P198" i="7"/>
  <c r="Q197" i="7"/>
  <c r="P197" i="7"/>
  <c r="Q196" i="7"/>
  <c r="P196" i="7"/>
  <c r="Q195" i="7"/>
  <c r="P195" i="7"/>
  <c r="Q194" i="7"/>
  <c r="P194" i="7"/>
  <c r="Q193" i="7"/>
  <c r="P193" i="7"/>
  <c r="Q192" i="7"/>
  <c r="P192" i="7"/>
  <c r="Q191" i="7"/>
  <c r="P191" i="7"/>
  <c r="Q190" i="7"/>
  <c r="P190" i="7"/>
  <c r="Q189" i="7"/>
  <c r="P189" i="7"/>
  <c r="Q188" i="7"/>
  <c r="P188" i="7"/>
  <c r="Q187" i="7"/>
  <c r="P187" i="7"/>
  <c r="Q186" i="7"/>
  <c r="P186" i="7"/>
  <c r="Q185" i="7"/>
  <c r="P185" i="7"/>
  <c r="Q184" i="7"/>
  <c r="P184" i="7"/>
  <c r="Q183" i="7"/>
  <c r="P183" i="7"/>
  <c r="Q182" i="7"/>
  <c r="P182" i="7"/>
  <c r="Q181" i="7"/>
  <c r="P181" i="7"/>
  <c r="Q180" i="7"/>
  <c r="P180" i="7"/>
  <c r="Q179" i="7"/>
  <c r="P179" i="7"/>
  <c r="Q178" i="7"/>
  <c r="P178" i="7"/>
  <c r="Q177" i="7"/>
  <c r="P177" i="7"/>
  <c r="Q176" i="7"/>
  <c r="P176" i="7"/>
  <c r="Q175" i="7"/>
  <c r="P175" i="7"/>
  <c r="Q174" i="7"/>
  <c r="P174" i="7"/>
  <c r="P173" i="7"/>
  <c r="K173" i="7"/>
  <c r="J173" i="7"/>
  <c r="I173" i="7"/>
  <c r="H173" i="7"/>
  <c r="G173" i="7"/>
  <c r="F173" i="7"/>
  <c r="E173" i="7"/>
  <c r="D173" i="7"/>
  <c r="Q172" i="7"/>
  <c r="P172" i="7"/>
  <c r="Q171" i="7"/>
  <c r="P171" i="7"/>
  <c r="Q170" i="7"/>
  <c r="P170" i="7"/>
  <c r="Q169" i="7"/>
  <c r="P169" i="7"/>
  <c r="Q168" i="7"/>
  <c r="P168" i="7"/>
  <c r="Q167" i="7"/>
  <c r="P167" i="7"/>
  <c r="Q166" i="7"/>
  <c r="P166" i="7"/>
  <c r="Q165" i="7"/>
  <c r="P165" i="7"/>
  <c r="U164" i="7"/>
  <c r="S164" i="7"/>
  <c r="Q164" i="7"/>
  <c r="P164" i="7"/>
  <c r="P163" i="7"/>
  <c r="P162" i="7"/>
  <c r="P161" i="7"/>
  <c r="P160" i="7"/>
  <c r="P159" i="7"/>
  <c r="O159" i="7"/>
  <c r="N159" i="7"/>
  <c r="M159" i="7"/>
  <c r="L159" i="7"/>
  <c r="K159" i="7"/>
  <c r="J159" i="7"/>
  <c r="I159" i="7"/>
  <c r="H159" i="7"/>
  <c r="G159" i="7"/>
  <c r="F159" i="7"/>
  <c r="E159" i="7"/>
  <c r="D159" i="7"/>
  <c r="P158" i="7"/>
  <c r="O158" i="7"/>
  <c r="N158" i="7"/>
  <c r="M158" i="7"/>
  <c r="L158" i="7"/>
  <c r="K158" i="7"/>
  <c r="J158" i="7"/>
  <c r="I158" i="7"/>
  <c r="H158" i="7"/>
  <c r="G158" i="7"/>
  <c r="F158" i="7"/>
  <c r="E158" i="7"/>
  <c r="D158" i="7"/>
  <c r="P157" i="7"/>
  <c r="O157" i="7"/>
  <c r="N157" i="7"/>
  <c r="M157" i="7"/>
  <c r="L157" i="7"/>
  <c r="K157" i="7"/>
  <c r="J157" i="7"/>
  <c r="I157" i="7"/>
  <c r="H157" i="7"/>
  <c r="G157" i="7"/>
  <c r="F157" i="7"/>
  <c r="E157" i="7"/>
  <c r="D157" i="7"/>
  <c r="P156" i="7"/>
  <c r="O156" i="7"/>
  <c r="N156" i="7"/>
  <c r="M156" i="7"/>
  <c r="L156" i="7"/>
  <c r="K156" i="7"/>
  <c r="J156" i="7"/>
  <c r="I156" i="7"/>
  <c r="H156" i="7"/>
  <c r="G156" i="7"/>
  <c r="F156" i="7"/>
  <c r="E156" i="7"/>
  <c r="D156" i="7"/>
  <c r="P155" i="7"/>
  <c r="O155" i="7"/>
  <c r="N155" i="7"/>
  <c r="M155" i="7"/>
  <c r="L155" i="7"/>
  <c r="K155" i="7"/>
  <c r="J155" i="7"/>
  <c r="I155" i="7"/>
  <c r="H155" i="7"/>
  <c r="G155" i="7"/>
  <c r="F155" i="7"/>
  <c r="E155" i="7"/>
  <c r="D155" i="7"/>
  <c r="P154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P153" i="7"/>
  <c r="O153" i="7"/>
  <c r="N153" i="7"/>
  <c r="M153" i="7"/>
  <c r="L153" i="7"/>
  <c r="K153" i="7"/>
  <c r="J153" i="7"/>
  <c r="I153" i="7"/>
  <c r="H153" i="7"/>
  <c r="G153" i="7"/>
  <c r="F153" i="7"/>
  <c r="E153" i="7"/>
  <c r="D153" i="7"/>
  <c r="P152" i="7"/>
  <c r="O152" i="7"/>
  <c r="N152" i="7"/>
  <c r="M152" i="7"/>
  <c r="L152" i="7"/>
  <c r="K152" i="7"/>
  <c r="J152" i="7"/>
  <c r="I152" i="7"/>
  <c r="H152" i="7"/>
  <c r="G152" i="7"/>
  <c r="F152" i="7"/>
  <c r="E152" i="7"/>
  <c r="D152" i="7"/>
  <c r="P151" i="7"/>
  <c r="O151" i="7"/>
  <c r="N151" i="7"/>
  <c r="M151" i="7"/>
  <c r="L151" i="7"/>
  <c r="K151" i="7"/>
  <c r="J151" i="7"/>
  <c r="I151" i="7"/>
  <c r="H151" i="7"/>
  <c r="G151" i="7"/>
  <c r="F151" i="7"/>
  <c r="E151" i="7"/>
  <c r="D151" i="7"/>
  <c r="P150" i="7"/>
  <c r="O150" i="7"/>
  <c r="N150" i="7"/>
  <c r="M150" i="7"/>
  <c r="L150" i="7"/>
  <c r="K150" i="7"/>
  <c r="J150" i="7"/>
  <c r="I150" i="7"/>
  <c r="H150" i="7"/>
  <c r="G150" i="7"/>
  <c r="F150" i="7"/>
  <c r="E150" i="7"/>
  <c r="D150" i="7"/>
  <c r="P149" i="7"/>
  <c r="O149" i="7"/>
  <c r="N149" i="7"/>
  <c r="M149" i="7"/>
  <c r="L149" i="7"/>
  <c r="K149" i="7"/>
  <c r="J149" i="7"/>
  <c r="I149" i="7"/>
  <c r="H149" i="7"/>
  <c r="G149" i="7"/>
  <c r="F149" i="7"/>
  <c r="E149" i="7"/>
  <c r="D149" i="7"/>
  <c r="P148" i="7"/>
  <c r="O148" i="7"/>
  <c r="N148" i="7"/>
  <c r="M148" i="7"/>
  <c r="L148" i="7"/>
  <c r="K148" i="7"/>
  <c r="J148" i="7"/>
  <c r="I148" i="7"/>
  <c r="H148" i="7"/>
  <c r="G148" i="7"/>
  <c r="F148" i="7"/>
  <c r="E148" i="7"/>
  <c r="D148" i="7"/>
  <c r="P147" i="7"/>
  <c r="O147" i="7"/>
  <c r="N147" i="7"/>
  <c r="M147" i="7"/>
  <c r="L147" i="7"/>
  <c r="K147" i="7"/>
  <c r="J147" i="7"/>
  <c r="I147" i="7"/>
  <c r="H147" i="7"/>
  <c r="G147" i="7"/>
  <c r="F147" i="7"/>
  <c r="E147" i="7"/>
  <c r="D147" i="7"/>
  <c r="P146" i="7"/>
  <c r="O146" i="7"/>
  <c r="N146" i="7"/>
  <c r="M146" i="7"/>
  <c r="L146" i="7"/>
  <c r="K146" i="7"/>
  <c r="J146" i="7"/>
  <c r="I146" i="7"/>
  <c r="H146" i="7"/>
  <c r="G146" i="7"/>
  <c r="F146" i="7"/>
  <c r="E146" i="7"/>
  <c r="D146" i="7"/>
  <c r="P145" i="7"/>
  <c r="O145" i="7"/>
  <c r="N145" i="7"/>
  <c r="M145" i="7"/>
  <c r="L145" i="7"/>
  <c r="K145" i="7"/>
  <c r="J145" i="7"/>
  <c r="I145" i="7"/>
  <c r="H145" i="7"/>
  <c r="G145" i="7"/>
  <c r="F145" i="7"/>
  <c r="E145" i="7"/>
  <c r="D145" i="7"/>
  <c r="P144" i="7"/>
  <c r="O144" i="7"/>
  <c r="N144" i="7"/>
  <c r="M144" i="7"/>
  <c r="L144" i="7"/>
  <c r="K144" i="7"/>
  <c r="J144" i="7"/>
  <c r="I144" i="7"/>
  <c r="H144" i="7"/>
  <c r="G144" i="7"/>
  <c r="F144" i="7"/>
  <c r="E144" i="7"/>
  <c r="D144" i="7"/>
  <c r="P143" i="7"/>
  <c r="O143" i="7"/>
  <c r="N143" i="7"/>
  <c r="M143" i="7"/>
  <c r="L143" i="7"/>
  <c r="K143" i="7"/>
  <c r="J143" i="7"/>
  <c r="I143" i="7"/>
  <c r="H143" i="7"/>
  <c r="G143" i="7"/>
  <c r="F143" i="7"/>
  <c r="E143" i="7"/>
  <c r="D143" i="7"/>
  <c r="P142" i="7"/>
  <c r="O142" i="7"/>
  <c r="N142" i="7"/>
  <c r="M142" i="7"/>
  <c r="L142" i="7"/>
  <c r="K142" i="7"/>
  <c r="J142" i="7"/>
  <c r="I142" i="7"/>
  <c r="H142" i="7"/>
  <c r="G142" i="7"/>
  <c r="F142" i="7"/>
  <c r="E142" i="7"/>
  <c r="D142" i="7"/>
  <c r="P141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P140" i="7"/>
  <c r="O140" i="7"/>
  <c r="N140" i="7"/>
  <c r="M140" i="7"/>
  <c r="L140" i="7"/>
  <c r="K140" i="7"/>
  <c r="J140" i="7"/>
  <c r="I140" i="7"/>
  <c r="H140" i="7"/>
  <c r="G140" i="7"/>
  <c r="F140" i="7"/>
  <c r="E140" i="7"/>
  <c r="D140" i="7"/>
  <c r="P139" i="7"/>
  <c r="O139" i="7"/>
  <c r="N139" i="7"/>
  <c r="M139" i="7"/>
  <c r="L139" i="7"/>
  <c r="K139" i="7"/>
  <c r="J139" i="7"/>
  <c r="I139" i="7"/>
  <c r="H139" i="7"/>
  <c r="G139" i="7"/>
  <c r="F139" i="7"/>
  <c r="E139" i="7"/>
  <c r="D139" i="7"/>
  <c r="P138" i="7"/>
  <c r="O138" i="7"/>
  <c r="N138" i="7"/>
  <c r="M138" i="7"/>
  <c r="L138" i="7"/>
  <c r="K138" i="7"/>
  <c r="J138" i="7"/>
  <c r="I138" i="7"/>
  <c r="H138" i="7"/>
  <c r="G138" i="7"/>
  <c r="F138" i="7"/>
  <c r="E138" i="7"/>
  <c r="D138" i="7"/>
  <c r="P137" i="7"/>
  <c r="O137" i="7"/>
  <c r="N137" i="7"/>
  <c r="M137" i="7"/>
  <c r="L137" i="7"/>
  <c r="K137" i="7"/>
  <c r="J137" i="7"/>
  <c r="I137" i="7"/>
  <c r="H137" i="7"/>
  <c r="G137" i="7"/>
  <c r="F137" i="7"/>
  <c r="E137" i="7"/>
  <c r="D137" i="7"/>
  <c r="P136" i="7"/>
  <c r="O136" i="7"/>
  <c r="N136" i="7"/>
  <c r="M136" i="7"/>
  <c r="L136" i="7"/>
  <c r="K136" i="7"/>
  <c r="J136" i="7"/>
  <c r="I136" i="7"/>
  <c r="H136" i="7"/>
  <c r="G136" i="7"/>
  <c r="F136" i="7"/>
  <c r="E136" i="7"/>
  <c r="D136" i="7"/>
  <c r="P135" i="7"/>
  <c r="O135" i="7"/>
  <c r="N135" i="7"/>
  <c r="M135" i="7"/>
  <c r="L135" i="7"/>
  <c r="K135" i="7"/>
  <c r="J135" i="7"/>
  <c r="I135" i="7"/>
  <c r="H135" i="7"/>
  <c r="G135" i="7"/>
  <c r="F135" i="7"/>
  <c r="E135" i="7"/>
  <c r="D135" i="7"/>
  <c r="P134" i="7"/>
  <c r="O134" i="7"/>
  <c r="N134" i="7"/>
  <c r="M134" i="7"/>
  <c r="L134" i="7"/>
  <c r="K134" i="7"/>
  <c r="J134" i="7"/>
  <c r="I134" i="7"/>
  <c r="H134" i="7"/>
  <c r="G134" i="7"/>
  <c r="F134" i="7"/>
  <c r="E134" i="7"/>
  <c r="D134" i="7"/>
  <c r="P133" i="7"/>
  <c r="O133" i="7"/>
  <c r="N133" i="7"/>
  <c r="M133" i="7"/>
  <c r="L133" i="7"/>
  <c r="K133" i="7"/>
  <c r="J133" i="7"/>
  <c r="I133" i="7"/>
  <c r="H133" i="7"/>
  <c r="G133" i="7"/>
  <c r="F133" i="7"/>
  <c r="E133" i="7"/>
  <c r="D133" i="7"/>
  <c r="P132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P131" i="7"/>
  <c r="O131" i="7"/>
  <c r="N131" i="7"/>
  <c r="M131" i="7"/>
  <c r="L131" i="7"/>
  <c r="K131" i="7"/>
  <c r="J131" i="7"/>
  <c r="I131" i="7"/>
  <c r="H131" i="7"/>
  <c r="G131" i="7"/>
  <c r="F131" i="7"/>
  <c r="E131" i="7"/>
  <c r="D131" i="7"/>
  <c r="P130" i="7"/>
  <c r="O130" i="7"/>
  <c r="N130" i="7"/>
  <c r="M130" i="7"/>
  <c r="L130" i="7"/>
  <c r="K130" i="7"/>
  <c r="J130" i="7"/>
  <c r="I130" i="7"/>
  <c r="H130" i="7"/>
  <c r="G130" i="7"/>
  <c r="F130" i="7"/>
  <c r="E130" i="7"/>
  <c r="D130" i="7"/>
  <c r="P129" i="7"/>
  <c r="O129" i="7"/>
  <c r="N129" i="7"/>
  <c r="M129" i="7"/>
  <c r="L129" i="7"/>
  <c r="K129" i="7"/>
  <c r="J129" i="7"/>
  <c r="I129" i="7"/>
  <c r="H129" i="7"/>
  <c r="G129" i="7"/>
  <c r="F129" i="7"/>
  <c r="E129" i="7"/>
  <c r="D129" i="7"/>
  <c r="P128" i="7"/>
  <c r="O128" i="7"/>
  <c r="N128" i="7"/>
  <c r="M128" i="7"/>
  <c r="L128" i="7"/>
  <c r="K128" i="7"/>
  <c r="J128" i="7"/>
  <c r="I128" i="7"/>
  <c r="H128" i="7"/>
  <c r="G128" i="7"/>
  <c r="F128" i="7"/>
  <c r="E128" i="7"/>
  <c r="D128" i="7"/>
  <c r="P127" i="7"/>
  <c r="O127" i="7"/>
  <c r="N127" i="7"/>
  <c r="M127" i="7"/>
  <c r="L127" i="7"/>
  <c r="K127" i="7"/>
  <c r="J127" i="7"/>
  <c r="I127" i="7"/>
  <c r="H127" i="7"/>
  <c r="G127" i="7"/>
  <c r="F127" i="7"/>
  <c r="E127" i="7"/>
  <c r="D127" i="7"/>
  <c r="P126" i="7"/>
  <c r="O126" i="7"/>
  <c r="N126" i="7"/>
  <c r="M126" i="7"/>
  <c r="L126" i="7"/>
  <c r="K126" i="7"/>
  <c r="J126" i="7"/>
  <c r="I126" i="7"/>
  <c r="H126" i="7"/>
  <c r="G126" i="7"/>
  <c r="F126" i="7"/>
  <c r="E126" i="7"/>
  <c r="D126" i="7"/>
  <c r="P125" i="7"/>
  <c r="O125" i="7"/>
  <c r="N125" i="7"/>
  <c r="M125" i="7"/>
  <c r="L125" i="7"/>
  <c r="K125" i="7"/>
  <c r="J125" i="7"/>
  <c r="I125" i="7"/>
  <c r="H125" i="7"/>
  <c r="G125" i="7"/>
  <c r="F125" i="7"/>
  <c r="E125" i="7"/>
  <c r="D125" i="7"/>
  <c r="P124" i="7"/>
  <c r="O124" i="7"/>
  <c r="N124" i="7"/>
  <c r="M124" i="7"/>
  <c r="L124" i="7"/>
  <c r="K124" i="7"/>
  <c r="J124" i="7"/>
  <c r="I124" i="7"/>
  <c r="H124" i="7"/>
  <c r="G124" i="7"/>
  <c r="F124" i="7"/>
  <c r="E124" i="7"/>
  <c r="D124" i="7"/>
  <c r="P123" i="7"/>
  <c r="O123" i="7"/>
  <c r="N123" i="7"/>
  <c r="M123" i="7"/>
  <c r="L123" i="7"/>
  <c r="K123" i="7"/>
  <c r="J123" i="7"/>
  <c r="I123" i="7"/>
  <c r="H123" i="7"/>
  <c r="G123" i="7"/>
  <c r="F123" i="7"/>
  <c r="E123" i="7"/>
  <c r="D123" i="7"/>
  <c r="P122" i="7"/>
  <c r="O122" i="7"/>
  <c r="N122" i="7"/>
  <c r="M122" i="7"/>
  <c r="L122" i="7"/>
  <c r="K122" i="7"/>
  <c r="J122" i="7"/>
  <c r="I122" i="7"/>
  <c r="H122" i="7"/>
  <c r="G122" i="7"/>
  <c r="F122" i="7"/>
  <c r="E122" i="7"/>
  <c r="D122" i="7"/>
  <c r="P121" i="7"/>
  <c r="O121" i="7"/>
  <c r="N121" i="7"/>
  <c r="M121" i="7"/>
  <c r="L121" i="7"/>
  <c r="K121" i="7"/>
  <c r="J121" i="7"/>
  <c r="I121" i="7"/>
  <c r="H121" i="7"/>
  <c r="G121" i="7"/>
  <c r="F121" i="7"/>
  <c r="E121" i="7"/>
  <c r="D121" i="7"/>
  <c r="P120" i="7"/>
  <c r="O120" i="7"/>
  <c r="N120" i="7"/>
  <c r="M120" i="7"/>
  <c r="L120" i="7"/>
  <c r="K120" i="7"/>
  <c r="J120" i="7"/>
  <c r="I120" i="7"/>
  <c r="H120" i="7"/>
  <c r="G120" i="7"/>
  <c r="F120" i="7"/>
  <c r="E120" i="7"/>
  <c r="D120" i="7"/>
  <c r="P119" i="7"/>
  <c r="O119" i="7"/>
  <c r="N119" i="7"/>
  <c r="M119" i="7"/>
  <c r="L119" i="7"/>
  <c r="K119" i="7"/>
  <c r="J119" i="7"/>
  <c r="I119" i="7"/>
  <c r="H119" i="7"/>
  <c r="G119" i="7"/>
  <c r="F119" i="7"/>
  <c r="E119" i="7"/>
  <c r="D119" i="7"/>
  <c r="P118" i="7"/>
  <c r="O118" i="7"/>
  <c r="N118" i="7"/>
  <c r="M118" i="7"/>
  <c r="L118" i="7"/>
  <c r="K118" i="7"/>
  <c r="J118" i="7"/>
  <c r="I118" i="7"/>
  <c r="H118" i="7"/>
  <c r="G118" i="7"/>
  <c r="F118" i="7"/>
  <c r="E118" i="7"/>
  <c r="D118" i="7"/>
  <c r="P117" i="7"/>
  <c r="O117" i="7"/>
  <c r="N117" i="7"/>
  <c r="M117" i="7"/>
  <c r="L117" i="7"/>
  <c r="K117" i="7"/>
  <c r="J117" i="7"/>
  <c r="I117" i="7"/>
  <c r="H117" i="7"/>
  <c r="G117" i="7"/>
  <c r="F117" i="7"/>
  <c r="E117" i="7"/>
  <c r="D117" i="7"/>
  <c r="P116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P115" i="7"/>
  <c r="O115" i="7"/>
  <c r="N115" i="7"/>
  <c r="M115" i="7"/>
  <c r="L115" i="7"/>
  <c r="K115" i="7"/>
  <c r="J115" i="7"/>
  <c r="I115" i="7"/>
  <c r="H115" i="7"/>
  <c r="G115" i="7"/>
  <c r="F115" i="7"/>
  <c r="E115" i="7"/>
  <c r="D115" i="7"/>
  <c r="P114" i="7"/>
  <c r="O114" i="7"/>
  <c r="N114" i="7"/>
  <c r="M114" i="7"/>
  <c r="L114" i="7"/>
  <c r="K114" i="7"/>
  <c r="J114" i="7"/>
  <c r="I114" i="7"/>
  <c r="H114" i="7"/>
  <c r="G114" i="7"/>
  <c r="F114" i="7"/>
  <c r="E114" i="7"/>
  <c r="D114" i="7"/>
  <c r="P113" i="7"/>
  <c r="O113" i="7"/>
  <c r="N113" i="7"/>
  <c r="M113" i="7"/>
  <c r="L113" i="7"/>
  <c r="K113" i="7"/>
  <c r="J113" i="7"/>
  <c r="I113" i="7"/>
  <c r="H113" i="7"/>
  <c r="G113" i="7"/>
  <c r="F113" i="7"/>
  <c r="E113" i="7"/>
  <c r="D113" i="7"/>
  <c r="P112" i="7"/>
  <c r="O112" i="7"/>
  <c r="N112" i="7"/>
  <c r="M112" i="7"/>
  <c r="L112" i="7"/>
  <c r="K112" i="7"/>
  <c r="J112" i="7"/>
  <c r="I112" i="7"/>
  <c r="H112" i="7"/>
  <c r="G112" i="7"/>
  <c r="F112" i="7"/>
  <c r="E112" i="7"/>
  <c r="D112" i="7"/>
  <c r="P111" i="7"/>
  <c r="O111" i="7"/>
  <c r="N111" i="7"/>
  <c r="M111" i="7"/>
  <c r="L111" i="7"/>
  <c r="K111" i="7"/>
  <c r="J111" i="7"/>
  <c r="I111" i="7"/>
  <c r="H111" i="7"/>
  <c r="G111" i="7"/>
  <c r="F111" i="7"/>
  <c r="E111" i="7"/>
  <c r="D111" i="7"/>
  <c r="P110" i="7"/>
  <c r="O110" i="7"/>
  <c r="N110" i="7"/>
  <c r="M110" i="7"/>
  <c r="L110" i="7"/>
  <c r="K110" i="7"/>
  <c r="J110" i="7"/>
  <c r="I110" i="7"/>
  <c r="H110" i="7"/>
  <c r="G110" i="7"/>
  <c r="F110" i="7"/>
  <c r="E110" i="7"/>
  <c r="D110" i="7"/>
  <c r="P109" i="7"/>
  <c r="O109" i="7"/>
  <c r="N109" i="7"/>
  <c r="M109" i="7"/>
  <c r="L109" i="7"/>
  <c r="K109" i="7"/>
  <c r="J109" i="7"/>
  <c r="I109" i="7"/>
  <c r="H109" i="7"/>
  <c r="G109" i="7"/>
  <c r="F109" i="7"/>
  <c r="E109" i="7"/>
  <c r="D109" i="7"/>
  <c r="P108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P107" i="7"/>
  <c r="O107" i="7"/>
  <c r="N107" i="7"/>
  <c r="M107" i="7"/>
  <c r="L107" i="7"/>
  <c r="K107" i="7"/>
  <c r="J107" i="7"/>
  <c r="I107" i="7"/>
  <c r="H107" i="7"/>
  <c r="G107" i="7"/>
  <c r="F107" i="7"/>
  <c r="E107" i="7"/>
  <c r="D107" i="7"/>
  <c r="P106" i="7"/>
  <c r="O106" i="7"/>
  <c r="N106" i="7"/>
  <c r="M106" i="7"/>
  <c r="L106" i="7"/>
  <c r="K106" i="7"/>
  <c r="J106" i="7"/>
  <c r="I106" i="7"/>
  <c r="H106" i="7"/>
  <c r="G106" i="7"/>
  <c r="F106" i="7"/>
  <c r="E106" i="7"/>
  <c r="D106" i="7"/>
  <c r="P105" i="7"/>
  <c r="O105" i="7"/>
  <c r="N105" i="7"/>
  <c r="M105" i="7"/>
  <c r="L105" i="7"/>
  <c r="K105" i="7"/>
  <c r="J105" i="7"/>
  <c r="I105" i="7"/>
  <c r="H105" i="7"/>
  <c r="G105" i="7"/>
  <c r="F105" i="7"/>
  <c r="E105" i="7"/>
  <c r="D105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P103" i="7"/>
  <c r="O103" i="7"/>
  <c r="N103" i="7"/>
  <c r="M103" i="7"/>
  <c r="L103" i="7"/>
  <c r="K103" i="7"/>
  <c r="J103" i="7"/>
  <c r="I103" i="7"/>
  <c r="H103" i="7"/>
  <c r="G103" i="7"/>
  <c r="F103" i="7"/>
  <c r="E103" i="7"/>
  <c r="D103" i="7"/>
  <c r="P102" i="7"/>
  <c r="O102" i="7"/>
  <c r="N102" i="7"/>
  <c r="M102" i="7"/>
  <c r="L102" i="7"/>
  <c r="K102" i="7"/>
  <c r="J102" i="7"/>
  <c r="I102" i="7"/>
  <c r="H102" i="7"/>
  <c r="G102" i="7"/>
  <c r="F102" i="7"/>
  <c r="E102" i="7"/>
  <c r="D102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D101" i="7"/>
  <c r="P100" i="7"/>
  <c r="O100" i="7"/>
  <c r="N100" i="7"/>
  <c r="M100" i="7"/>
  <c r="L100" i="7"/>
  <c r="K100" i="7"/>
  <c r="J100" i="7"/>
  <c r="I100" i="7"/>
  <c r="H100" i="7"/>
  <c r="G100" i="7"/>
  <c r="F100" i="7"/>
  <c r="E100" i="7"/>
  <c r="D100" i="7"/>
  <c r="P99" i="7"/>
  <c r="O99" i="7"/>
  <c r="N99" i="7"/>
  <c r="M99" i="7"/>
  <c r="L99" i="7"/>
  <c r="K99" i="7"/>
  <c r="J99" i="7"/>
  <c r="I99" i="7"/>
  <c r="H99" i="7"/>
  <c r="G99" i="7"/>
  <c r="F99" i="7"/>
  <c r="E99" i="7"/>
  <c r="D99" i="7"/>
  <c r="P98" i="7"/>
  <c r="O98" i="7"/>
  <c r="N98" i="7"/>
  <c r="M98" i="7"/>
  <c r="L98" i="7"/>
  <c r="K98" i="7"/>
  <c r="J98" i="7"/>
  <c r="I98" i="7"/>
  <c r="H98" i="7"/>
  <c r="G98" i="7"/>
  <c r="F98" i="7"/>
  <c r="E98" i="7"/>
  <c r="D98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P96" i="7"/>
  <c r="O96" i="7"/>
  <c r="N96" i="7"/>
  <c r="M96" i="7"/>
  <c r="L96" i="7"/>
  <c r="K96" i="7"/>
  <c r="J96" i="7"/>
  <c r="I96" i="7"/>
  <c r="H96" i="7"/>
  <c r="G96" i="7"/>
  <c r="F96" i="7"/>
  <c r="E96" i="7"/>
  <c r="D96" i="7"/>
  <c r="P95" i="7"/>
  <c r="O95" i="7"/>
  <c r="N95" i="7"/>
  <c r="M95" i="7"/>
  <c r="L95" i="7"/>
  <c r="K95" i="7"/>
  <c r="J95" i="7"/>
  <c r="I95" i="7"/>
  <c r="H95" i="7"/>
  <c r="G95" i="7"/>
  <c r="F95" i="7"/>
  <c r="E95" i="7"/>
  <c r="D95" i="7"/>
  <c r="P94" i="7"/>
  <c r="O94" i="7"/>
  <c r="N94" i="7"/>
  <c r="M94" i="7"/>
  <c r="L94" i="7"/>
  <c r="K94" i="7"/>
  <c r="J94" i="7"/>
  <c r="I94" i="7"/>
  <c r="H94" i="7"/>
  <c r="G94" i="7"/>
  <c r="F94" i="7"/>
  <c r="E94" i="7"/>
  <c r="D94" i="7"/>
  <c r="P93" i="7"/>
  <c r="O93" i="7"/>
  <c r="N93" i="7"/>
  <c r="M93" i="7"/>
  <c r="L93" i="7"/>
  <c r="K93" i="7"/>
  <c r="J93" i="7"/>
  <c r="I93" i="7"/>
  <c r="H93" i="7"/>
  <c r="G93" i="7"/>
  <c r="F93" i="7"/>
  <c r="E93" i="7"/>
  <c r="D93" i="7"/>
  <c r="P92" i="7"/>
  <c r="O92" i="7"/>
  <c r="N92" i="7"/>
  <c r="M92" i="7"/>
  <c r="L92" i="7"/>
  <c r="K92" i="7"/>
  <c r="J92" i="7"/>
  <c r="I92" i="7"/>
  <c r="H92" i="7"/>
  <c r="G92" i="7"/>
  <c r="F92" i="7"/>
  <c r="E92" i="7"/>
  <c r="D92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P90" i="7"/>
  <c r="O90" i="7"/>
  <c r="N90" i="7"/>
  <c r="M90" i="7"/>
  <c r="L90" i="7"/>
  <c r="K90" i="7"/>
  <c r="J90" i="7"/>
  <c r="I90" i="7"/>
  <c r="H90" i="7"/>
  <c r="G90" i="7"/>
  <c r="F90" i="7"/>
  <c r="E90" i="7"/>
  <c r="D90" i="7"/>
  <c r="P89" i="7"/>
  <c r="O89" i="7"/>
  <c r="N89" i="7"/>
  <c r="M89" i="7"/>
  <c r="L89" i="7"/>
  <c r="K89" i="7"/>
  <c r="J89" i="7"/>
  <c r="I89" i="7"/>
  <c r="H89" i="7"/>
  <c r="G89" i="7"/>
  <c r="F89" i="7"/>
  <c r="E89" i="7"/>
  <c r="D89" i="7"/>
  <c r="P88" i="7"/>
  <c r="O88" i="7"/>
  <c r="N88" i="7"/>
  <c r="M88" i="7"/>
  <c r="L88" i="7"/>
  <c r="K88" i="7"/>
  <c r="J88" i="7"/>
  <c r="I88" i="7"/>
  <c r="H88" i="7"/>
  <c r="G88" i="7"/>
  <c r="F88" i="7"/>
  <c r="E88" i="7"/>
  <c r="D88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P70" i="7"/>
  <c r="O70" i="7"/>
  <c r="N70" i="7"/>
  <c r="M70" i="7"/>
  <c r="L70" i="7"/>
  <c r="K70" i="7"/>
  <c r="J70" i="7"/>
  <c r="I70" i="7"/>
  <c r="H70" i="7"/>
  <c r="G70" i="7"/>
  <c r="F70" i="7"/>
  <c r="E70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P65" i="7"/>
  <c r="O65" i="7"/>
  <c r="N65" i="7"/>
  <c r="M65" i="7"/>
  <c r="L65" i="7"/>
  <c r="K65" i="7"/>
  <c r="J65" i="7"/>
  <c r="I65" i="7"/>
  <c r="H65" i="7"/>
  <c r="G65" i="7"/>
  <c r="F65" i="7"/>
  <c r="E65" i="7"/>
  <c r="D65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P63" i="7"/>
  <c r="E63" i="7"/>
  <c r="Q63" i="7" s="1"/>
  <c r="D63" i="7"/>
  <c r="P62" i="7"/>
  <c r="E62" i="7"/>
  <c r="Q62" i="7" s="1"/>
  <c r="D62" i="7"/>
  <c r="Q61" i="7"/>
  <c r="P61" i="7"/>
  <c r="E61" i="7"/>
  <c r="D61" i="7"/>
  <c r="Q60" i="7"/>
  <c r="P60" i="7"/>
  <c r="E60" i="7"/>
  <c r="D60" i="7"/>
  <c r="Q59" i="7"/>
  <c r="P59" i="7"/>
  <c r="E59" i="7"/>
  <c r="D59" i="7"/>
  <c r="Q58" i="7"/>
  <c r="P58" i="7"/>
  <c r="E58" i="7"/>
  <c r="D58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Q39" i="7"/>
  <c r="P39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P13" i="7"/>
  <c r="R164" i="7" s="1"/>
  <c r="O13" i="7"/>
  <c r="N13" i="7"/>
  <c r="M13" i="7"/>
  <c r="L13" i="7"/>
  <c r="K13" i="7"/>
  <c r="J13" i="7"/>
  <c r="I13" i="7"/>
  <c r="H13" i="7"/>
  <c r="G13" i="7"/>
  <c r="F13" i="7"/>
  <c r="E13" i="7"/>
  <c r="D13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P10" i="7"/>
  <c r="V164" i="7" s="1"/>
  <c r="O10" i="7"/>
  <c r="N10" i="7"/>
  <c r="M10" i="7"/>
  <c r="L10" i="7"/>
  <c r="K10" i="7"/>
  <c r="J10" i="7"/>
  <c r="I10" i="7"/>
  <c r="H10" i="7"/>
  <c r="G10" i="7"/>
  <c r="F10" i="7"/>
  <c r="E10" i="7"/>
  <c r="D10" i="7"/>
  <c r="P9" i="7"/>
  <c r="O9" i="7"/>
  <c r="N9" i="7"/>
  <c r="M9" i="7"/>
  <c r="L9" i="7"/>
  <c r="K9" i="7"/>
  <c r="J9" i="7"/>
  <c r="I9" i="7"/>
  <c r="H9" i="7"/>
  <c r="G9" i="7"/>
  <c r="F9" i="7"/>
  <c r="E9" i="7"/>
  <c r="D9" i="7"/>
  <c r="P8" i="7"/>
  <c r="O8" i="7"/>
  <c r="N8" i="7"/>
  <c r="M8" i="7"/>
  <c r="L8" i="7"/>
  <c r="K8" i="7"/>
  <c r="J8" i="7"/>
  <c r="I8" i="7"/>
  <c r="H8" i="7"/>
  <c r="G8" i="7"/>
  <c r="F8" i="7"/>
  <c r="E8" i="7"/>
  <c r="D8" i="7"/>
  <c r="P7" i="7"/>
  <c r="O7" i="7"/>
  <c r="N7" i="7"/>
  <c r="M7" i="7"/>
  <c r="L7" i="7"/>
  <c r="K7" i="7"/>
  <c r="J7" i="7"/>
  <c r="I7" i="7"/>
  <c r="H7" i="7"/>
  <c r="G7" i="7"/>
  <c r="F7" i="7"/>
  <c r="E7" i="7"/>
  <c r="D7" i="7"/>
  <c r="P6" i="7"/>
  <c r="O6" i="7"/>
  <c r="N6" i="7"/>
  <c r="M6" i="7"/>
  <c r="L6" i="7"/>
  <c r="K6" i="7"/>
  <c r="J6" i="7"/>
  <c r="I6" i="7"/>
  <c r="H6" i="7"/>
  <c r="G6" i="7"/>
  <c r="F6" i="7"/>
  <c r="E6" i="7"/>
  <c r="D6" i="7"/>
  <c r="P5" i="7"/>
  <c r="O5" i="7"/>
  <c r="N5" i="7"/>
  <c r="M5" i="7"/>
  <c r="L5" i="7"/>
  <c r="K5" i="7"/>
  <c r="J5" i="7"/>
  <c r="I5" i="7"/>
  <c r="H5" i="7"/>
  <c r="G5" i="7"/>
  <c r="F5" i="7"/>
  <c r="E5" i="7"/>
  <c r="D5" i="7"/>
  <c r="P4" i="7"/>
  <c r="O4" i="7"/>
  <c r="N4" i="7"/>
  <c r="M4" i="7"/>
  <c r="L4" i="7"/>
  <c r="K4" i="7"/>
  <c r="J4" i="7"/>
  <c r="I4" i="7"/>
  <c r="H4" i="7"/>
  <c r="G4" i="7"/>
  <c r="F4" i="7"/>
  <c r="E4" i="7"/>
  <c r="D4" i="7"/>
  <c r="P3" i="7"/>
  <c r="O3" i="7"/>
  <c r="N3" i="7"/>
  <c r="M3" i="7"/>
  <c r="L3" i="7"/>
  <c r="K3" i="7"/>
  <c r="J3" i="7"/>
  <c r="I3" i="7"/>
  <c r="H3" i="7"/>
  <c r="G3" i="7"/>
  <c r="F3" i="7"/>
  <c r="E3" i="7"/>
  <c r="D3" i="7"/>
  <c r="K173" i="4"/>
  <c r="F173" i="4"/>
  <c r="G173" i="4"/>
  <c r="H173" i="4"/>
  <c r="I173" i="4"/>
  <c r="J173" i="4"/>
  <c r="E173" i="4"/>
  <c r="D173" i="4"/>
  <c r="Q17" i="7" l="1"/>
  <c r="Q21" i="7"/>
  <c r="Q25" i="7"/>
  <c r="Q40" i="7"/>
  <c r="Q44" i="7"/>
  <c r="Q48" i="7"/>
  <c r="Q52" i="7"/>
  <c r="Q56" i="7"/>
  <c r="Q66" i="7"/>
  <c r="Q70" i="7"/>
  <c r="Q74" i="7"/>
  <c r="Q78" i="7"/>
  <c r="Q82" i="7"/>
  <c r="Q86" i="7"/>
  <c r="Q90" i="7"/>
  <c r="Q94" i="7"/>
  <c r="Q98" i="7"/>
  <c r="Q102" i="7"/>
  <c r="Q106" i="7"/>
  <c r="Q110" i="7"/>
  <c r="Q114" i="7"/>
  <c r="Q118" i="7"/>
  <c r="Q122" i="7"/>
  <c r="Q126" i="7"/>
  <c r="Q130" i="7"/>
  <c r="Q134" i="7"/>
  <c r="Q138" i="7"/>
  <c r="Q142" i="7"/>
  <c r="Q146" i="7"/>
  <c r="Q150" i="7"/>
  <c r="Q154" i="7"/>
  <c r="Q158" i="7"/>
  <c r="Q5" i="7"/>
  <c r="Q9" i="7"/>
  <c r="Q13" i="7"/>
  <c r="U4" i="7"/>
  <c r="Q29" i="7"/>
  <c r="Q33" i="7"/>
  <c r="Q37" i="7"/>
  <c r="V3" i="7"/>
  <c r="Q3" i="7"/>
  <c r="Q6" i="7"/>
  <c r="Q30" i="7"/>
  <c r="Q38" i="7"/>
  <c r="Q49" i="7"/>
  <c r="Q53" i="7"/>
  <c r="Q67" i="7"/>
  <c r="Q75" i="7"/>
  <c r="Q79" i="7"/>
  <c r="Q95" i="7"/>
  <c r="Q99" i="7"/>
  <c r="Q107" i="7"/>
  <c r="Q115" i="7"/>
  <c r="Q119" i="7"/>
  <c r="Q123" i="7"/>
  <c r="Q131" i="7"/>
  <c r="Q135" i="7"/>
  <c r="Q8" i="7"/>
  <c r="Q12" i="7"/>
  <c r="Q16" i="7"/>
  <c r="Q20" i="7"/>
  <c r="Q24" i="7"/>
  <c r="Q28" i="7"/>
  <c r="Q32" i="7"/>
  <c r="Q36" i="7"/>
  <c r="Q43" i="7"/>
  <c r="Q47" i="7"/>
  <c r="Q51" i="7"/>
  <c r="Q55" i="7"/>
  <c r="Q65" i="7"/>
  <c r="Q69" i="7"/>
  <c r="Q73" i="7"/>
  <c r="Q77" i="7"/>
  <c r="Q81" i="7"/>
  <c r="Q85" i="7"/>
  <c r="Q89" i="7"/>
  <c r="Q93" i="7"/>
  <c r="Q97" i="7"/>
  <c r="Q101" i="7"/>
  <c r="Q105" i="7"/>
  <c r="Q109" i="7"/>
  <c r="Q113" i="7"/>
  <c r="Q117" i="7"/>
  <c r="Q121" i="7"/>
  <c r="Q125" i="7"/>
  <c r="Q129" i="7"/>
  <c r="Q133" i="7"/>
  <c r="Q137" i="7"/>
  <c r="Q141" i="7"/>
  <c r="Q145" i="7"/>
  <c r="Q149" i="7"/>
  <c r="Q153" i="7"/>
  <c r="Q157" i="7"/>
  <c r="Q4" i="7"/>
  <c r="Q10" i="7"/>
  <c r="Q14" i="7"/>
  <c r="Q18" i="7"/>
  <c r="Q22" i="7"/>
  <c r="Q26" i="7"/>
  <c r="Q34" i="7"/>
  <c r="Q41" i="7"/>
  <c r="Q45" i="7"/>
  <c r="Q57" i="7"/>
  <c r="Q71" i="7"/>
  <c r="Q83" i="7"/>
  <c r="Q87" i="7"/>
  <c r="Q91" i="7"/>
  <c r="Q103" i="7"/>
  <c r="Q111" i="7"/>
  <c r="Q127" i="7"/>
  <c r="Q139" i="7"/>
  <c r="Q143" i="7"/>
  <c r="Q147" i="7"/>
  <c r="Q151" i="7"/>
  <c r="Q155" i="7"/>
  <c r="Q159" i="7"/>
  <c r="Q173" i="7"/>
  <c r="T164" i="7" s="1"/>
  <c r="Q7" i="7"/>
  <c r="Q11" i="7"/>
  <c r="Q15" i="7"/>
  <c r="Q19" i="7"/>
  <c r="Q23" i="7"/>
  <c r="Q27" i="7"/>
  <c r="Q31" i="7"/>
  <c r="Q35" i="7"/>
  <c r="Q42" i="7"/>
  <c r="Q46" i="7"/>
  <c r="Q50" i="7"/>
  <c r="Q54" i="7"/>
  <c r="Q64" i="7"/>
  <c r="Q68" i="7"/>
  <c r="Q72" i="7"/>
  <c r="Q76" i="7"/>
  <c r="Q80" i="7"/>
  <c r="Q84" i="7"/>
  <c r="Q88" i="7"/>
  <c r="Q92" i="7"/>
  <c r="Q96" i="7"/>
  <c r="Q100" i="7"/>
  <c r="Q104" i="7"/>
  <c r="Q108" i="7"/>
  <c r="Q112" i="7"/>
  <c r="Q116" i="7"/>
  <c r="Q120" i="7"/>
  <c r="Q124" i="7"/>
  <c r="Q128" i="7"/>
  <c r="Q132" i="7"/>
  <c r="Q136" i="7"/>
  <c r="Q140" i="7"/>
  <c r="Q144" i="7"/>
  <c r="Q148" i="7"/>
  <c r="Q152" i="7"/>
  <c r="Q156" i="7"/>
  <c r="U3" i="7" l="1"/>
  <c r="T3" i="7"/>
  <c r="R3" i="7"/>
  <c r="S3" i="7"/>
  <c r="O12" i="4"/>
  <c r="U164" i="4" l="1"/>
  <c r="F12" i="8" s="1"/>
  <c r="Q164" i="4" l="1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318" i="4"/>
  <c r="P319" i="4"/>
  <c r="P320" i="4"/>
  <c r="P160" i="4"/>
  <c r="P161" i="4"/>
  <c r="P162" i="4"/>
  <c r="P163" i="4"/>
  <c r="P164" i="4"/>
  <c r="P165" i="4"/>
  <c r="P166" i="4"/>
  <c r="P167" i="4"/>
  <c r="P168" i="4"/>
  <c r="R164" i="4" l="1"/>
  <c r="C12" i="8" s="1"/>
  <c r="S164" i="4"/>
  <c r="D12" i="8" s="1"/>
  <c r="V164" i="4"/>
  <c r="T164" i="4"/>
  <c r="E12" i="8" s="1"/>
  <c r="C41" i="8" l="1"/>
  <c r="J39" i="8"/>
  <c r="J38" i="8"/>
  <c r="J37" i="8"/>
  <c r="J36" i="8"/>
  <c r="E41" i="8"/>
  <c r="B26" i="8"/>
  <c r="B41" i="8" s="1"/>
  <c r="B30" i="8"/>
  <c r="B45" i="8" s="1"/>
  <c r="E25" i="8"/>
  <c r="E11" i="8" s="1"/>
  <c r="E40" i="8" s="1"/>
  <c r="C25" i="8"/>
  <c r="B25" i="8"/>
  <c r="B40" i="8" s="1"/>
  <c r="J24" i="8"/>
  <c r="B24" i="8"/>
  <c r="B39" i="8" s="1"/>
  <c r="J23" i="8"/>
  <c r="B23" i="8"/>
  <c r="B38" i="8" s="1"/>
  <c r="J22" i="8"/>
  <c r="B22" i="8"/>
  <c r="B37" i="8" s="1"/>
  <c r="J21" i="8"/>
  <c r="B21" i="8"/>
  <c r="B36" i="8" s="1"/>
  <c r="J12" i="8"/>
  <c r="H12" i="8"/>
  <c r="G12" i="8"/>
  <c r="D11" i="8"/>
  <c r="H11" i="8" s="1"/>
  <c r="J10" i="8"/>
  <c r="H10" i="8"/>
  <c r="G10" i="8"/>
  <c r="J9" i="8"/>
  <c r="H9" i="8"/>
  <c r="G9" i="8"/>
  <c r="J8" i="8"/>
  <c r="H8" i="8"/>
  <c r="G8" i="8"/>
  <c r="J7" i="8"/>
  <c r="H7" i="8"/>
  <c r="G7" i="8"/>
  <c r="J25" i="8" l="1"/>
  <c r="I10" i="8"/>
  <c r="I9" i="8"/>
  <c r="I8" i="8"/>
  <c r="I7" i="8"/>
  <c r="I12" i="8"/>
  <c r="J41" i="8"/>
  <c r="C11" i="8"/>
  <c r="J26" i="8"/>
  <c r="J14" i="3"/>
  <c r="H14" i="3"/>
  <c r="I14" i="3" s="1"/>
  <c r="G14" i="3"/>
  <c r="J11" i="8" l="1"/>
  <c r="C40" i="8"/>
  <c r="J40" i="8" s="1"/>
  <c r="G11" i="8"/>
  <c r="I11" i="8" s="1"/>
  <c r="F14" i="1" l="1"/>
  <c r="D20" i="1" l="1"/>
  <c r="C39" i="3" l="1"/>
  <c r="J27" i="3"/>
  <c r="AF3" i="5"/>
  <c r="AE4" i="5"/>
  <c r="AE5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" i="5"/>
  <c r="P36" i="5"/>
  <c r="O31" i="5"/>
  <c r="O32" i="5"/>
  <c r="O33" i="5"/>
  <c r="O34" i="5"/>
  <c r="O35" i="5"/>
  <c r="B23" i="3"/>
  <c r="P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" i="5"/>
  <c r="D44" i="3" l="1"/>
  <c r="P4" i="4" l="1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3" i="4"/>
  <c r="Q39" i="4"/>
  <c r="M154" i="4"/>
  <c r="N154" i="4"/>
  <c r="O154" i="4"/>
  <c r="M155" i="4"/>
  <c r="N155" i="4"/>
  <c r="O155" i="4"/>
  <c r="M156" i="4"/>
  <c r="N156" i="4"/>
  <c r="O156" i="4"/>
  <c r="M157" i="4"/>
  <c r="N157" i="4"/>
  <c r="O157" i="4"/>
  <c r="M158" i="4"/>
  <c r="N158" i="4"/>
  <c r="O158" i="4"/>
  <c r="M159" i="4"/>
  <c r="N159" i="4"/>
  <c r="O159" i="4"/>
  <c r="L155" i="4"/>
  <c r="L156" i="4"/>
  <c r="L157" i="4"/>
  <c r="L158" i="4"/>
  <c r="L159" i="4"/>
  <c r="L154" i="4"/>
  <c r="M148" i="4"/>
  <c r="N148" i="4"/>
  <c r="O148" i="4"/>
  <c r="M149" i="4"/>
  <c r="N149" i="4"/>
  <c r="O149" i="4"/>
  <c r="M150" i="4"/>
  <c r="N150" i="4"/>
  <c r="O150" i="4"/>
  <c r="M151" i="4"/>
  <c r="N151" i="4"/>
  <c r="O151" i="4"/>
  <c r="M152" i="4"/>
  <c r="N152" i="4"/>
  <c r="O152" i="4"/>
  <c r="M153" i="4"/>
  <c r="N153" i="4"/>
  <c r="O153" i="4"/>
  <c r="L149" i="4"/>
  <c r="L150" i="4"/>
  <c r="L151" i="4"/>
  <c r="L152" i="4"/>
  <c r="L153" i="4"/>
  <c r="L148" i="4"/>
  <c r="M142" i="4"/>
  <c r="N142" i="4"/>
  <c r="O142" i="4"/>
  <c r="M143" i="4"/>
  <c r="N143" i="4"/>
  <c r="O143" i="4"/>
  <c r="M144" i="4"/>
  <c r="N144" i="4"/>
  <c r="O144" i="4"/>
  <c r="M145" i="4"/>
  <c r="N145" i="4"/>
  <c r="O145" i="4"/>
  <c r="M146" i="4"/>
  <c r="N146" i="4"/>
  <c r="O146" i="4"/>
  <c r="M147" i="4"/>
  <c r="N147" i="4"/>
  <c r="O147" i="4"/>
  <c r="L143" i="4"/>
  <c r="L144" i="4"/>
  <c r="L145" i="4"/>
  <c r="L146" i="4"/>
  <c r="L147" i="4"/>
  <c r="L142" i="4"/>
  <c r="M136" i="4"/>
  <c r="N136" i="4"/>
  <c r="O136" i="4"/>
  <c r="M137" i="4"/>
  <c r="N137" i="4"/>
  <c r="O137" i="4"/>
  <c r="M138" i="4"/>
  <c r="N138" i="4"/>
  <c r="O138" i="4"/>
  <c r="M139" i="4"/>
  <c r="N139" i="4"/>
  <c r="O139" i="4"/>
  <c r="M140" i="4"/>
  <c r="N140" i="4"/>
  <c r="O140" i="4"/>
  <c r="M141" i="4"/>
  <c r="N141" i="4"/>
  <c r="O141" i="4"/>
  <c r="L137" i="4"/>
  <c r="L138" i="4"/>
  <c r="L139" i="4"/>
  <c r="L140" i="4"/>
  <c r="L141" i="4"/>
  <c r="L136" i="4"/>
  <c r="M130" i="4"/>
  <c r="N130" i="4"/>
  <c r="O130" i="4"/>
  <c r="M131" i="4"/>
  <c r="N131" i="4"/>
  <c r="O131" i="4"/>
  <c r="M132" i="4"/>
  <c r="N132" i="4"/>
  <c r="O132" i="4"/>
  <c r="M133" i="4"/>
  <c r="N133" i="4"/>
  <c r="O133" i="4"/>
  <c r="M134" i="4"/>
  <c r="N134" i="4"/>
  <c r="O134" i="4"/>
  <c r="M135" i="4"/>
  <c r="N135" i="4"/>
  <c r="O135" i="4"/>
  <c r="L131" i="4"/>
  <c r="L132" i="4"/>
  <c r="L133" i="4"/>
  <c r="L134" i="4"/>
  <c r="L135" i="4"/>
  <c r="M129" i="4"/>
  <c r="N129" i="4"/>
  <c r="O129" i="4"/>
  <c r="L130" i="4"/>
  <c r="M124" i="4"/>
  <c r="N124" i="4"/>
  <c r="O124" i="4"/>
  <c r="M125" i="4"/>
  <c r="N125" i="4"/>
  <c r="O125" i="4"/>
  <c r="M126" i="4"/>
  <c r="N126" i="4"/>
  <c r="O126" i="4"/>
  <c r="M127" i="4"/>
  <c r="N127" i="4"/>
  <c r="O127" i="4"/>
  <c r="M128" i="4"/>
  <c r="N128" i="4"/>
  <c r="O128" i="4"/>
  <c r="L125" i="4"/>
  <c r="L126" i="4"/>
  <c r="L127" i="4"/>
  <c r="L128" i="4"/>
  <c r="L129" i="4"/>
  <c r="L124" i="4"/>
  <c r="M118" i="4"/>
  <c r="N118" i="4"/>
  <c r="O118" i="4"/>
  <c r="M119" i="4"/>
  <c r="N119" i="4"/>
  <c r="O119" i="4"/>
  <c r="M120" i="4"/>
  <c r="N120" i="4"/>
  <c r="O120" i="4"/>
  <c r="M121" i="4"/>
  <c r="N121" i="4"/>
  <c r="O121" i="4"/>
  <c r="M122" i="4"/>
  <c r="N122" i="4"/>
  <c r="O122" i="4"/>
  <c r="M123" i="4"/>
  <c r="N123" i="4"/>
  <c r="O123" i="4"/>
  <c r="L119" i="4"/>
  <c r="L120" i="4"/>
  <c r="L121" i="4"/>
  <c r="L122" i="4"/>
  <c r="L123" i="4"/>
  <c r="L118" i="4"/>
  <c r="M112" i="4"/>
  <c r="N112" i="4"/>
  <c r="O112" i="4"/>
  <c r="M113" i="4"/>
  <c r="N113" i="4"/>
  <c r="O113" i="4"/>
  <c r="M114" i="4"/>
  <c r="N114" i="4"/>
  <c r="O114" i="4"/>
  <c r="M115" i="4"/>
  <c r="N115" i="4"/>
  <c r="O115" i="4"/>
  <c r="M116" i="4"/>
  <c r="N116" i="4"/>
  <c r="O116" i="4"/>
  <c r="M117" i="4"/>
  <c r="N117" i="4"/>
  <c r="O117" i="4"/>
  <c r="L113" i="4"/>
  <c r="L114" i="4"/>
  <c r="L115" i="4"/>
  <c r="L116" i="4"/>
  <c r="L117" i="4"/>
  <c r="L112" i="4"/>
  <c r="M106" i="4"/>
  <c r="N106" i="4"/>
  <c r="O106" i="4"/>
  <c r="M107" i="4"/>
  <c r="N107" i="4"/>
  <c r="O107" i="4"/>
  <c r="M108" i="4"/>
  <c r="N108" i="4"/>
  <c r="O108" i="4"/>
  <c r="M109" i="4"/>
  <c r="N109" i="4"/>
  <c r="O109" i="4"/>
  <c r="M110" i="4"/>
  <c r="N110" i="4"/>
  <c r="O110" i="4"/>
  <c r="M111" i="4"/>
  <c r="N111" i="4"/>
  <c r="O111" i="4"/>
  <c r="L107" i="4"/>
  <c r="L108" i="4"/>
  <c r="L109" i="4"/>
  <c r="L110" i="4"/>
  <c r="L111" i="4"/>
  <c r="L106" i="4"/>
  <c r="M100" i="4"/>
  <c r="N100" i="4"/>
  <c r="O100" i="4"/>
  <c r="M101" i="4"/>
  <c r="N101" i="4"/>
  <c r="O101" i="4"/>
  <c r="M102" i="4"/>
  <c r="N102" i="4"/>
  <c r="O102" i="4"/>
  <c r="M103" i="4"/>
  <c r="N103" i="4"/>
  <c r="O103" i="4"/>
  <c r="M104" i="4"/>
  <c r="N104" i="4"/>
  <c r="O104" i="4"/>
  <c r="M105" i="4"/>
  <c r="N105" i="4"/>
  <c r="O105" i="4"/>
  <c r="L101" i="4"/>
  <c r="L102" i="4"/>
  <c r="L103" i="4"/>
  <c r="L104" i="4"/>
  <c r="L105" i="4"/>
  <c r="L100" i="4"/>
  <c r="M94" i="4"/>
  <c r="N94" i="4"/>
  <c r="O94" i="4"/>
  <c r="M95" i="4"/>
  <c r="N95" i="4"/>
  <c r="O95" i="4"/>
  <c r="M96" i="4"/>
  <c r="N96" i="4"/>
  <c r="O96" i="4"/>
  <c r="M97" i="4"/>
  <c r="N97" i="4"/>
  <c r="O97" i="4"/>
  <c r="M98" i="4"/>
  <c r="N98" i="4"/>
  <c r="O98" i="4"/>
  <c r="M99" i="4"/>
  <c r="N99" i="4"/>
  <c r="O99" i="4"/>
  <c r="L95" i="4"/>
  <c r="L96" i="4"/>
  <c r="L97" i="4"/>
  <c r="L98" i="4"/>
  <c r="L99" i="4"/>
  <c r="L94" i="4"/>
  <c r="M88" i="4"/>
  <c r="N88" i="4"/>
  <c r="O88" i="4"/>
  <c r="M89" i="4"/>
  <c r="N89" i="4"/>
  <c r="O89" i="4"/>
  <c r="M90" i="4"/>
  <c r="N90" i="4"/>
  <c r="O90" i="4"/>
  <c r="M91" i="4"/>
  <c r="N91" i="4"/>
  <c r="O91" i="4"/>
  <c r="M92" i="4"/>
  <c r="N92" i="4"/>
  <c r="O92" i="4"/>
  <c r="M93" i="4"/>
  <c r="N93" i="4"/>
  <c r="O93" i="4"/>
  <c r="L89" i="4"/>
  <c r="L90" i="4"/>
  <c r="L91" i="4"/>
  <c r="L92" i="4"/>
  <c r="L93" i="4"/>
  <c r="L88" i="4"/>
  <c r="M82" i="4"/>
  <c r="N82" i="4"/>
  <c r="O82" i="4"/>
  <c r="M83" i="4"/>
  <c r="N83" i="4"/>
  <c r="O83" i="4"/>
  <c r="M84" i="4"/>
  <c r="N84" i="4"/>
  <c r="O84" i="4"/>
  <c r="M85" i="4"/>
  <c r="N85" i="4"/>
  <c r="O85" i="4"/>
  <c r="M86" i="4"/>
  <c r="N86" i="4"/>
  <c r="O86" i="4"/>
  <c r="M87" i="4"/>
  <c r="N87" i="4"/>
  <c r="O87" i="4"/>
  <c r="L83" i="4"/>
  <c r="L84" i="4"/>
  <c r="L85" i="4"/>
  <c r="L86" i="4"/>
  <c r="L87" i="4"/>
  <c r="L82" i="4"/>
  <c r="M76" i="4"/>
  <c r="N76" i="4"/>
  <c r="O76" i="4"/>
  <c r="M77" i="4"/>
  <c r="N77" i="4"/>
  <c r="O77" i="4"/>
  <c r="M78" i="4"/>
  <c r="N78" i="4"/>
  <c r="O78" i="4"/>
  <c r="M79" i="4"/>
  <c r="N79" i="4"/>
  <c r="O79" i="4"/>
  <c r="M80" i="4"/>
  <c r="N80" i="4"/>
  <c r="O80" i="4"/>
  <c r="M81" i="4"/>
  <c r="N81" i="4"/>
  <c r="O81" i="4"/>
  <c r="L77" i="4"/>
  <c r="L78" i="4"/>
  <c r="L79" i="4"/>
  <c r="L80" i="4"/>
  <c r="L81" i="4"/>
  <c r="L76" i="4"/>
  <c r="M70" i="4"/>
  <c r="N70" i="4"/>
  <c r="O70" i="4"/>
  <c r="M71" i="4"/>
  <c r="N71" i="4"/>
  <c r="O71" i="4"/>
  <c r="M72" i="4"/>
  <c r="N72" i="4"/>
  <c r="O72" i="4"/>
  <c r="M73" i="4"/>
  <c r="N73" i="4"/>
  <c r="O73" i="4"/>
  <c r="M74" i="4"/>
  <c r="N74" i="4"/>
  <c r="O74" i="4"/>
  <c r="M75" i="4"/>
  <c r="N75" i="4"/>
  <c r="O75" i="4"/>
  <c r="L71" i="4"/>
  <c r="L72" i="4"/>
  <c r="L73" i="4"/>
  <c r="L74" i="4"/>
  <c r="L75" i="4"/>
  <c r="L70" i="4"/>
  <c r="M64" i="4"/>
  <c r="N64" i="4"/>
  <c r="O64" i="4"/>
  <c r="M65" i="4"/>
  <c r="N65" i="4"/>
  <c r="O65" i="4"/>
  <c r="M66" i="4"/>
  <c r="N66" i="4"/>
  <c r="O66" i="4"/>
  <c r="M67" i="4"/>
  <c r="N67" i="4"/>
  <c r="O67" i="4"/>
  <c r="M68" i="4"/>
  <c r="N68" i="4"/>
  <c r="O68" i="4"/>
  <c r="M69" i="4"/>
  <c r="N69" i="4"/>
  <c r="O69" i="4"/>
  <c r="L65" i="4"/>
  <c r="L66" i="4"/>
  <c r="L67" i="4"/>
  <c r="L68" i="4"/>
  <c r="L69" i="4"/>
  <c r="L64" i="4"/>
  <c r="M52" i="4"/>
  <c r="N52" i="4"/>
  <c r="O52" i="4"/>
  <c r="M53" i="4"/>
  <c r="N53" i="4"/>
  <c r="O53" i="4"/>
  <c r="M54" i="4"/>
  <c r="N54" i="4"/>
  <c r="O54" i="4"/>
  <c r="M55" i="4"/>
  <c r="N55" i="4"/>
  <c r="O55" i="4"/>
  <c r="M56" i="4"/>
  <c r="N56" i="4"/>
  <c r="O56" i="4"/>
  <c r="M57" i="4"/>
  <c r="N57" i="4"/>
  <c r="O57" i="4"/>
  <c r="L53" i="4"/>
  <c r="L54" i="4"/>
  <c r="L55" i="4"/>
  <c r="L56" i="4"/>
  <c r="L57" i="4"/>
  <c r="L52" i="4"/>
  <c r="M46" i="4"/>
  <c r="N46" i="4"/>
  <c r="O46" i="4"/>
  <c r="M47" i="4"/>
  <c r="N47" i="4"/>
  <c r="O47" i="4"/>
  <c r="M48" i="4"/>
  <c r="N48" i="4"/>
  <c r="O48" i="4"/>
  <c r="M49" i="4"/>
  <c r="N49" i="4"/>
  <c r="O49" i="4"/>
  <c r="M50" i="4"/>
  <c r="N50" i="4"/>
  <c r="O50" i="4"/>
  <c r="M51" i="4"/>
  <c r="N51" i="4"/>
  <c r="O51" i="4"/>
  <c r="L47" i="4"/>
  <c r="L48" i="4"/>
  <c r="L49" i="4"/>
  <c r="L50" i="4"/>
  <c r="L51" i="4"/>
  <c r="L46" i="4"/>
  <c r="M40" i="4"/>
  <c r="N40" i="4"/>
  <c r="O40" i="4"/>
  <c r="M41" i="4"/>
  <c r="N41" i="4"/>
  <c r="O41" i="4"/>
  <c r="M42" i="4"/>
  <c r="N42" i="4"/>
  <c r="O42" i="4"/>
  <c r="M43" i="4"/>
  <c r="N43" i="4"/>
  <c r="O43" i="4"/>
  <c r="M44" i="4"/>
  <c r="N44" i="4"/>
  <c r="O44" i="4"/>
  <c r="M45" i="4"/>
  <c r="N45" i="4"/>
  <c r="O45" i="4"/>
  <c r="L41" i="4"/>
  <c r="L42" i="4"/>
  <c r="L43" i="4"/>
  <c r="L44" i="4"/>
  <c r="L45" i="4"/>
  <c r="L40" i="4"/>
  <c r="M33" i="4"/>
  <c r="N33" i="4"/>
  <c r="O33" i="4"/>
  <c r="M34" i="4"/>
  <c r="N34" i="4"/>
  <c r="O34" i="4"/>
  <c r="M35" i="4"/>
  <c r="N35" i="4"/>
  <c r="O35" i="4"/>
  <c r="M36" i="4"/>
  <c r="N36" i="4"/>
  <c r="O36" i="4"/>
  <c r="M37" i="4"/>
  <c r="N37" i="4"/>
  <c r="O37" i="4"/>
  <c r="M38" i="4"/>
  <c r="N38" i="4"/>
  <c r="O38" i="4"/>
  <c r="L34" i="4"/>
  <c r="L35" i="4"/>
  <c r="L36" i="4"/>
  <c r="L37" i="4"/>
  <c r="L38" i="4"/>
  <c r="L33" i="4"/>
  <c r="M27" i="4"/>
  <c r="N27" i="4"/>
  <c r="O27" i="4"/>
  <c r="M28" i="4"/>
  <c r="N28" i="4"/>
  <c r="O28" i="4"/>
  <c r="M29" i="4"/>
  <c r="N29" i="4"/>
  <c r="O29" i="4"/>
  <c r="M30" i="4"/>
  <c r="N30" i="4"/>
  <c r="O30" i="4"/>
  <c r="M31" i="4"/>
  <c r="N31" i="4"/>
  <c r="O31" i="4"/>
  <c r="M32" i="4"/>
  <c r="N32" i="4"/>
  <c r="O32" i="4"/>
  <c r="L28" i="4"/>
  <c r="L29" i="4"/>
  <c r="L30" i="4"/>
  <c r="L31" i="4"/>
  <c r="L32" i="4"/>
  <c r="L27" i="4"/>
  <c r="M21" i="4"/>
  <c r="N21" i="4"/>
  <c r="O21" i="4"/>
  <c r="M22" i="4"/>
  <c r="N22" i="4"/>
  <c r="O22" i="4"/>
  <c r="M23" i="4"/>
  <c r="N23" i="4"/>
  <c r="O23" i="4"/>
  <c r="M24" i="4"/>
  <c r="N24" i="4"/>
  <c r="O24" i="4"/>
  <c r="M25" i="4"/>
  <c r="N25" i="4"/>
  <c r="O25" i="4"/>
  <c r="M26" i="4"/>
  <c r="N26" i="4"/>
  <c r="O26" i="4"/>
  <c r="L22" i="4"/>
  <c r="L23" i="4"/>
  <c r="L24" i="4"/>
  <c r="L25" i="4"/>
  <c r="L26" i="4"/>
  <c r="L21" i="4"/>
  <c r="M15" i="4"/>
  <c r="N15" i="4"/>
  <c r="O15" i="4"/>
  <c r="M16" i="4"/>
  <c r="N16" i="4"/>
  <c r="O16" i="4"/>
  <c r="M17" i="4"/>
  <c r="N17" i="4"/>
  <c r="O17" i="4"/>
  <c r="M18" i="4"/>
  <c r="N18" i="4"/>
  <c r="O18" i="4"/>
  <c r="M19" i="4"/>
  <c r="N19" i="4"/>
  <c r="O19" i="4"/>
  <c r="M20" i="4"/>
  <c r="N20" i="4"/>
  <c r="O20" i="4"/>
  <c r="L16" i="4"/>
  <c r="L17" i="4"/>
  <c r="L18" i="4"/>
  <c r="L19" i="4"/>
  <c r="L20" i="4"/>
  <c r="L15" i="4"/>
  <c r="M9" i="4"/>
  <c r="N9" i="4"/>
  <c r="O9" i="4"/>
  <c r="U4" i="4" s="1"/>
  <c r="M10" i="4"/>
  <c r="N10" i="4"/>
  <c r="O10" i="4"/>
  <c r="M11" i="4"/>
  <c r="N11" i="4"/>
  <c r="O11" i="4"/>
  <c r="M12" i="4"/>
  <c r="N12" i="4"/>
  <c r="M13" i="4"/>
  <c r="N13" i="4"/>
  <c r="O13" i="4"/>
  <c r="M14" i="4"/>
  <c r="N14" i="4"/>
  <c r="O14" i="4"/>
  <c r="L10" i="4"/>
  <c r="L11" i="4"/>
  <c r="L12" i="4"/>
  <c r="L13" i="4"/>
  <c r="L14" i="4"/>
  <c r="L9" i="4"/>
  <c r="M3" i="4"/>
  <c r="N3" i="4"/>
  <c r="O3" i="4"/>
  <c r="M4" i="4"/>
  <c r="N4" i="4"/>
  <c r="O4" i="4"/>
  <c r="M5" i="4"/>
  <c r="N5" i="4"/>
  <c r="O5" i="4"/>
  <c r="M6" i="4"/>
  <c r="N6" i="4"/>
  <c r="O6" i="4"/>
  <c r="M7" i="4"/>
  <c r="N7" i="4"/>
  <c r="O7" i="4"/>
  <c r="M8" i="4"/>
  <c r="N8" i="4"/>
  <c r="O8" i="4"/>
  <c r="L4" i="4"/>
  <c r="L5" i="4"/>
  <c r="L6" i="4"/>
  <c r="L7" i="4"/>
  <c r="L8" i="4"/>
  <c r="L3" i="4"/>
  <c r="E154" i="4"/>
  <c r="F154" i="4"/>
  <c r="G154" i="4"/>
  <c r="H154" i="4"/>
  <c r="I154" i="4"/>
  <c r="J154" i="4"/>
  <c r="K154" i="4"/>
  <c r="E155" i="4"/>
  <c r="F155" i="4"/>
  <c r="G155" i="4"/>
  <c r="H155" i="4"/>
  <c r="I155" i="4"/>
  <c r="J155" i="4"/>
  <c r="K155" i="4"/>
  <c r="E156" i="4"/>
  <c r="F156" i="4"/>
  <c r="G156" i="4"/>
  <c r="H156" i="4"/>
  <c r="I156" i="4"/>
  <c r="J156" i="4"/>
  <c r="K156" i="4"/>
  <c r="E157" i="4"/>
  <c r="F157" i="4"/>
  <c r="G157" i="4"/>
  <c r="H157" i="4"/>
  <c r="I157" i="4"/>
  <c r="J157" i="4"/>
  <c r="K157" i="4"/>
  <c r="E158" i="4"/>
  <c r="F158" i="4"/>
  <c r="G158" i="4"/>
  <c r="H158" i="4"/>
  <c r="I158" i="4"/>
  <c r="J158" i="4"/>
  <c r="K158" i="4"/>
  <c r="E159" i="4"/>
  <c r="F159" i="4"/>
  <c r="G159" i="4"/>
  <c r="H159" i="4"/>
  <c r="I159" i="4"/>
  <c r="J159" i="4"/>
  <c r="K159" i="4"/>
  <c r="D155" i="4"/>
  <c r="D156" i="4"/>
  <c r="D157" i="4"/>
  <c r="D158" i="4"/>
  <c r="D159" i="4"/>
  <c r="D154" i="4"/>
  <c r="E148" i="4"/>
  <c r="F148" i="4"/>
  <c r="G148" i="4"/>
  <c r="H148" i="4"/>
  <c r="I148" i="4"/>
  <c r="J148" i="4"/>
  <c r="K148" i="4"/>
  <c r="E149" i="4"/>
  <c r="F149" i="4"/>
  <c r="G149" i="4"/>
  <c r="H149" i="4"/>
  <c r="I149" i="4"/>
  <c r="J149" i="4"/>
  <c r="K149" i="4"/>
  <c r="E150" i="4"/>
  <c r="F150" i="4"/>
  <c r="G150" i="4"/>
  <c r="H150" i="4"/>
  <c r="I150" i="4"/>
  <c r="J150" i="4"/>
  <c r="K150" i="4"/>
  <c r="E151" i="4"/>
  <c r="F151" i="4"/>
  <c r="G151" i="4"/>
  <c r="H151" i="4"/>
  <c r="I151" i="4"/>
  <c r="J151" i="4"/>
  <c r="K151" i="4"/>
  <c r="E152" i="4"/>
  <c r="F152" i="4"/>
  <c r="G152" i="4"/>
  <c r="H152" i="4"/>
  <c r="I152" i="4"/>
  <c r="J152" i="4"/>
  <c r="K152" i="4"/>
  <c r="E153" i="4"/>
  <c r="F153" i="4"/>
  <c r="G153" i="4"/>
  <c r="H153" i="4"/>
  <c r="I153" i="4"/>
  <c r="J153" i="4"/>
  <c r="K153" i="4"/>
  <c r="D149" i="4"/>
  <c r="D150" i="4"/>
  <c r="D151" i="4"/>
  <c r="D152" i="4"/>
  <c r="D153" i="4"/>
  <c r="D148" i="4"/>
  <c r="E142" i="4"/>
  <c r="F142" i="4"/>
  <c r="G142" i="4"/>
  <c r="H142" i="4"/>
  <c r="I142" i="4"/>
  <c r="J142" i="4"/>
  <c r="K142" i="4"/>
  <c r="E143" i="4"/>
  <c r="F143" i="4"/>
  <c r="G143" i="4"/>
  <c r="H143" i="4"/>
  <c r="I143" i="4"/>
  <c r="J143" i="4"/>
  <c r="K143" i="4"/>
  <c r="E144" i="4"/>
  <c r="F144" i="4"/>
  <c r="G144" i="4"/>
  <c r="H144" i="4"/>
  <c r="I144" i="4"/>
  <c r="J144" i="4"/>
  <c r="K144" i="4"/>
  <c r="E145" i="4"/>
  <c r="F145" i="4"/>
  <c r="G145" i="4"/>
  <c r="H145" i="4"/>
  <c r="I145" i="4"/>
  <c r="J145" i="4"/>
  <c r="K145" i="4"/>
  <c r="E146" i="4"/>
  <c r="F146" i="4"/>
  <c r="G146" i="4"/>
  <c r="H146" i="4"/>
  <c r="I146" i="4"/>
  <c r="J146" i="4"/>
  <c r="K146" i="4"/>
  <c r="E147" i="4"/>
  <c r="F147" i="4"/>
  <c r="G147" i="4"/>
  <c r="H147" i="4"/>
  <c r="I147" i="4"/>
  <c r="J147" i="4"/>
  <c r="K147" i="4"/>
  <c r="D143" i="4"/>
  <c r="D144" i="4"/>
  <c r="D145" i="4"/>
  <c r="D146" i="4"/>
  <c r="D147" i="4"/>
  <c r="D142" i="4"/>
  <c r="E136" i="4"/>
  <c r="F136" i="4"/>
  <c r="G136" i="4"/>
  <c r="H136" i="4"/>
  <c r="I136" i="4"/>
  <c r="J136" i="4"/>
  <c r="K136" i="4"/>
  <c r="E137" i="4"/>
  <c r="F137" i="4"/>
  <c r="G137" i="4"/>
  <c r="H137" i="4"/>
  <c r="I137" i="4"/>
  <c r="J137" i="4"/>
  <c r="K137" i="4"/>
  <c r="E138" i="4"/>
  <c r="F138" i="4"/>
  <c r="G138" i="4"/>
  <c r="H138" i="4"/>
  <c r="I138" i="4"/>
  <c r="J138" i="4"/>
  <c r="K138" i="4"/>
  <c r="E139" i="4"/>
  <c r="F139" i="4"/>
  <c r="G139" i="4"/>
  <c r="H139" i="4"/>
  <c r="I139" i="4"/>
  <c r="J139" i="4"/>
  <c r="K139" i="4"/>
  <c r="E140" i="4"/>
  <c r="F140" i="4"/>
  <c r="G140" i="4"/>
  <c r="H140" i="4"/>
  <c r="I140" i="4"/>
  <c r="J140" i="4"/>
  <c r="K140" i="4"/>
  <c r="E141" i="4"/>
  <c r="F141" i="4"/>
  <c r="G141" i="4"/>
  <c r="H141" i="4"/>
  <c r="I141" i="4"/>
  <c r="J141" i="4"/>
  <c r="K141" i="4"/>
  <c r="D137" i="4"/>
  <c r="D138" i="4"/>
  <c r="D139" i="4"/>
  <c r="D140" i="4"/>
  <c r="D141" i="4"/>
  <c r="D136" i="4"/>
  <c r="E130" i="4"/>
  <c r="F130" i="4"/>
  <c r="G130" i="4"/>
  <c r="H130" i="4"/>
  <c r="I130" i="4"/>
  <c r="J130" i="4"/>
  <c r="K130" i="4"/>
  <c r="E131" i="4"/>
  <c r="F131" i="4"/>
  <c r="G131" i="4"/>
  <c r="H131" i="4"/>
  <c r="I131" i="4"/>
  <c r="J131" i="4"/>
  <c r="K131" i="4"/>
  <c r="E132" i="4"/>
  <c r="F132" i="4"/>
  <c r="G132" i="4"/>
  <c r="H132" i="4"/>
  <c r="I132" i="4"/>
  <c r="J132" i="4"/>
  <c r="K132" i="4"/>
  <c r="E133" i="4"/>
  <c r="F133" i="4"/>
  <c r="G133" i="4"/>
  <c r="H133" i="4"/>
  <c r="I133" i="4"/>
  <c r="J133" i="4"/>
  <c r="K133" i="4"/>
  <c r="E134" i="4"/>
  <c r="F134" i="4"/>
  <c r="G134" i="4"/>
  <c r="H134" i="4"/>
  <c r="I134" i="4"/>
  <c r="J134" i="4"/>
  <c r="K134" i="4"/>
  <c r="E135" i="4"/>
  <c r="F135" i="4"/>
  <c r="G135" i="4"/>
  <c r="H135" i="4"/>
  <c r="I135" i="4"/>
  <c r="J135" i="4"/>
  <c r="K135" i="4"/>
  <c r="D131" i="4"/>
  <c r="D132" i="4"/>
  <c r="D133" i="4"/>
  <c r="D134" i="4"/>
  <c r="D135" i="4"/>
  <c r="D130" i="4"/>
  <c r="E124" i="4"/>
  <c r="F124" i="4"/>
  <c r="G124" i="4"/>
  <c r="H124" i="4"/>
  <c r="I124" i="4"/>
  <c r="J124" i="4"/>
  <c r="K124" i="4"/>
  <c r="E125" i="4"/>
  <c r="F125" i="4"/>
  <c r="G125" i="4"/>
  <c r="H125" i="4"/>
  <c r="I125" i="4"/>
  <c r="J125" i="4"/>
  <c r="K125" i="4"/>
  <c r="E126" i="4"/>
  <c r="F126" i="4"/>
  <c r="G126" i="4"/>
  <c r="H126" i="4"/>
  <c r="I126" i="4"/>
  <c r="J126" i="4"/>
  <c r="K126" i="4"/>
  <c r="E127" i="4"/>
  <c r="F127" i="4"/>
  <c r="G127" i="4"/>
  <c r="H127" i="4"/>
  <c r="I127" i="4"/>
  <c r="J127" i="4"/>
  <c r="K127" i="4"/>
  <c r="E128" i="4"/>
  <c r="F128" i="4"/>
  <c r="G128" i="4"/>
  <c r="H128" i="4"/>
  <c r="I128" i="4"/>
  <c r="J128" i="4"/>
  <c r="K128" i="4"/>
  <c r="E129" i="4"/>
  <c r="F129" i="4"/>
  <c r="G129" i="4"/>
  <c r="H129" i="4"/>
  <c r="I129" i="4"/>
  <c r="J129" i="4"/>
  <c r="K129" i="4"/>
  <c r="D125" i="4"/>
  <c r="D126" i="4"/>
  <c r="D127" i="4"/>
  <c r="D128" i="4"/>
  <c r="D129" i="4"/>
  <c r="D124" i="4"/>
  <c r="E118" i="4"/>
  <c r="F118" i="4"/>
  <c r="G118" i="4"/>
  <c r="H118" i="4"/>
  <c r="I118" i="4"/>
  <c r="J118" i="4"/>
  <c r="K118" i="4"/>
  <c r="E119" i="4"/>
  <c r="F119" i="4"/>
  <c r="G119" i="4"/>
  <c r="H119" i="4"/>
  <c r="I119" i="4"/>
  <c r="J119" i="4"/>
  <c r="K119" i="4"/>
  <c r="E120" i="4"/>
  <c r="F120" i="4"/>
  <c r="G120" i="4"/>
  <c r="H120" i="4"/>
  <c r="I120" i="4"/>
  <c r="J120" i="4"/>
  <c r="K120" i="4"/>
  <c r="E121" i="4"/>
  <c r="F121" i="4"/>
  <c r="G121" i="4"/>
  <c r="H121" i="4"/>
  <c r="I121" i="4"/>
  <c r="J121" i="4"/>
  <c r="K121" i="4"/>
  <c r="E122" i="4"/>
  <c r="F122" i="4"/>
  <c r="G122" i="4"/>
  <c r="H122" i="4"/>
  <c r="I122" i="4"/>
  <c r="J122" i="4"/>
  <c r="K122" i="4"/>
  <c r="E123" i="4"/>
  <c r="F123" i="4"/>
  <c r="G123" i="4"/>
  <c r="H123" i="4"/>
  <c r="I123" i="4"/>
  <c r="J123" i="4"/>
  <c r="K123" i="4"/>
  <c r="D119" i="4"/>
  <c r="D120" i="4"/>
  <c r="D121" i="4"/>
  <c r="D122" i="4"/>
  <c r="D123" i="4"/>
  <c r="D118" i="4"/>
  <c r="E112" i="4"/>
  <c r="F112" i="4"/>
  <c r="G112" i="4"/>
  <c r="H112" i="4"/>
  <c r="I112" i="4"/>
  <c r="J112" i="4"/>
  <c r="K112" i="4"/>
  <c r="E113" i="4"/>
  <c r="F113" i="4"/>
  <c r="G113" i="4"/>
  <c r="H113" i="4"/>
  <c r="I113" i="4"/>
  <c r="J113" i="4"/>
  <c r="K113" i="4"/>
  <c r="E114" i="4"/>
  <c r="F114" i="4"/>
  <c r="G114" i="4"/>
  <c r="H114" i="4"/>
  <c r="I114" i="4"/>
  <c r="J114" i="4"/>
  <c r="K114" i="4"/>
  <c r="E115" i="4"/>
  <c r="F115" i="4"/>
  <c r="G115" i="4"/>
  <c r="H115" i="4"/>
  <c r="I115" i="4"/>
  <c r="J115" i="4"/>
  <c r="K115" i="4"/>
  <c r="E116" i="4"/>
  <c r="F116" i="4"/>
  <c r="G116" i="4"/>
  <c r="H116" i="4"/>
  <c r="I116" i="4"/>
  <c r="J116" i="4"/>
  <c r="K116" i="4"/>
  <c r="E117" i="4"/>
  <c r="F117" i="4"/>
  <c r="G117" i="4"/>
  <c r="H117" i="4"/>
  <c r="I117" i="4"/>
  <c r="J117" i="4"/>
  <c r="K117" i="4"/>
  <c r="D113" i="4"/>
  <c r="D114" i="4"/>
  <c r="D115" i="4"/>
  <c r="D116" i="4"/>
  <c r="D117" i="4"/>
  <c r="D112" i="4"/>
  <c r="E106" i="4"/>
  <c r="F106" i="4"/>
  <c r="G106" i="4"/>
  <c r="H106" i="4"/>
  <c r="I106" i="4"/>
  <c r="J106" i="4"/>
  <c r="K106" i="4"/>
  <c r="E107" i="4"/>
  <c r="F107" i="4"/>
  <c r="G107" i="4"/>
  <c r="H107" i="4"/>
  <c r="I107" i="4"/>
  <c r="J107" i="4"/>
  <c r="K107" i="4"/>
  <c r="E108" i="4"/>
  <c r="F108" i="4"/>
  <c r="G108" i="4"/>
  <c r="H108" i="4"/>
  <c r="I108" i="4"/>
  <c r="J108" i="4"/>
  <c r="K108" i="4"/>
  <c r="E109" i="4"/>
  <c r="F109" i="4"/>
  <c r="G109" i="4"/>
  <c r="H109" i="4"/>
  <c r="I109" i="4"/>
  <c r="J109" i="4"/>
  <c r="K109" i="4"/>
  <c r="E110" i="4"/>
  <c r="F110" i="4"/>
  <c r="G110" i="4"/>
  <c r="H110" i="4"/>
  <c r="I110" i="4"/>
  <c r="J110" i="4"/>
  <c r="K110" i="4"/>
  <c r="E111" i="4"/>
  <c r="F111" i="4"/>
  <c r="G111" i="4"/>
  <c r="H111" i="4"/>
  <c r="I111" i="4"/>
  <c r="J111" i="4"/>
  <c r="K111" i="4"/>
  <c r="D107" i="4"/>
  <c r="D108" i="4"/>
  <c r="D109" i="4"/>
  <c r="D110" i="4"/>
  <c r="D111" i="4"/>
  <c r="D106" i="4"/>
  <c r="E100" i="4"/>
  <c r="F100" i="4"/>
  <c r="G100" i="4"/>
  <c r="H100" i="4"/>
  <c r="I100" i="4"/>
  <c r="J100" i="4"/>
  <c r="K100" i="4"/>
  <c r="E101" i="4"/>
  <c r="F101" i="4"/>
  <c r="G101" i="4"/>
  <c r="H101" i="4"/>
  <c r="I101" i="4"/>
  <c r="J101" i="4"/>
  <c r="K101" i="4"/>
  <c r="E102" i="4"/>
  <c r="F102" i="4"/>
  <c r="G102" i="4"/>
  <c r="H102" i="4"/>
  <c r="I102" i="4"/>
  <c r="J102" i="4"/>
  <c r="K102" i="4"/>
  <c r="E103" i="4"/>
  <c r="F103" i="4"/>
  <c r="G103" i="4"/>
  <c r="H103" i="4"/>
  <c r="I103" i="4"/>
  <c r="J103" i="4"/>
  <c r="K103" i="4"/>
  <c r="E104" i="4"/>
  <c r="F104" i="4"/>
  <c r="G104" i="4"/>
  <c r="H104" i="4"/>
  <c r="I104" i="4"/>
  <c r="J104" i="4"/>
  <c r="K104" i="4"/>
  <c r="E105" i="4"/>
  <c r="F105" i="4"/>
  <c r="G105" i="4"/>
  <c r="H105" i="4"/>
  <c r="I105" i="4"/>
  <c r="J105" i="4"/>
  <c r="K105" i="4"/>
  <c r="D101" i="4"/>
  <c r="D102" i="4"/>
  <c r="D103" i="4"/>
  <c r="D104" i="4"/>
  <c r="D105" i="4"/>
  <c r="D100" i="4"/>
  <c r="E94" i="4"/>
  <c r="F94" i="4"/>
  <c r="G94" i="4"/>
  <c r="H94" i="4"/>
  <c r="I94" i="4"/>
  <c r="J94" i="4"/>
  <c r="K94" i="4"/>
  <c r="E95" i="4"/>
  <c r="F95" i="4"/>
  <c r="G95" i="4"/>
  <c r="H95" i="4"/>
  <c r="I95" i="4"/>
  <c r="J95" i="4"/>
  <c r="K95" i="4"/>
  <c r="E96" i="4"/>
  <c r="F96" i="4"/>
  <c r="G96" i="4"/>
  <c r="H96" i="4"/>
  <c r="I96" i="4"/>
  <c r="J96" i="4"/>
  <c r="K96" i="4"/>
  <c r="E97" i="4"/>
  <c r="F97" i="4"/>
  <c r="G97" i="4"/>
  <c r="H97" i="4"/>
  <c r="I97" i="4"/>
  <c r="J97" i="4"/>
  <c r="K97" i="4"/>
  <c r="E98" i="4"/>
  <c r="F98" i="4"/>
  <c r="G98" i="4"/>
  <c r="H98" i="4"/>
  <c r="I98" i="4"/>
  <c r="J98" i="4"/>
  <c r="K98" i="4"/>
  <c r="E99" i="4"/>
  <c r="F99" i="4"/>
  <c r="G99" i="4"/>
  <c r="H99" i="4"/>
  <c r="I99" i="4"/>
  <c r="J99" i="4"/>
  <c r="K99" i="4"/>
  <c r="D95" i="4"/>
  <c r="D96" i="4"/>
  <c r="D97" i="4"/>
  <c r="D98" i="4"/>
  <c r="D99" i="4"/>
  <c r="D94" i="4"/>
  <c r="E88" i="4"/>
  <c r="F88" i="4"/>
  <c r="G88" i="4"/>
  <c r="H88" i="4"/>
  <c r="I88" i="4"/>
  <c r="J88" i="4"/>
  <c r="K88" i="4"/>
  <c r="E89" i="4"/>
  <c r="F89" i="4"/>
  <c r="G89" i="4"/>
  <c r="H89" i="4"/>
  <c r="I89" i="4"/>
  <c r="J89" i="4"/>
  <c r="K89" i="4"/>
  <c r="E90" i="4"/>
  <c r="F90" i="4"/>
  <c r="G90" i="4"/>
  <c r="H90" i="4"/>
  <c r="I90" i="4"/>
  <c r="J90" i="4"/>
  <c r="K90" i="4"/>
  <c r="E91" i="4"/>
  <c r="F91" i="4"/>
  <c r="G91" i="4"/>
  <c r="H91" i="4"/>
  <c r="I91" i="4"/>
  <c r="J91" i="4"/>
  <c r="K91" i="4"/>
  <c r="E92" i="4"/>
  <c r="F92" i="4"/>
  <c r="G92" i="4"/>
  <c r="H92" i="4"/>
  <c r="I92" i="4"/>
  <c r="J92" i="4"/>
  <c r="K92" i="4"/>
  <c r="E93" i="4"/>
  <c r="F93" i="4"/>
  <c r="G93" i="4"/>
  <c r="H93" i="4"/>
  <c r="I93" i="4"/>
  <c r="J93" i="4"/>
  <c r="K93" i="4"/>
  <c r="D89" i="4"/>
  <c r="D90" i="4"/>
  <c r="D91" i="4"/>
  <c r="D92" i="4"/>
  <c r="D93" i="4"/>
  <c r="D88" i="4"/>
  <c r="E82" i="4"/>
  <c r="F82" i="4"/>
  <c r="G82" i="4"/>
  <c r="H82" i="4"/>
  <c r="I82" i="4"/>
  <c r="J82" i="4"/>
  <c r="K82" i="4"/>
  <c r="E83" i="4"/>
  <c r="F83" i="4"/>
  <c r="G83" i="4"/>
  <c r="H83" i="4"/>
  <c r="I83" i="4"/>
  <c r="J83" i="4"/>
  <c r="K83" i="4"/>
  <c r="E84" i="4"/>
  <c r="F84" i="4"/>
  <c r="G84" i="4"/>
  <c r="H84" i="4"/>
  <c r="I84" i="4"/>
  <c r="J84" i="4"/>
  <c r="K84" i="4"/>
  <c r="E85" i="4"/>
  <c r="F85" i="4"/>
  <c r="G85" i="4"/>
  <c r="H85" i="4"/>
  <c r="I85" i="4"/>
  <c r="J85" i="4"/>
  <c r="K85" i="4"/>
  <c r="E86" i="4"/>
  <c r="F86" i="4"/>
  <c r="G86" i="4"/>
  <c r="H86" i="4"/>
  <c r="I86" i="4"/>
  <c r="J86" i="4"/>
  <c r="K86" i="4"/>
  <c r="E87" i="4"/>
  <c r="F87" i="4"/>
  <c r="G87" i="4"/>
  <c r="H87" i="4"/>
  <c r="I87" i="4"/>
  <c r="J87" i="4"/>
  <c r="K87" i="4"/>
  <c r="D83" i="4"/>
  <c r="D84" i="4"/>
  <c r="D85" i="4"/>
  <c r="D86" i="4"/>
  <c r="D87" i="4"/>
  <c r="D82" i="4"/>
  <c r="E76" i="4"/>
  <c r="F76" i="4"/>
  <c r="G76" i="4"/>
  <c r="H76" i="4"/>
  <c r="I76" i="4"/>
  <c r="J76" i="4"/>
  <c r="K76" i="4"/>
  <c r="E77" i="4"/>
  <c r="F77" i="4"/>
  <c r="G77" i="4"/>
  <c r="H77" i="4"/>
  <c r="I77" i="4"/>
  <c r="J77" i="4"/>
  <c r="K77" i="4"/>
  <c r="E78" i="4"/>
  <c r="F78" i="4"/>
  <c r="G78" i="4"/>
  <c r="H78" i="4"/>
  <c r="I78" i="4"/>
  <c r="J78" i="4"/>
  <c r="K78" i="4"/>
  <c r="E79" i="4"/>
  <c r="F79" i="4"/>
  <c r="G79" i="4"/>
  <c r="H79" i="4"/>
  <c r="I79" i="4"/>
  <c r="J79" i="4"/>
  <c r="K79" i="4"/>
  <c r="E80" i="4"/>
  <c r="F80" i="4"/>
  <c r="G80" i="4"/>
  <c r="H80" i="4"/>
  <c r="I80" i="4"/>
  <c r="J80" i="4"/>
  <c r="K80" i="4"/>
  <c r="E81" i="4"/>
  <c r="F81" i="4"/>
  <c r="G81" i="4"/>
  <c r="H81" i="4"/>
  <c r="I81" i="4"/>
  <c r="J81" i="4"/>
  <c r="K81" i="4"/>
  <c r="D77" i="4"/>
  <c r="D78" i="4"/>
  <c r="D79" i="4"/>
  <c r="D80" i="4"/>
  <c r="D81" i="4"/>
  <c r="D76" i="4"/>
  <c r="E70" i="4"/>
  <c r="F70" i="4"/>
  <c r="G70" i="4"/>
  <c r="H70" i="4"/>
  <c r="I70" i="4"/>
  <c r="J70" i="4"/>
  <c r="K70" i="4"/>
  <c r="E71" i="4"/>
  <c r="F71" i="4"/>
  <c r="G71" i="4"/>
  <c r="H71" i="4"/>
  <c r="I71" i="4"/>
  <c r="J71" i="4"/>
  <c r="K71" i="4"/>
  <c r="E72" i="4"/>
  <c r="F72" i="4"/>
  <c r="G72" i="4"/>
  <c r="H72" i="4"/>
  <c r="I72" i="4"/>
  <c r="J72" i="4"/>
  <c r="K72" i="4"/>
  <c r="E73" i="4"/>
  <c r="F73" i="4"/>
  <c r="G73" i="4"/>
  <c r="H73" i="4"/>
  <c r="I73" i="4"/>
  <c r="J73" i="4"/>
  <c r="K73" i="4"/>
  <c r="E74" i="4"/>
  <c r="F74" i="4"/>
  <c r="G74" i="4"/>
  <c r="H74" i="4"/>
  <c r="I74" i="4"/>
  <c r="J74" i="4"/>
  <c r="K74" i="4"/>
  <c r="E75" i="4"/>
  <c r="F75" i="4"/>
  <c r="G75" i="4"/>
  <c r="H75" i="4"/>
  <c r="I75" i="4"/>
  <c r="J75" i="4"/>
  <c r="K75" i="4"/>
  <c r="D71" i="4"/>
  <c r="D72" i="4"/>
  <c r="D73" i="4"/>
  <c r="D74" i="4"/>
  <c r="D75" i="4"/>
  <c r="D70" i="4"/>
  <c r="E64" i="4"/>
  <c r="F64" i="4"/>
  <c r="G64" i="4"/>
  <c r="H64" i="4"/>
  <c r="I64" i="4"/>
  <c r="J64" i="4"/>
  <c r="K64" i="4"/>
  <c r="E65" i="4"/>
  <c r="F65" i="4"/>
  <c r="G65" i="4"/>
  <c r="H65" i="4"/>
  <c r="I65" i="4"/>
  <c r="J65" i="4"/>
  <c r="K65" i="4"/>
  <c r="E66" i="4"/>
  <c r="F66" i="4"/>
  <c r="G66" i="4"/>
  <c r="H66" i="4"/>
  <c r="I66" i="4"/>
  <c r="J66" i="4"/>
  <c r="K66" i="4"/>
  <c r="E67" i="4"/>
  <c r="F67" i="4"/>
  <c r="G67" i="4"/>
  <c r="H67" i="4"/>
  <c r="I67" i="4"/>
  <c r="J67" i="4"/>
  <c r="K67" i="4"/>
  <c r="E68" i="4"/>
  <c r="F68" i="4"/>
  <c r="G68" i="4"/>
  <c r="H68" i="4"/>
  <c r="I68" i="4"/>
  <c r="J68" i="4"/>
  <c r="K68" i="4"/>
  <c r="E69" i="4"/>
  <c r="F69" i="4"/>
  <c r="G69" i="4"/>
  <c r="H69" i="4"/>
  <c r="I69" i="4"/>
  <c r="J69" i="4"/>
  <c r="K69" i="4"/>
  <c r="D65" i="4"/>
  <c r="D66" i="4"/>
  <c r="D67" i="4"/>
  <c r="D68" i="4"/>
  <c r="D69" i="4"/>
  <c r="D64" i="4"/>
  <c r="E58" i="4"/>
  <c r="E59" i="4"/>
  <c r="E60" i="4"/>
  <c r="E61" i="4"/>
  <c r="E62" i="4"/>
  <c r="E63" i="4"/>
  <c r="D63" i="4"/>
  <c r="D59" i="4"/>
  <c r="D60" i="4"/>
  <c r="D61" i="4"/>
  <c r="D62" i="4"/>
  <c r="D58" i="4"/>
  <c r="E52" i="4"/>
  <c r="F52" i="4"/>
  <c r="G52" i="4"/>
  <c r="H52" i="4"/>
  <c r="I52" i="4"/>
  <c r="J52" i="4"/>
  <c r="K52" i="4"/>
  <c r="E53" i="4"/>
  <c r="F53" i="4"/>
  <c r="G53" i="4"/>
  <c r="H53" i="4"/>
  <c r="I53" i="4"/>
  <c r="J53" i="4"/>
  <c r="K53" i="4"/>
  <c r="E54" i="4"/>
  <c r="F54" i="4"/>
  <c r="G54" i="4"/>
  <c r="H54" i="4"/>
  <c r="I54" i="4"/>
  <c r="J54" i="4"/>
  <c r="K54" i="4"/>
  <c r="E55" i="4"/>
  <c r="F55" i="4"/>
  <c r="G55" i="4"/>
  <c r="H55" i="4"/>
  <c r="I55" i="4"/>
  <c r="J55" i="4"/>
  <c r="K55" i="4"/>
  <c r="E56" i="4"/>
  <c r="F56" i="4"/>
  <c r="G56" i="4"/>
  <c r="H56" i="4"/>
  <c r="I56" i="4"/>
  <c r="J56" i="4"/>
  <c r="K56" i="4"/>
  <c r="E57" i="4"/>
  <c r="F57" i="4"/>
  <c r="G57" i="4"/>
  <c r="H57" i="4"/>
  <c r="I57" i="4"/>
  <c r="J57" i="4"/>
  <c r="K57" i="4"/>
  <c r="D53" i="4"/>
  <c r="D54" i="4"/>
  <c r="D55" i="4"/>
  <c r="D56" i="4"/>
  <c r="D57" i="4"/>
  <c r="D52" i="4"/>
  <c r="E46" i="4"/>
  <c r="F46" i="4"/>
  <c r="G46" i="4"/>
  <c r="H46" i="4"/>
  <c r="I46" i="4"/>
  <c r="J46" i="4"/>
  <c r="K46" i="4"/>
  <c r="E47" i="4"/>
  <c r="F47" i="4"/>
  <c r="G47" i="4"/>
  <c r="H47" i="4"/>
  <c r="I47" i="4"/>
  <c r="J47" i="4"/>
  <c r="K47" i="4"/>
  <c r="E48" i="4"/>
  <c r="F48" i="4"/>
  <c r="G48" i="4"/>
  <c r="H48" i="4"/>
  <c r="I48" i="4"/>
  <c r="J48" i="4"/>
  <c r="K48" i="4"/>
  <c r="E49" i="4"/>
  <c r="F49" i="4"/>
  <c r="G49" i="4"/>
  <c r="H49" i="4"/>
  <c r="I49" i="4"/>
  <c r="J49" i="4"/>
  <c r="K49" i="4"/>
  <c r="E50" i="4"/>
  <c r="F50" i="4"/>
  <c r="G50" i="4"/>
  <c r="H50" i="4"/>
  <c r="I50" i="4"/>
  <c r="J50" i="4"/>
  <c r="K50" i="4"/>
  <c r="E51" i="4"/>
  <c r="F51" i="4"/>
  <c r="G51" i="4"/>
  <c r="H51" i="4"/>
  <c r="I51" i="4"/>
  <c r="J51" i="4"/>
  <c r="K51" i="4"/>
  <c r="D47" i="4"/>
  <c r="D48" i="4"/>
  <c r="D49" i="4"/>
  <c r="D50" i="4"/>
  <c r="D51" i="4"/>
  <c r="D46" i="4"/>
  <c r="E40" i="4"/>
  <c r="F40" i="4"/>
  <c r="G40" i="4"/>
  <c r="H40" i="4"/>
  <c r="I40" i="4"/>
  <c r="J40" i="4"/>
  <c r="K40" i="4"/>
  <c r="E41" i="4"/>
  <c r="F41" i="4"/>
  <c r="G41" i="4"/>
  <c r="H41" i="4"/>
  <c r="I41" i="4"/>
  <c r="J41" i="4"/>
  <c r="K41" i="4"/>
  <c r="E42" i="4"/>
  <c r="F42" i="4"/>
  <c r="G42" i="4"/>
  <c r="H42" i="4"/>
  <c r="I42" i="4"/>
  <c r="J42" i="4"/>
  <c r="K42" i="4"/>
  <c r="E43" i="4"/>
  <c r="F43" i="4"/>
  <c r="G43" i="4"/>
  <c r="H43" i="4"/>
  <c r="I43" i="4"/>
  <c r="J43" i="4"/>
  <c r="K43" i="4"/>
  <c r="E44" i="4"/>
  <c r="F44" i="4"/>
  <c r="G44" i="4"/>
  <c r="H44" i="4"/>
  <c r="I44" i="4"/>
  <c r="J44" i="4"/>
  <c r="K44" i="4"/>
  <c r="E45" i="4"/>
  <c r="F45" i="4"/>
  <c r="G45" i="4"/>
  <c r="H45" i="4"/>
  <c r="I45" i="4"/>
  <c r="J45" i="4"/>
  <c r="K45" i="4"/>
  <c r="D41" i="4"/>
  <c r="D42" i="4"/>
  <c r="D43" i="4"/>
  <c r="D44" i="4"/>
  <c r="D45" i="4"/>
  <c r="D40" i="4"/>
  <c r="E33" i="4"/>
  <c r="F33" i="4"/>
  <c r="G33" i="4"/>
  <c r="H33" i="4"/>
  <c r="I33" i="4"/>
  <c r="J33" i="4"/>
  <c r="K33" i="4"/>
  <c r="E34" i="4"/>
  <c r="F34" i="4"/>
  <c r="G34" i="4"/>
  <c r="H34" i="4"/>
  <c r="I34" i="4"/>
  <c r="J34" i="4"/>
  <c r="K34" i="4"/>
  <c r="E35" i="4"/>
  <c r="F35" i="4"/>
  <c r="G35" i="4"/>
  <c r="H35" i="4"/>
  <c r="I35" i="4"/>
  <c r="J35" i="4"/>
  <c r="K35" i="4"/>
  <c r="E36" i="4"/>
  <c r="F36" i="4"/>
  <c r="G36" i="4"/>
  <c r="H36" i="4"/>
  <c r="I36" i="4"/>
  <c r="J36" i="4"/>
  <c r="K36" i="4"/>
  <c r="E37" i="4"/>
  <c r="F37" i="4"/>
  <c r="G37" i="4"/>
  <c r="H37" i="4"/>
  <c r="I37" i="4"/>
  <c r="J37" i="4"/>
  <c r="K37" i="4"/>
  <c r="E38" i="4"/>
  <c r="F38" i="4"/>
  <c r="G38" i="4"/>
  <c r="H38" i="4"/>
  <c r="I38" i="4"/>
  <c r="J38" i="4"/>
  <c r="K38" i="4"/>
  <c r="D34" i="4"/>
  <c r="D35" i="4"/>
  <c r="D36" i="4"/>
  <c r="D37" i="4"/>
  <c r="D38" i="4"/>
  <c r="D33" i="4"/>
  <c r="E27" i="4"/>
  <c r="F27" i="4"/>
  <c r="G27" i="4"/>
  <c r="H27" i="4"/>
  <c r="I27" i="4"/>
  <c r="J27" i="4"/>
  <c r="K27" i="4"/>
  <c r="E28" i="4"/>
  <c r="F28" i="4"/>
  <c r="G28" i="4"/>
  <c r="H28" i="4"/>
  <c r="I28" i="4"/>
  <c r="J28" i="4"/>
  <c r="K28" i="4"/>
  <c r="E29" i="4"/>
  <c r="F29" i="4"/>
  <c r="G29" i="4"/>
  <c r="H29" i="4"/>
  <c r="I29" i="4"/>
  <c r="J29" i="4"/>
  <c r="K29" i="4"/>
  <c r="E30" i="4"/>
  <c r="F30" i="4"/>
  <c r="G30" i="4"/>
  <c r="H30" i="4"/>
  <c r="I30" i="4"/>
  <c r="J30" i="4"/>
  <c r="K30" i="4"/>
  <c r="E31" i="4"/>
  <c r="F31" i="4"/>
  <c r="G31" i="4"/>
  <c r="H31" i="4"/>
  <c r="I31" i="4"/>
  <c r="J31" i="4"/>
  <c r="K31" i="4"/>
  <c r="E32" i="4"/>
  <c r="F32" i="4"/>
  <c r="G32" i="4"/>
  <c r="H32" i="4"/>
  <c r="I32" i="4"/>
  <c r="J32" i="4"/>
  <c r="K32" i="4"/>
  <c r="D28" i="4"/>
  <c r="D29" i="4"/>
  <c r="D30" i="4"/>
  <c r="D31" i="4"/>
  <c r="D32" i="4"/>
  <c r="D27" i="4"/>
  <c r="E21" i="4"/>
  <c r="F21" i="4"/>
  <c r="G21" i="4"/>
  <c r="H21" i="4"/>
  <c r="I21" i="4"/>
  <c r="J21" i="4"/>
  <c r="K21" i="4"/>
  <c r="E22" i="4"/>
  <c r="F22" i="4"/>
  <c r="G22" i="4"/>
  <c r="H22" i="4"/>
  <c r="I22" i="4"/>
  <c r="J22" i="4"/>
  <c r="K22" i="4"/>
  <c r="E23" i="4"/>
  <c r="F23" i="4"/>
  <c r="G23" i="4"/>
  <c r="H23" i="4"/>
  <c r="I23" i="4"/>
  <c r="J23" i="4"/>
  <c r="K23" i="4"/>
  <c r="E24" i="4"/>
  <c r="F24" i="4"/>
  <c r="G24" i="4"/>
  <c r="H24" i="4"/>
  <c r="I24" i="4"/>
  <c r="J24" i="4"/>
  <c r="K24" i="4"/>
  <c r="E25" i="4"/>
  <c r="F25" i="4"/>
  <c r="G25" i="4"/>
  <c r="H25" i="4"/>
  <c r="I25" i="4"/>
  <c r="J25" i="4"/>
  <c r="K25" i="4"/>
  <c r="E26" i="4"/>
  <c r="F26" i="4"/>
  <c r="G26" i="4"/>
  <c r="H26" i="4"/>
  <c r="I26" i="4"/>
  <c r="J26" i="4"/>
  <c r="K26" i="4"/>
  <c r="D22" i="4"/>
  <c r="D23" i="4"/>
  <c r="D24" i="4"/>
  <c r="D25" i="4"/>
  <c r="D26" i="4"/>
  <c r="D21" i="4"/>
  <c r="E15" i="4"/>
  <c r="F15" i="4"/>
  <c r="G15" i="4"/>
  <c r="H15" i="4"/>
  <c r="I15" i="4"/>
  <c r="J15" i="4"/>
  <c r="K15" i="4"/>
  <c r="E16" i="4"/>
  <c r="F16" i="4"/>
  <c r="G16" i="4"/>
  <c r="H16" i="4"/>
  <c r="I16" i="4"/>
  <c r="J16" i="4"/>
  <c r="K16" i="4"/>
  <c r="E17" i="4"/>
  <c r="F17" i="4"/>
  <c r="G17" i="4"/>
  <c r="H17" i="4"/>
  <c r="I17" i="4"/>
  <c r="J17" i="4"/>
  <c r="K17" i="4"/>
  <c r="E18" i="4"/>
  <c r="F18" i="4"/>
  <c r="G18" i="4"/>
  <c r="H18" i="4"/>
  <c r="I18" i="4"/>
  <c r="J18" i="4"/>
  <c r="K18" i="4"/>
  <c r="E19" i="4"/>
  <c r="F19" i="4"/>
  <c r="G19" i="4"/>
  <c r="H19" i="4"/>
  <c r="I19" i="4"/>
  <c r="J19" i="4"/>
  <c r="K19" i="4"/>
  <c r="E20" i="4"/>
  <c r="F20" i="4"/>
  <c r="G20" i="4"/>
  <c r="H20" i="4"/>
  <c r="I20" i="4"/>
  <c r="J20" i="4"/>
  <c r="K20" i="4"/>
  <c r="D16" i="4"/>
  <c r="D17" i="4"/>
  <c r="D18" i="4"/>
  <c r="D19" i="4"/>
  <c r="D20" i="4"/>
  <c r="D15" i="4"/>
  <c r="E9" i="4"/>
  <c r="F9" i="4"/>
  <c r="G9" i="4"/>
  <c r="H9" i="4"/>
  <c r="I9" i="4"/>
  <c r="J9" i="4"/>
  <c r="K9" i="4"/>
  <c r="E10" i="4"/>
  <c r="F10" i="4"/>
  <c r="G10" i="4"/>
  <c r="H10" i="4"/>
  <c r="I10" i="4"/>
  <c r="J10" i="4"/>
  <c r="K10" i="4"/>
  <c r="E11" i="4"/>
  <c r="F11" i="4"/>
  <c r="G11" i="4"/>
  <c r="H11" i="4"/>
  <c r="I11" i="4"/>
  <c r="J11" i="4"/>
  <c r="K11" i="4"/>
  <c r="E12" i="4"/>
  <c r="F12" i="4"/>
  <c r="G12" i="4"/>
  <c r="H12" i="4"/>
  <c r="I12" i="4"/>
  <c r="J12" i="4"/>
  <c r="K12" i="4"/>
  <c r="E13" i="4"/>
  <c r="F13" i="4"/>
  <c r="G13" i="4"/>
  <c r="H13" i="4"/>
  <c r="I13" i="4"/>
  <c r="J13" i="4"/>
  <c r="K13" i="4"/>
  <c r="E14" i="4"/>
  <c r="F14" i="4"/>
  <c r="G14" i="4"/>
  <c r="H14" i="4"/>
  <c r="I14" i="4"/>
  <c r="J14" i="4"/>
  <c r="K14" i="4"/>
  <c r="D10" i="4"/>
  <c r="D11" i="4"/>
  <c r="D12" i="4"/>
  <c r="D13" i="4"/>
  <c r="D14" i="4"/>
  <c r="D9" i="4"/>
  <c r="E3" i="4"/>
  <c r="F3" i="4"/>
  <c r="G3" i="4"/>
  <c r="H3" i="4"/>
  <c r="I3" i="4"/>
  <c r="J3" i="4"/>
  <c r="K3" i="4"/>
  <c r="E4" i="4"/>
  <c r="F4" i="4"/>
  <c r="G4" i="4"/>
  <c r="H4" i="4"/>
  <c r="I4" i="4"/>
  <c r="J4" i="4"/>
  <c r="K4" i="4"/>
  <c r="E5" i="4"/>
  <c r="F5" i="4"/>
  <c r="G5" i="4"/>
  <c r="H5" i="4"/>
  <c r="I5" i="4"/>
  <c r="J5" i="4"/>
  <c r="K5" i="4"/>
  <c r="E6" i="4"/>
  <c r="F6" i="4"/>
  <c r="G6" i="4"/>
  <c r="H6" i="4"/>
  <c r="I6" i="4"/>
  <c r="J6" i="4"/>
  <c r="K6" i="4"/>
  <c r="E7" i="4"/>
  <c r="F7" i="4"/>
  <c r="G7" i="4"/>
  <c r="H7" i="4"/>
  <c r="I7" i="4"/>
  <c r="J7" i="4"/>
  <c r="K7" i="4"/>
  <c r="E8" i="4"/>
  <c r="F8" i="4"/>
  <c r="G8" i="4"/>
  <c r="H8" i="4"/>
  <c r="I8" i="4"/>
  <c r="J8" i="4"/>
  <c r="K8" i="4"/>
  <c r="D4" i="4"/>
  <c r="D5" i="4"/>
  <c r="D6" i="4"/>
  <c r="D7" i="4"/>
  <c r="D8" i="4"/>
  <c r="D3" i="4"/>
  <c r="Q12" i="4" l="1"/>
  <c r="V3" i="4"/>
  <c r="Q40" i="4"/>
  <c r="Q42" i="4"/>
  <c r="Q46" i="4"/>
  <c r="Q48" i="4"/>
  <c r="Q52" i="4"/>
  <c r="Q54" i="4"/>
  <c r="Q58" i="4"/>
  <c r="Q59" i="4"/>
  <c r="Q61" i="4"/>
  <c r="Q64" i="4"/>
  <c r="Q66" i="4"/>
  <c r="Q70" i="4"/>
  <c r="Q72" i="4"/>
  <c r="Q76" i="4"/>
  <c r="Q78" i="4"/>
  <c r="Q62" i="4"/>
  <c r="Q60" i="4"/>
  <c r="Q124" i="4"/>
  <c r="Q49" i="4"/>
  <c r="Q45" i="4"/>
  <c r="Q57" i="4"/>
  <c r="Q41" i="4"/>
  <c r="Q50" i="4"/>
  <c r="Q74" i="4"/>
  <c r="Q43" i="4"/>
  <c r="Q55" i="4"/>
  <c r="Q67" i="4"/>
  <c r="Q79" i="4"/>
  <c r="Q53" i="4"/>
  <c r="Q69" i="4"/>
  <c r="Q65" i="4"/>
  <c r="Q73" i="4"/>
  <c r="Q81" i="4"/>
  <c r="Q77" i="4"/>
  <c r="Q128" i="4"/>
  <c r="Q44" i="4"/>
  <c r="Q51" i="4"/>
  <c r="Q47" i="4"/>
  <c r="Q56" i="4"/>
  <c r="Q63" i="4"/>
  <c r="Q68" i="4"/>
  <c r="Q75" i="4"/>
  <c r="Q71" i="4"/>
  <c r="Q80" i="4"/>
  <c r="Q3" i="4"/>
  <c r="Q11" i="4"/>
  <c r="Q17" i="4"/>
  <c r="Q23" i="4"/>
  <c r="Q27" i="4"/>
  <c r="Q33" i="4"/>
  <c r="Q87" i="4"/>
  <c r="Q93" i="4"/>
  <c r="Q99" i="4"/>
  <c r="Q105" i="4"/>
  <c r="Q107" i="4"/>
  <c r="Q117" i="4"/>
  <c r="Q119" i="4"/>
  <c r="Q129" i="4"/>
  <c r="Q131" i="4"/>
  <c r="Q137" i="4"/>
  <c r="Q143" i="4"/>
  <c r="Q149" i="4"/>
  <c r="Q159" i="4"/>
  <c r="Q14" i="4"/>
  <c r="Q22" i="4"/>
  <c r="Q34" i="4"/>
  <c r="Q7" i="4"/>
  <c r="Q8" i="4"/>
  <c r="Q4" i="4"/>
  <c r="Q13" i="4"/>
  <c r="Q19" i="4"/>
  <c r="Q20" i="4"/>
  <c r="Q16" i="4"/>
  <c r="Q25" i="4"/>
  <c r="Q24" i="4"/>
  <c r="Q31" i="4"/>
  <c r="Q32" i="4"/>
  <c r="Q28" i="4"/>
  <c r="Q37" i="4"/>
  <c r="Q36" i="4"/>
  <c r="Q5" i="4"/>
  <c r="Q9" i="4"/>
  <c r="Q15" i="4"/>
  <c r="Q21" i="4"/>
  <c r="Q29" i="4"/>
  <c r="Q35" i="4"/>
  <c r="Q83" i="4"/>
  <c r="Q89" i="4"/>
  <c r="Q95" i="4"/>
  <c r="Q101" i="4"/>
  <c r="Q111" i="4"/>
  <c r="Q113" i="4"/>
  <c r="Q123" i="4"/>
  <c r="Q125" i="4"/>
  <c r="Q135" i="4"/>
  <c r="Q141" i="4"/>
  <c r="Q147" i="4"/>
  <c r="Q153" i="4"/>
  <c r="Q155" i="4"/>
  <c r="Q10" i="4"/>
  <c r="Q26" i="4"/>
  <c r="Q38" i="4"/>
  <c r="Q6" i="4"/>
  <c r="Q18" i="4"/>
  <c r="Q30" i="4"/>
  <c r="Q86" i="4"/>
  <c r="Q98" i="4"/>
  <c r="Q110" i="4"/>
  <c r="Q122" i="4"/>
  <c r="Q134" i="4"/>
  <c r="Q146" i="4"/>
  <c r="Q158" i="4"/>
  <c r="Q85" i="4"/>
  <c r="Q91" i="4"/>
  <c r="Q97" i="4"/>
  <c r="Q103" i="4"/>
  <c r="Q109" i="4"/>
  <c r="Q115" i="4"/>
  <c r="Q121" i="4"/>
  <c r="Q127" i="4"/>
  <c r="Q133" i="4"/>
  <c r="Q139" i="4"/>
  <c r="Q145" i="4"/>
  <c r="Q151" i="4"/>
  <c r="Q157" i="4"/>
  <c r="Q82" i="4"/>
  <c r="Q84" i="4"/>
  <c r="Q88" i="4"/>
  <c r="Q90" i="4"/>
  <c r="Q92" i="4"/>
  <c r="Q94" i="4"/>
  <c r="Q96" i="4"/>
  <c r="Q100" i="4"/>
  <c r="Q102" i="4"/>
  <c r="Q104" i="4"/>
  <c r="Q106" i="4"/>
  <c r="Q108" i="4"/>
  <c r="Q112" i="4"/>
  <c r="Q114" i="4"/>
  <c r="Q116" i="4"/>
  <c r="Q118" i="4"/>
  <c r="Q120" i="4"/>
  <c r="Q126" i="4"/>
  <c r="Q130" i="4"/>
  <c r="Q132" i="4"/>
  <c r="Q136" i="4"/>
  <c r="Q138" i="4"/>
  <c r="Q140" i="4"/>
  <c r="Q142" i="4"/>
  <c r="Q144" i="4"/>
  <c r="Q148" i="4"/>
  <c r="Q150" i="4"/>
  <c r="Q152" i="4"/>
  <c r="Q154" i="4"/>
  <c r="Q156" i="4"/>
  <c r="R3" i="4" l="1"/>
  <c r="C13" i="8" s="1"/>
  <c r="T3" i="4"/>
  <c r="U3" i="4"/>
  <c r="S3" i="4"/>
  <c r="F15" i="3"/>
  <c r="F13" i="8"/>
  <c r="D45" i="3"/>
  <c r="D46" i="3" s="1"/>
  <c r="C42" i="8" l="1"/>
  <c r="G13" i="8"/>
  <c r="I13" i="8" s="1"/>
  <c r="D15" i="3"/>
  <c r="D40" i="3" s="1"/>
  <c r="D13" i="8"/>
  <c r="E15" i="3"/>
  <c r="E40" i="3" s="1"/>
  <c r="E13" i="8"/>
  <c r="E42" i="8" s="1"/>
  <c r="C15" i="3"/>
  <c r="G15" i="3" s="1"/>
  <c r="J36" i="3"/>
  <c r="J35" i="3"/>
  <c r="J34" i="3"/>
  <c r="J33" i="3"/>
  <c r="J32" i="3"/>
  <c r="E26" i="3"/>
  <c r="B26" i="3"/>
  <c r="B39" i="3" s="1"/>
  <c r="E24" i="3"/>
  <c r="E12" i="3" s="1"/>
  <c r="E37" i="3" s="1"/>
  <c r="C24" i="3"/>
  <c r="C12" i="3" s="1"/>
  <c r="B24" i="3"/>
  <c r="B37" i="3" s="1"/>
  <c r="B25" i="3"/>
  <c r="B38" i="3" s="1"/>
  <c r="J23" i="3"/>
  <c r="B36" i="3"/>
  <c r="J22" i="3"/>
  <c r="B22" i="3"/>
  <c r="B35" i="3" s="1"/>
  <c r="J21" i="3"/>
  <c r="B21" i="3"/>
  <c r="B34" i="3" s="1"/>
  <c r="J20" i="3"/>
  <c r="B20" i="3"/>
  <c r="B33" i="3" s="1"/>
  <c r="J19" i="3"/>
  <c r="B19" i="3"/>
  <c r="B32" i="3" s="1"/>
  <c r="D12" i="3"/>
  <c r="J11" i="3"/>
  <c r="H11" i="3"/>
  <c r="G11" i="3"/>
  <c r="J10" i="3"/>
  <c r="H10" i="3"/>
  <c r="G10" i="3"/>
  <c r="J9" i="3"/>
  <c r="H9" i="3"/>
  <c r="G9" i="3"/>
  <c r="J8" i="3"/>
  <c r="H8" i="3"/>
  <c r="G8" i="3"/>
  <c r="J7" i="3"/>
  <c r="H7" i="3"/>
  <c r="G7" i="3"/>
  <c r="J42" i="8" l="1"/>
  <c r="J13" i="8"/>
  <c r="H15" i="3"/>
  <c r="I15" i="3" s="1"/>
  <c r="C40" i="3"/>
  <c r="J40" i="3" s="1"/>
  <c r="J15" i="3"/>
  <c r="E39" i="3"/>
  <c r="J39" i="3" s="1"/>
  <c r="J26" i="3"/>
  <c r="G12" i="3"/>
  <c r="I10" i="3"/>
  <c r="I8" i="3"/>
  <c r="I7" i="3"/>
  <c r="I11" i="3"/>
  <c r="H12" i="3"/>
  <c r="J24" i="3"/>
  <c r="C37" i="3"/>
  <c r="J37" i="3" s="1"/>
  <c r="I9" i="3"/>
  <c r="J12" i="3"/>
  <c r="I12" i="3" l="1"/>
  <c r="H19" i="2" l="1"/>
  <c r="F16" i="2"/>
  <c r="F18" i="2" s="1"/>
  <c r="E16" i="2"/>
  <c r="E18" i="2" s="1"/>
  <c r="D16" i="2"/>
  <c r="D18" i="2" s="1"/>
  <c r="C16" i="2"/>
  <c r="C18" i="2" s="1"/>
  <c r="A23" i="1"/>
  <c r="A7" i="1"/>
  <c r="B20" i="1" l="1"/>
  <c r="E45" i="1" s="1"/>
  <c r="I42" i="2"/>
  <c r="F11" i="1"/>
  <c r="F17" i="1"/>
  <c r="F18" i="1"/>
  <c r="F12" i="1"/>
  <c r="F15" i="1"/>
  <c r="F20" i="1" l="1"/>
  <c r="D10" i="1"/>
  <c r="F10" i="1" l="1"/>
  <c r="E47" i="1"/>
</calcChain>
</file>

<file path=xl/comments1.xml><?xml version="1.0" encoding="utf-8"?>
<comments xmlns="http://schemas.openxmlformats.org/spreadsheetml/2006/main">
  <authors>
    <author>Jody Reid</author>
  </authors>
  <commentList>
    <comment ref="B10" authorId="0">
      <text>
        <r>
          <rPr>
            <sz val="8"/>
            <color indexed="81"/>
            <rFont val="Tahoma"/>
            <family val="2"/>
          </rPr>
          <t>TTM Commodity value per customer x # of Customers x 12 months</t>
        </r>
      </text>
    </comment>
    <comment ref="D10" authorId="0">
      <text>
        <r>
          <rPr>
            <sz val="8"/>
            <color indexed="81"/>
            <rFont val="Tahoma"/>
            <family val="2"/>
          </rPr>
          <t xml:space="preserve">Customer Count Today x 12 months x Base Pass Back Rate
</t>
        </r>
      </text>
    </comment>
  </commentList>
</comments>
</file>

<file path=xl/comments2.xml><?xml version="1.0" encoding="utf-8"?>
<comments xmlns="http://schemas.openxmlformats.org/spreadsheetml/2006/main">
  <authors>
    <author>Jody Reid</author>
  </authors>
  <commentList>
    <comment ref="B10" authorId="0">
      <text>
        <r>
          <rPr>
            <sz val="8"/>
            <color indexed="81"/>
            <rFont val="Tahoma"/>
            <family val="2"/>
          </rPr>
          <t>TTM Commodity value per customer x # of Customers x 12 months</t>
        </r>
      </text>
    </comment>
    <comment ref="D10" authorId="0">
      <text>
        <r>
          <rPr>
            <sz val="8"/>
            <color indexed="81"/>
            <rFont val="Tahoma"/>
            <family val="2"/>
          </rPr>
          <t xml:space="preserve">Customer Count Today x 12 months x Base Pass Back Rate
</t>
        </r>
      </text>
    </comment>
  </commentList>
</comments>
</file>

<file path=xl/comments3.xml><?xml version="1.0" encoding="utf-8"?>
<comments xmlns="http://schemas.openxmlformats.org/spreadsheetml/2006/main">
  <authors>
    <author>McLaughlin, Tammy</author>
  </authors>
  <commentList>
    <comment ref="K8" authorId="0">
      <text>
        <r>
          <rPr>
            <b/>
            <sz val="9"/>
            <color indexed="81"/>
            <rFont val="Tahoma"/>
            <family val="2"/>
          </rPr>
          <t>McLaughlin, Tammy:</t>
        </r>
        <r>
          <rPr>
            <sz val="9"/>
            <color indexed="81"/>
            <rFont val="Tahoma"/>
            <family val="2"/>
          </rPr>
          <t xml:space="preserve">
stops trans to a diff route needed to estimate the tonnage</t>
        </r>
      </text>
    </comment>
    <comment ref="G44" authorId="0">
      <text>
        <r>
          <rPr>
            <b/>
            <sz val="9"/>
            <color indexed="81"/>
            <rFont val="Tahoma"/>
            <family val="2"/>
          </rPr>
          <t>McLaughlin, Tammy:</t>
        </r>
        <r>
          <rPr>
            <sz val="9"/>
            <color indexed="81"/>
            <rFont val="Tahoma"/>
            <family val="2"/>
          </rPr>
          <t xml:space="preserve">
USED 61.99</t>
        </r>
      </text>
    </comment>
    <comment ref="K44" authorId="0">
      <text>
        <r>
          <rPr>
            <b/>
            <sz val="9"/>
            <color indexed="81"/>
            <rFont val="Tahoma"/>
            <family val="2"/>
          </rPr>
          <t>McLaughlin, Tammy:</t>
        </r>
        <r>
          <rPr>
            <sz val="9"/>
            <color indexed="81"/>
            <rFont val="Tahoma"/>
            <family val="2"/>
          </rPr>
          <t xml:space="preserve">
stops were put on a diff route</t>
        </r>
      </text>
    </comment>
  </commentList>
</comments>
</file>

<file path=xl/sharedStrings.xml><?xml version="1.0" encoding="utf-8"?>
<sst xmlns="http://schemas.openxmlformats.org/spreadsheetml/2006/main" count="2105" uniqueCount="193">
  <si>
    <t>Republic Services (RS of Bellevue, RS of Kent/SeaTac, &amp; Kent-Meridian Disposal)</t>
  </si>
  <si>
    <t>WUTC King County</t>
  </si>
  <si>
    <t>Total</t>
  </si>
  <si>
    <t>Eastside Single-Family Value (Estimated)</t>
  </si>
  <si>
    <t>Eastside Multi-Family Value (Estimated)</t>
  </si>
  <si>
    <t>Kent-Meridian Single-Family Value (Estimated)</t>
  </si>
  <si>
    <t>Kent-Meridian Multi-Family Value (Estimated)</t>
  </si>
  <si>
    <t>SeaTac Single-Family Value (Estimated)</t>
  </si>
  <si>
    <t>SeaTac Multi-Family Value (Estimated)</t>
  </si>
  <si>
    <t>Total Revenue Retained</t>
  </si>
  <si>
    <t>Task 1: Project Management/Administration &amp; Coordination of the Agreement</t>
  </si>
  <si>
    <t>Task 2: Data Collection &amp; Reporting</t>
  </si>
  <si>
    <t>Monthly Reports and Required Time for Creation &amp; Composition</t>
  </si>
  <si>
    <t>Program Expenditures</t>
  </si>
  <si>
    <t>Potential Program Incentive on Incurred Expenditures</t>
  </si>
  <si>
    <t>Total Budget</t>
  </si>
  <si>
    <t>Revenues Returned to the Customer</t>
  </si>
  <si>
    <r>
      <t xml:space="preserve">2012 - 2013 Plan Year Management &amp; Administrative Costs </t>
    </r>
    <r>
      <rPr>
        <b/>
        <i/>
        <sz val="11"/>
        <color theme="1"/>
        <rFont val="Calibri"/>
        <family val="2"/>
        <scheme val="minor"/>
      </rPr>
      <t>(body of table is average hours / week)</t>
    </r>
  </si>
  <si>
    <t>Months</t>
  </si>
  <si>
    <t>John L</t>
  </si>
  <si>
    <t>Anne L</t>
  </si>
  <si>
    <t>Alex B</t>
  </si>
  <si>
    <t>Lynnyetta K</t>
  </si>
  <si>
    <t>TOTAL</t>
  </si>
  <si>
    <t>Allocation - $/hr</t>
  </si>
  <si>
    <t>Total Admin Cost</t>
  </si>
  <si>
    <t>Snohomish Co.</t>
  </si>
  <si>
    <t>King Co.</t>
  </si>
  <si>
    <t>Attachment C - Revenue Sharing Budget</t>
  </si>
  <si>
    <t xml:space="preserve">King Co. </t>
  </si>
  <si>
    <t>Revenue Sharing Summary</t>
  </si>
  <si>
    <t>Period</t>
  </si>
  <si>
    <t>Recycle Tons</t>
  </si>
  <si>
    <t>YW Tons</t>
  </si>
  <si>
    <t>MSW Tons</t>
  </si>
  <si>
    <t>Customers</t>
  </si>
  <si>
    <t>Recyle Lbs/Customer</t>
  </si>
  <si>
    <t>YW Lbs/Customer</t>
  </si>
  <si>
    <t>Total Diversion</t>
  </si>
  <si>
    <t>Diversion %</t>
  </si>
  <si>
    <t>Single Family</t>
  </si>
  <si>
    <t>1/1/2009 - 12/31/2009</t>
  </si>
  <si>
    <t>1/1/2010 - 12/31/2010</t>
  </si>
  <si>
    <t>1/1/2011 - 12/31/2011</t>
  </si>
  <si>
    <t>1/1/2012 - 12/31/2012</t>
  </si>
  <si>
    <t>For Reporting Period Incetive:</t>
  </si>
  <si>
    <t>- - -</t>
  </si>
  <si>
    <t>Multi-Family</t>
  </si>
  <si>
    <t>N/A</t>
  </si>
  <si>
    <t>Combined</t>
  </si>
  <si>
    <t>Ave for plan year</t>
  </si>
  <si>
    <t>5/12-4/13</t>
  </si>
  <si>
    <t>D</t>
  </si>
  <si>
    <t>5/1/2013 - 4/30/2014</t>
  </si>
  <si>
    <t xml:space="preserve">Auburn </t>
  </si>
  <si>
    <t>R</t>
  </si>
  <si>
    <t>REC cust</t>
  </si>
  <si>
    <t>YW cust</t>
  </si>
  <si>
    <t>Rec tons</t>
  </si>
  <si>
    <t xml:space="preserve">YW tons </t>
  </si>
  <si>
    <t>MSW tons</t>
  </si>
  <si>
    <t>County</t>
  </si>
  <si>
    <t xml:space="preserve">Petro </t>
  </si>
  <si>
    <t xml:space="preserve">Normandy </t>
  </si>
  <si>
    <t>Renton</t>
  </si>
  <si>
    <t>NR</t>
  </si>
  <si>
    <t>SeaTac</t>
  </si>
  <si>
    <t>Auburn</t>
  </si>
  <si>
    <t>BD</t>
  </si>
  <si>
    <t>Covington</t>
  </si>
  <si>
    <t>Kent</t>
  </si>
  <si>
    <t>Maple V</t>
  </si>
  <si>
    <t>Hunts Point</t>
  </si>
  <si>
    <t>Beaux Arts</t>
  </si>
  <si>
    <t>LFP</t>
  </si>
  <si>
    <t>Belleuve</t>
  </si>
  <si>
    <t>Clyde Hill</t>
  </si>
  <si>
    <t>Medina</t>
  </si>
  <si>
    <t>Yarrow Point</t>
  </si>
  <si>
    <t>Iss city</t>
  </si>
  <si>
    <t>Kenmore</t>
  </si>
  <si>
    <t>Mercer Is</t>
  </si>
  <si>
    <t>Sammamish</t>
  </si>
  <si>
    <t>NB</t>
  </si>
  <si>
    <t>May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</si>
  <si>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</si>
  <si>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</si>
  <si>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</si>
  <si>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</si>
  <si>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</si>
  <si>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</si>
  <si>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</si>
  <si>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</si>
  <si>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</si>
  <si>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</si>
  <si>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</si>
  <si>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Total Rec tons</t>
  </si>
  <si>
    <t>Total YW tons</t>
  </si>
  <si>
    <t xml:space="preserve">total MSW tons </t>
  </si>
  <si>
    <t>cust</t>
  </si>
  <si>
    <t>MR</t>
  </si>
  <si>
    <t>5/13-4/14</t>
  </si>
  <si>
    <t>Black Diamond</t>
  </si>
  <si>
    <t>Maple Valley</t>
  </si>
  <si>
    <t>Bellevue</t>
  </si>
  <si>
    <t>City of Issaquah</t>
  </si>
  <si>
    <t>Issaquah County</t>
  </si>
  <si>
    <t>Lake Forest Park</t>
  </si>
  <si>
    <t>Mercer Island</t>
  </si>
  <si>
    <t>North Bend</t>
  </si>
  <si>
    <t>Out of Area</t>
  </si>
  <si>
    <t>King County</t>
  </si>
  <si>
    <t>Normandy Park</t>
  </si>
  <si>
    <t>Out Of Area</t>
  </si>
  <si>
    <t>Petro</t>
  </si>
  <si>
    <t xml:space="preserve">1/1/2012 - 07/31/2012 </t>
  </si>
  <si>
    <t>5/1/2011 - 4/30/2012</t>
  </si>
  <si>
    <t>5/1/2012 - 4/30/2013</t>
  </si>
  <si>
    <t>YW</t>
  </si>
  <si>
    <t xml:space="preserve">176 County </t>
  </si>
  <si>
    <t>RECYCLE</t>
  </si>
  <si>
    <t>MSW</t>
  </si>
  <si>
    <t xml:space="preserve">5/1/2013 - 4/30/2014 </t>
  </si>
  <si>
    <t>Through April 30, 2014</t>
  </si>
  <si>
    <t xml:space="preserve">Eastside Single-Family Value </t>
  </si>
  <si>
    <t xml:space="preserve">Eastside Multi-Family Value </t>
  </si>
  <si>
    <t xml:space="preserve">Kent-Meridian Single-Family Value </t>
  </si>
  <si>
    <t xml:space="preserve">Kent-Meridian Multi-Family Value </t>
  </si>
  <si>
    <t xml:space="preserve">SeaTac Single-Family Value </t>
  </si>
  <si>
    <t xml:space="preserve">SeaTac Multi-Family Value </t>
  </si>
  <si>
    <t>Beginning YW Subscribers as % of MSW Customers*</t>
  </si>
  <si>
    <t xml:space="preserve">*Note: The yardwaste subscription percentage has been adjusted to reflect the annexation of Covington, which is a high yard waste subscription area.  </t>
  </si>
  <si>
    <t>** Does not include Covington - deregulated beginning July 1, 2013</t>
  </si>
  <si>
    <t>Current YW Subscribers as % of MSW Customers**</t>
  </si>
  <si>
    <t>Total Spent</t>
  </si>
  <si>
    <t>Earned Program Incentive on Incurred Expenditures (5% of program expenditures)</t>
  </si>
  <si>
    <t>June</t>
  </si>
  <si>
    <t>2012-2013</t>
  </si>
  <si>
    <t>For Reporting Period Incentive:</t>
  </si>
  <si>
    <t>5/1/2014 - 4/30/2015</t>
  </si>
  <si>
    <t>5/1/2014-4/30/2015</t>
  </si>
  <si>
    <t>2014-2015</t>
  </si>
  <si>
    <t>total REC tons</t>
  </si>
  <si>
    <t>YW tons</t>
  </si>
  <si>
    <t xml:space="preserve">July </t>
  </si>
  <si>
    <t>H point</t>
  </si>
  <si>
    <t>Yarrow P</t>
  </si>
  <si>
    <t>KC</t>
  </si>
  <si>
    <t>REC</t>
  </si>
  <si>
    <t>total</t>
  </si>
  <si>
    <t>Rec</t>
  </si>
  <si>
    <t xml:space="preserve">RS report to KC on budget and deliverables from 5/1/15-7/31/15 </t>
  </si>
  <si>
    <t>RS report to KC on budget and deliverables from 8/1/15-4/30/16</t>
  </si>
  <si>
    <t>RS report to WUTC on budget and deliverables from 5/1/15-4/30/16</t>
  </si>
  <si>
    <t>RS report to KC on budget and deliverables from 5/1/16-7/31/16</t>
  </si>
  <si>
    <t xml:space="preserve">Quarterly meeting </t>
  </si>
  <si>
    <t>RS report to KC on budget and deliverables from 8/1/16-4/30/17
RS send new 2017-2019 agreement to KC</t>
  </si>
  <si>
    <t>RS report to WUTC on budget and deliverables from 5/1/16-4/30/17
KC to send approval letter to WUTC</t>
  </si>
  <si>
    <t>Reporting Done</t>
  </si>
  <si>
    <t>Tasks</t>
  </si>
  <si>
    <t>Month</t>
  </si>
  <si>
    <t xml:space="preserve">WUTC Reporting period 2015-2016 </t>
  </si>
  <si>
    <t>WUTC Reporting period 2016-2017</t>
  </si>
  <si>
    <t xml:space="preserve">3 month review period May - July </t>
  </si>
  <si>
    <t>9 month implementation period August - April</t>
  </si>
  <si>
    <t>Legend</t>
  </si>
  <si>
    <t>RO REC</t>
  </si>
  <si>
    <t>RO MSW</t>
  </si>
  <si>
    <t>5/1/2015 - 4/30/2016</t>
  </si>
  <si>
    <t>5/1/2016 - 4/30/2017</t>
  </si>
  <si>
    <t xml:space="preserve">Revenue Share Agreement Administrator </t>
  </si>
  <si>
    <t xml:space="preserve">Project Management/Administration and Coordination </t>
  </si>
  <si>
    <t>August 1, 2018 Through July 31, 2019</t>
  </si>
  <si>
    <t>Accounting</t>
  </si>
  <si>
    <t>GMs</t>
  </si>
  <si>
    <t>Managers</t>
  </si>
  <si>
    <t>Operations</t>
  </si>
  <si>
    <t>Training</t>
  </si>
  <si>
    <t xml:space="preserve">May 1, 2017 - April 30, 2018 </t>
  </si>
  <si>
    <t>Task 3: Single Family - Continuing Education</t>
  </si>
  <si>
    <t>Planning of Organics Cart Tagging and Food Scrap Program</t>
  </si>
  <si>
    <t>Task 4:  Multifamily Outreach</t>
  </si>
  <si>
    <t>Technical Assistance for Properties</t>
  </si>
  <si>
    <t>Task 5: Service Level Ordinance</t>
  </si>
  <si>
    <t>Project on hold at the request of King Co until further research.</t>
  </si>
  <si>
    <t>Task 6: Extensions</t>
  </si>
  <si>
    <t>No budget assigned</t>
  </si>
  <si>
    <t>5/1/2017 - 4/30/2018</t>
  </si>
  <si>
    <t>Revenue Share Agreement Administrator (70%)</t>
  </si>
  <si>
    <t>Project Management/Administration and Coordination (30%)</t>
  </si>
  <si>
    <t>2017-2018 Plan Year Management &amp; Administrative Costs (body of table is average hours/month)</t>
  </si>
  <si>
    <t>Through April 30, 2018</t>
  </si>
  <si>
    <t>Unspent Revenues-Unspent amounts carried forward in year 2 of 2 year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</si>
</sst>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&quot;$&quot;* #,##0.0000_);_(&quot;$&quot;* \(#,##0.0000\);_(&quot;$&quot;* &quot;-&quot;??_);_(@_)"/>
    <numFmt numFmtId="168" formatCode="0.0"/>
    <numFmt numFmtId="169" formatCode="_(* #,##0.0_);_(* \(#,##0.0\);_(* &quot;-&quot;??_);_(@_)"/>
    <numFmt numFmtId="170" formatCode="[$-409]mmm\-yy;@"/>
  </numFmts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sz val="9"/>
      <color indexed="8"/>
      <name val="Arial"/>
      <family val="2"/>
    </font>
    <font>
      <sz val="8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sz val="10"/>
      <color indexed="23"/>
      <name val="Arial"/>
      <family val="2"/>
    </font>
    <font>
      <sz val="8"/>
      <name val="Arial"/>
      <family val="2"/>
    </font>
    <font>
      <i/>
      <sz val="9"/>
      <color rgb="FF0070C0"/>
      <name val="Arial"/>
      <family val="2"/>
    </font>
    <font>
      <sz val="10"/>
      <name val="Symbol"/>
      <family val="1"/>
      <charset val="2"/>
    </font>
    <font>
      <b/>
      <sz val="10"/>
      <color rgb="FF00B05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i/>
      <sz val="9"/>
      <color theme="3" tint="0.3999755851924192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i/>
      <sz val="10"/>
      <color theme="3" tint="0.39997558519241921"/>
      <name val="Arial"/>
      <family val="2"/>
    </font>
    <font>
      <i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Up"/>
    </fill>
    <fill>
      <patternFill patternType="gray0625">
        <bgColor theme="0" tint="-0.14996795556505021"/>
      </patternFill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lightDown">
        <fgColor rgb="FFFFFF00"/>
        <bgColor rgb="FF0070C0"/>
      </patternFill>
    </fill>
    <fill>
      <patternFill patternType="lightDown">
        <fgColor rgb="FFFFFF00"/>
        <bgColor rgb="FF00B0F0"/>
      </patternFill>
    </fill>
    <fill>
      <patternFill patternType="lightDown">
        <fgColor rgb="FFC00000"/>
        <bgColor rgb="FF0070C0"/>
      </patternFill>
    </fill>
    <fill>
      <patternFill patternType="lightDown">
        <fgColor rgb="FFC00000"/>
        <bgColor rgb="FF00B0F0"/>
      </patternFill>
    </fill>
    <fill>
      <patternFill patternType="lightDown">
        <fgColor rgb="FFC00000"/>
      </patternFill>
    </fill>
    <fill>
      <patternFill patternType="lightDown">
        <f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2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8" fillId="0" borderId="0" applyFont="0" applyFill="0" applyBorder="0" applyAlignment="0" applyProtection="0"/>
    <xf numFmtId="0" fontId="3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1">
    <xf numFmtId="0" fontId="0" fillId="0" borderId="0" xfId="0"/>
    <xf numFmtId="0" fontId="9" fillId="0" borderId="0" xfId="0" applyFont="1" applyAlignment="1"/>
    <xf numFmtId="0" fontId="5" fillId="0" borderId="0" xfId="3"/>
    <xf numFmtId="0" fontId="10" fillId="0" borderId="0" xfId="0" applyFont="1" applyAlignment="1"/>
    <xf numFmtId="0" fontId="10" fillId="0" borderId="0" xfId="0" quotePrefix="1" applyFont="1" applyAlignment="1">
      <alignment horizontal="left"/>
    </xf>
    <xf numFmtId="0" fontId="9" fillId="2" borderId="1" xfId="3" applyFont="1" applyFill="1" applyBorder="1"/>
    <xf numFmtId="164" fontId="8" fillId="2" borderId="2" xfId="3" applyNumberFormat="1" applyFont="1" applyFill="1" applyBorder="1"/>
    <xf numFmtId="0" fontId="8" fillId="2" borderId="2" xfId="3" applyFont="1" applyFill="1" applyBorder="1"/>
    <xf numFmtId="164" fontId="8" fillId="2" borderId="3" xfId="4" applyNumberFormat="1" applyFont="1" applyFill="1" applyBorder="1"/>
    <xf numFmtId="0" fontId="8" fillId="0" borderId="0" xfId="3" applyFont="1"/>
    <xf numFmtId="0" fontId="9" fillId="0" borderId="0" xfId="3" applyFont="1" applyFill="1" applyBorder="1" applyAlignment="1">
      <alignment horizontal="center"/>
    </xf>
    <xf numFmtId="164" fontId="8" fillId="0" borderId="0" xfId="3" applyNumberFormat="1" applyFont="1"/>
    <xf numFmtId="164" fontId="8" fillId="0" borderId="0" xfId="4" applyNumberFormat="1" applyFont="1"/>
    <xf numFmtId="0" fontId="8" fillId="0" borderId="0" xfId="3" applyFont="1" applyFill="1" applyBorder="1"/>
    <xf numFmtId="164" fontId="8" fillId="0" borderId="0" xfId="3" applyNumberFormat="1" applyFont="1" applyFill="1"/>
    <xf numFmtId="164" fontId="8" fillId="0" borderId="0" xfId="4" applyNumberFormat="1" applyFont="1" applyBorder="1"/>
    <xf numFmtId="164" fontId="8" fillId="0" borderId="0" xfId="4" applyNumberFormat="1" applyFont="1" applyFill="1" applyBorder="1"/>
    <xf numFmtId="0" fontId="8" fillId="0" borderId="0" xfId="0" applyFont="1"/>
    <xf numFmtId="164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/>
    <xf numFmtId="164" fontId="8" fillId="0" borderId="4" xfId="1" applyNumberFormat="1" applyFont="1" applyBorder="1" applyAlignment="1">
      <alignment horizontal="center"/>
    </xf>
    <xf numFmtId="0" fontId="0" fillId="0" borderId="0" xfId="0" applyFont="1"/>
    <xf numFmtId="164" fontId="8" fillId="0" borderId="0" xfId="0" applyNumberFormat="1" applyFont="1"/>
    <xf numFmtId="10" fontId="8" fillId="0" borderId="0" xfId="0" applyNumberFormat="1" applyFont="1"/>
    <xf numFmtId="164" fontId="8" fillId="0" borderId="0" xfId="1" applyNumberFormat="1" applyFont="1" applyFill="1" applyBorder="1"/>
    <xf numFmtId="164" fontId="8" fillId="0" borderId="0" xfId="1" applyNumberFormat="1" applyFont="1" applyBorder="1"/>
    <xf numFmtId="0" fontId="11" fillId="0" borderId="0" xfId="0" applyFont="1" applyAlignment="1">
      <alignment horizontal="left"/>
    </xf>
    <xf numFmtId="164" fontId="11" fillId="0" borderId="5" xfId="1" applyNumberFormat="1" applyFont="1" applyBorder="1"/>
    <xf numFmtId="0" fontId="8" fillId="0" borderId="0" xfId="0" applyFont="1" applyAlignment="1">
      <alignment horizontal="right"/>
    </xf>
    <xf numFmtId="164" fontId="11" fillId="0" borderId="0" xfId="1" applyNumberFormat="1" applyFont="1" applyFill="1" applyBorder="1"/>
    <xf numFmtId="164" fontId="8" fillId="0" borderId="0" xfId="1" applyNumberFormat="1" applyFont="1"/>
    <xf numFmtId="0" fontId="8" fillId="0" borderId="6" xfId="3" applyFont="1" applyBorder="1"/>
    <xf numFmtId="164" fontId="8" fillId="0" borderId="6" xfId="3" applyNumberFormat="1" applyFont="1" applyBorder="1"/>
    <xf numFmtId="164" fontId="8" fillId="0" borderId="6" xfId="4" applyNumberFormat="1" applyFont="1" applyBorder="1"/>
    <xf numFmtId="0" fontId="9" fillId="0" borderId="0" xfId="3" applyFont="1" applyFill="1" applyBorder="1"/>
    <xf numFmtId="164" fontId="8" fillId="0" borderId="0" xfId="3" applyNumberFormat="1" applyFont="1" applyFill="1" applyBorder="1"/>
    <xf numFmtId="0" fontId="8" fillId="0" borderId="0" xfId="3" applyFont="1" applyFill="1"/>
    <xf numFmtId="0" fontId="11" fillId="0" borderId="0" xfId="3" applyFont="1" applyAlignment="1">
      <alignment vertical="center"/>
    </xf>
    <xf numFmtId="164" fontId="13" fillId="0" borderId="0" xfId="5" applyNumberFormat="1" applyFont="1" applyFill="1" applyBorder="1" applyAlignment="1">
      <alignment horizontal="left" vertical="top" indent="1"/>
    </xf>
    <xf numFmtId="0" fontId="0" fillId="0" borderId="0" xfId="3" applyFont="1" applyFill="1"/>
    <xf numFmtId="0" fontId="0" fillId="0" borderId="0" xfId="3" applyFont="1" applyFill="1" applyBorder="1"/>
    <xf numFmtId="164" fontId="13" fillId="0" borderId="0" xfId="4" applyNumberFormat="1" applyFont="1" applyFill="1" applyBorder="1" applyAlignment="1">
      <alignment vertical="top"/>
    </xf>
    <xf numFmtId="0" fontId="5" fillId="0" borderId="0" xfId="3" applyAlignment="1">
      <alignment vertical="center" wrapText="1"/>
    </xf>
    <xf numFmtId="44" fontId="8" fillId="0" borderId="0" xfId="4" applyFont="1" applyAlignment="1">
      <alignment vertical="center" wrapText="1"/>
    </xf>
    <xf numFmtId="165" fontId="8" fillId="0" borderId="0" xfId="6" applyNumberFormat="1" applyFont="1" applyAlignment="1">
      <alignment vertical="center"/>
    </xf>
    <xf numFmtId="164" fontId="11" fillId="0" borderId="7" xfId="4" applyNumberFormat="1" applyFont="1" applyBorder="1" applyAlignment="1">
      <alignment vertical="center"/>
    </xf>
    <xf numFmtId="0" fontId="5" fillId="0" borderId="0" xfId="3" applyAlignment="1">
      <alignment vertical="center"/>
    </xf>
    <xf numFmtId="166" fontId="8" fillId="0" borderId="0" xfId="7" applyNumberFormat="1" applyFont="1" applyAlignment="1">
      <alignment vertical="center"/>
    </xf>
    <xf numFmtId="0" fontId="5" fillId="0" borderId="0" xfId="3" applyFont="1"/>
    <xf numFmtId="9" fontId="5" fillId="0" borderId="0" xfId="3" applyNumberFormat="1"/>
    <xf numFmtId="0" fontId="5" fillId="0" borderId="0" xfId="3" applyBorder="1"/>
    <xf numFmtId="164" fontId="0" fillId="0" borderId="0" xfId="4" applyNumberFormat="1" applyFont="1"/>
    <xf numFmtId="0" fontId="7" fillId="0" borderId="0" xfId="3" applyFont="1"/>
    <xf numFmtId="164" fontId="5" fillId="0" borderId="0" xfId="3" applyNumberFormat="1"/>
    <xf numFmtId="9" fontId="0" fillId="0" borderId="0" xfId="7" applyFont="1"/>
    <xf numFmtId="166" fontId="8" fillId="0" borderId="0" xfId="7" applyNumberFormat="1" applyFont="1"/>
    <xf numFmtId="0" fontId="5" fillId="0" borderId="0" xfId="9"/>
    <xf numFmtId="0" fontId="16" fillId="0" borderId="4" xfId="8" applyFont="1" applyBorder="1" applyAlignment="1">
      <alignment vertical="center" wrapText="1"/>
    </xf>
    <xf numFmtId="0" fontId="16" fillId="0" borderId="4" xfId="8" applyFont="1" applyBorder="1" applyAlignment="1">
      <alignment horizontal="center" vertical="center" wrapText="1"/>
    </xf>
    <xf numFmtId="17" fontId="16" fillId="0" borderId="0" xfId="8" applyNumberFormat="1" applyFont="1" applyBorder="1" applyAlignment="1">
      <alignment vertical="center" wrapText="1"/>
    </xf>
    <xf numFmtId="0" fontId="16" fillId="3" borderId="0" xfId="8" applyFont="1" applyFill="1" applyBorder="1" applyAlignment="1">
      <alignment horizontal="center" vertical="center" wrapText="1"/>
    </xf>
    <xf numFmtId="0" fontId="16" fillId="0" borderId="0" xfId="8" applyFont="1" applyBorder="1" applyAlignment="1">
      <alignment horizontal="center" vertical="center" wrapText="1"/>
    </xf>
    <xf numFmtId="0" fontId="6" fillId="0" borderId="0" xfId="9" applyFont="1"/>
    <xf numFmtId="17" fontId="16" fillId="4" borderId="0" xfId="8" applyNumberFormat="1" applyFont="1" applyFill="1" applyBorder="1" applyAlignment="1">
      <alignment vertical="center" wrapText="1"/>
    </xf>
    <xf numFmtId="0" fontId="16" fillId="5" borderId="0" xfId="8" applyFont="1" applyFill="1" applyBorder="1" applyAlignment="1">
      <alignment horizontal="center" vertical="center" wrapText="1"/>
    </xf>
    <xf numFmtId="0" fontId="5" fillId="0" borderId="0" xfId="9" applyAlignment="1">
      <alignment wrapText="1"/>
    </xf>
    <xf numFmtId="0" fontId="5" fillId="0" borderId="2" xfId="8" applyBorder="1" applyAlignment="1">
      <alignment horizontal="right"/>
    </xf>
    <xf numFmtId="43" fontId="0" fillId="0" borderId="2" xfId="10" applyFont="1" applyBorder="1" applyAlignment="1">
      <alignment horizontal="center"/>
    </xf>
    <xf numFmtId="0" fontId="5" fillId="0" borderId="0" xfId="9" applyAlignment="1">
      <alignment horizontal="center" wrapText="1"/>
    </xf>
    <xf numFmtId="0" fontId="5" fillId="0" borderId="0" xfId="8" applyAlignment="1">
      <alignment horizontal="right"/>
    </xf>
    <xf numFmtId="44" fontId="16" fillId="0" borderId="0" xfId="11" applyFont="1" applyFill="1" applyBorder="1" applyAlignment="1">
      <alignment horizontal="center" vertical="center" wrapText="1"/>
    </xf>
    <xf numFmtId="0" fontId="5" fillId="0" borderId="0" xfId="8"/>
    <xf numFmtId="167" fontId="0" fillId="0" borderId="7" xfId="11" applyNumberFormat="1" applyFont="1" applyBorder="1" applyAlignment="1">
      <alignment horizontal="right"/>
    </xf>
    <xf numFmtId="44" fontId="0" fillId="0" borderId="7" xfId="11" applyNumberFormat="1" applyFont="1" applyBorder="1"/>
    <xf numFmtId="9" fontId="5" fillId="0" borderId="8" xfId="2" applyFont="1" applyBorder="1"/>
    <xf numFmtId="0" fontId="5" fillId="0" borderId="9" xfId="9" applyFont="1" applyBorder="1" applyAlignment="1">
      <alignment wrapText="1"/>
    </xf>
    <xf numFmtId="9" fontId="5" fillId="0" borderId="4" xfId="2" applyFont="1" applyBorder="1"/>
    <xf numFmtId="0" fontId="5" fillId="0" borderId="10" xfId="9" applyFont="1" applyBorder="1" applyAlignment="1">
      <alignment wrapText="1"/>
    </xf>
    <xf numFmtId="44" fontId="5" fillId="0" borderId="0" xfId="8" applyNumberFormat="1"/>
    <xf numFmtId="0" fontId="5" fillId="0" borderId="0" xfId="8" applyAlignment="1">
      <alignment wrapText="1"/>
    </xf>
    <xf numFmtId="0" fontId="5" fillId="0" borderId="0" xfId="8" applyAlignment="1">
      <alignment horizontal="center" wrapText="1"/>
    </xf>
    <xf numFmtId="0" fontId="5" fillId="0" borderId="0" xfId="9" applyAlignment="1"/>
    <xf numFmtId="44" fontId="5" fillId="0" borderId="0" xfId="9" applyNumberFormat="1"/>
    <xf numFmtId="0" fontId="5" fillId="0" borderId="0" xfId="9" applyAlignment="1">
      <alignment vertical="center"/>
    </xf>
    <xf numFmtId="0" fontId="5" fillId="0" borderId="0" xfId="9" applyFill="1" applyBorder="1"/>
    <xf numFmtId="0" fontId="5" fillId="0" borderId="0" xfId="9" applyFill="1" applyBorder="1" applyAlignment="1">
      <alignment horizontal="right"/>
    </xf>
    <xf numFmtId="43" fontId="0" fillId="0" borderId="0" xfId="10" applyFont="1" applyFill="1" applyBorder="1" applyAlignment="1">
      <alignment horizontal="center"/>
    </xf>
    <xf numFmtId="0" fontId="5" fillId="0" borderId="0" xfId="9" applyFill="1" applyBorder="1" applyAlignment="1">
      <alignment horizontal="center"/>
    </xf>
    <xf numFmtId="0" fontId="5" fillId="0" borderId="0" xfId="9" applyFont="1" applyBorder="1" applyAlignment="1">
      <alignment wrapText="1"/>
    </xf>
    <xf numFmtId="0" fontId="0" fillId="0" borderId="0" xfId="0" applyAlignment="1">
      <alignment horizontal="right"/>
    </xf>
    <xf numFmtId="44" fontId="5" fillId="0" borderId="0" xfId="9" applyNumberFormat="1" applyFont="1" applyBorder="1" applyAlignment="1">
      <alignment wrapText="1"/>
    </xf>
    <xf numFmtId="9" fontId="5" fillId="0" borderId="0" xfId="8" applyNumberFormat="1" applyAlignment="1">
      <alignment horizontal="right" wrapText="1"/>
    </xf>
    <xf numFmtId="0" fontId="4" fillId="0" borderId="0" xfId="8" applyFont="1" applyAlignment="1">
      <alignment horizontal="right"/>
    </xf>
    <xf numFmtId="0" fontId="4" fillId="0" borderId="0" xfId="8" applyFont="1" applyAlignment="1">
      <alignment horizontal="right" wrapText="1"/>
    </xf>
    <xf numFmtId="164" fontId="11" fillId="0" borderId="0" xfId="0" applyNumberFormat="1" applyFont="1" applyAlignment="1"/>
    <xf numFmtId="0" fontId="11" fillId="0" borderId="0" xfId="0" applyFont="1" applyAlignment="1"/>
    <xf numFmtId="164" fontId="11" fillId="0" borderId="0" xfId="1" applyNumberFormat="1" applyFont="1" applyAlignment="1"/>
    <xf numFmtId="164" fontId="8" fillId="0" borderId="0" xfId="0" applyNumberFormat="1" applyFont="1" applyAlignment="1"/>
    <xf numFmtId="0" fontId="8" fillId="0" borderId="0" xfId="0" applyFont="1" applyAlignment="1"/>
    <xf numFmtId="164" fontId="8" fillId="0" borderId="0" xfId="1" applyNumberFormat="1" applyFont="1" applyAlignment="1"/>
    <xf numFmtId="164" fontId="8" fillId="0" borderId="0" xfId="0" applyNumberFormat="1" applyFont="1" applyAlignment="1">
      <alignment horizontal="center"/>
    </xf>
    <xf numFmtId="43" fontId="8" fillId="0" borderId="0" xfId="14" applyFont="1"/>
    <xf numFmtId="164" fontId="23" fillId="0" borderId="0" xfId="14" applyNumberFormat="1" applyFont="1"/>
    <xf numFmtId="164" fontId="23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0" xfId="0" quotePrefix="1"/>
    <xf numFmtId="169" fontId="8" fillId="0" borderId="0" xfId="14" applyNumberFormat="1"/>
    <xf numFmtId="165" fontId="8" fillId="0" borderId="0" xfId="14" applyNumberFormat="1"/>
    <xf numFmtId="169" fontId="0" fillId="0" borderId="0" xfId="0" applyNumberFormat="1"/>
    <xf numFmtId="166" fontId="8" fillId="0" borderId="0" xfId="2" applyNumberFormat="1"/>
    <xf numFmtId="43" fontId="0" fillId="0" borderId="0" xfId="0" applyNumberFormat="1"/>
    <xf numFmtId="165" fontId="8" fillId="0" borderId="0" xfId="14" applyNumberFormat="1" applyFill="1"/>
    <xf numFmtId="0" fontId="25" fillId="0" borderId="0" xfId="0" quotePrefix="1" applyFont="1"/>
    <xf numFmtId="169" fontId="25" fillId="0" borderId="0" xfId="14" quotePrefix="1" applyNumberFormat="1" applyFont="1" applyAlignment="1">
      <alignment horizontal="right"/>
    </xf>
    <xf numFmtId="169" fontId="25" fillId="0" borderId="0" xfId="14" applyNumberFormat="1" applyFont="1"/>
    <xf numFmtId="169" fontId="25" fillId="0" borderId="0" xfId="0" applyNumberFormat="1" applyFont="1"/>
    <xf numFmtId="0" fontId="0" fillId="0" borderId="2" xfId="0" applyBorder="1"/>
    <xf numFmtId="169" fontId="0" fillId="0" borderId="0" xfId="14" applyNumberFormat="1" applyFont="1" applyAlignment="1">
      <alignment horizontal="center"/>
    </xf>
    <xf numFmtId="165" fontId="25" fillId="0" borderId="0" xfId="14" applyNumberFormat="1" applyFont="1" applyFill="1"/>
    <xf numFmtId="169" fontId="25" fillId="0" borderId="0" xfId="14" applyNumberFormat="1" applyFont="1" applyAlignment="1">
      <alignment horizontal="center"/>
    </xf>
    <xf numFmtId="169" fontId="25" fillId="0" borderId="0" xfId="0" applyNumberFormat="1" applyFont="1" applyAlignment="1">
      <alignment horizontal="center"/>
    </xf>
    <xf numFmtId="165" fontId="0" fillId="0" borderId="0" xfId="14" applyNumberFormat="1" applyFont="1"/>
    <xf numFmtId="166" fontId="0" fillId="0" borderId="0" xfId="2" applyNumberFormat="1" applyFont="1" applyFill="1"/>
    <xf numFmtId="0" fontId="26" fillId="0" borderId="0" xfId="0" applyFont="1" applyAlignment="1">
      <alignment horizontal="right"/>
    </xf>
    <xf numFmtId="10" fontId="27" fillId="0" borderId="14" xfId="2" applyNumberFormat="1" applyFont="1" applyBorder="1"/>
    <xf numFmtId="0" fontId="28" fillId="0" borderId="0" xfId="0" applyFont="1"/>
    <xf numFmtId="0" fontId="29" fillId="0" borderId="0" xfId="0" quotePrefix="1" applyFont="1"/>
    <xf numFmtId="169" fontId="29" fillId="0" borderId="0" xfId="14" applyNumberFormat="1" applyFont="1"/>
    <xf numFmtId="169" fontId="29" fillId="0" borderId="0" xfId="0" applyNumberFormat="1" applyFont="1"/>
    <xf numFmtId="166" fontId="29" fillId="0" borderId="0" xfId="2" applyNumberFormat="1" applyFont="1"/>
    <xf numFmtId="166" fontId="0" fillId="0" borderId="0" xfId="2" applyNumberFormat="1" applyFont="1"/>
    <xf numFmtId="10" fontId="27" fillId="0" borderId="0" xfId="2" applyNumberFormat="1" applyFont="1" applyBorder="1"/>
    <xf numFmtId="165" fontId="30" fillId="0" borderId="0" xfId="14" applyNumberFormat="1" applyFont="1" applyFill="1"/>
    <xf numFmtId="0" fontId="31" fillId="0" borderId="0" xfId="0" applyFont="1" applyFill="1" applyBorder="1"/>
    <xf numFmtId="43" fontId="31" fillId="0" borderId="0" xfId="14" applyFont="1"/>
    <xf numFmtId="43" fontId="32" fillId="0" borderId="0" xfId="0" applyNumberFormat="1" applyFont="1"/>
    <xf numFmtId="43" fontId="33" fillId="0" borderId="0" xfId="14" applyFont="1"/>
    <xf numFmtId="0" fontId="0" fillId="6" borderId="0" xfId="0" applyFill="1"/>
    <xf numFmtId="0" fontId="31" fillId="6" borderId="0" xfId="0" applyFont="1" applyFill="1" applyBorder="1"/>
    <xf numFmtId="43" fontId="31" fillId="6" borderId="0" xfId="14" applyFont="1" applyFill="1"/>
    <xf numFmtId="43" fontId="32" fillId="6" borderId="0" xfId="0" applyNumberFormat="1" applyFont="1" applyFill="1"/>
    <xf numFmtId="43" fontId="0" fillId="6" borderId="0" xfId="0" applyNumberFormat="1" applyFill="1"/>
    <xf numFmtId="165" fontId="29" fillId="0" borderId="0" xfId="14" applyNumberFormat="1" applyFont="1" applyFill="1"/>
    <xf numFmtId="0" fontId="34" fillId="0" borderId="0" xfId="0" quotePrefix="1" applyFont="1"/>
    <xf numFmtId="169" fontId="34" fillId="0" borderId="0" xfId="14" applyNumberFormat="1" applyFont="1"/>
    <xf numFmtId="169" fontId="34" fillId="0" borderId="0" xfId="14" applyNumberFormat="1" applyFont="1" applyAlignment="1">
      <alignment horizontal="center"/>
    </xf>
    <xf numFmtId="165" fontId="34" fillId="0" borderId="0" xfId="14" applyNumberFormat="1" applyFont="1" applyFill="1"/>
    <xf numFmtId="169" fontId="34" fillId="0" borderId="0" xfId="0" applyNumberFormat="1" applyFont="1"/>
    <xf numFmtId="166" fontId="34" fillId="0" borderId="0" xfId="2" applyNumberFormat="1" applyFont="1"/>
    <xf numFmtId="0" fontId="30" fillId="0" borderId="0" xfId="0" quotePrefix="1" applyFont="1"/>
    <xf numFmtId="169" fontId="30" fillId="0" borderId="0" xfId="0" applyNumberFormat="1" applyFont="1"/>
    <xf numFmtId="169" fontId="30" fillId="0" borderId="0" xfId="0" applyNumberFormat="1" applyFont="1" applyAlignment="1">
      <alignment horizontal="center"/>
    </xf>
    <xf numFmtId="169" fontId="30" fillId="0" borderId="0" xfId="14" applyNumberFormat="1" applyFont="1"/>
    <xf numFmtId="166" fontId="30" fillId="0" borderId="0" xfId="2" applyNumberFormat="1" applyFont="1"/>
    <xf numFmtId="0" fontId="35" fillId="0" borderId="0" xfId="0" applyFont="1"/>
    <xf numFmtId="3" fontId="35" fillId="0" borderId="0" xfId="0" applyNumberFormat="1" applyFont="1"/>
    <xf numFmtId="169" fontId="30" fillId="0" borderId="0" xfId="14" quotePrefix="1" applyNumberFormat="1" applyFont="1" applyAlignment="1">
      <alignment horizontal="right"/>
    </xf>
    <xf numFmtId="170" fontId="0" fillId="0" borderId="0" xfId="0" applyNumberFormat="1" applyAlignment="1">
      <alignment horizontal="center"/>
    </xf>
    <xf numFmtId="0" fontId="35" fillId="0" borderId="0" xfId="0" applyFont="1" applyAlignment="1">
      <alignment horizontal="center"/>
    </xf>
    <xf numFmtId="166" fontId="35" fillId="0" borderId="0" xfId="2" applyNumberFormat="1" applyFont="1"/>
    <xf numFmtId="44" fontId="8" fillId="0" borderId="0" xfId="0" applyNumberFormat="1" applyFont="1"/>
    <xf numFmtId="2" fontId="35" fillId="0" borderId="0" xfId="0" applyNumberFormat="1" applyFont="1"/>
    <xf numFmtId="165" fontId="35" fillId="0" borderId="0" xfId="14" applyNumberFormat="1" applyFont="1" applyFill="1"/>
    <xf numFmtId="0" fontId="36" fillId="0" borderId="0" xfId="0" applyFont="1"/>
    <xf numFmtId="9" fontId="0" fillId="0" borderId="0" xfId="7" applyNumberFormat="1" applyFont="1"/>
    <xf numFmtId="169" fontId="35" fillId="0" borderId="0" xfId="14" applyNumberFormat="1" applyFont="1"/>
    <xf numFmtId="0" fontId="0" fillId="0" borderId="0" xfId="0" applyAlignment="1">
      <alignment horizontal="center"/>
    </xf>
    <xf numFmtId="165" fontId="8" fillId="0" borderId="0" xfId="14" applyNumberFormat="1" applyFont="1" applyFill="1"/>
    <xf numFmtId="43" fontId="8" fillId="0" borderId="0" xfId="14" applyFont="1" applyFill="1"/>
    <xf numFmtId="165" fontId="8" fillId="0" borderId="0" xfId="14" applyNumberFormat="1" applyFont="1"/>
    <xf numFmtId="43" fontId="8" fillId="0" borderId="0" xfId="14" applyNumberFormat="1" applyFont="1" applyFill="1"/>
    <xf numFmtId="165" fontId="0" fillId="0" borderId="0" xfId="0" applyNumberFormat="1"/>
    <xf numFmtId="166" fontId="35" fillId="0" borderId="0" xfId="2" applyNumberFormat="1" applyFont="1" applyFill="1"/>
    <xf numFmtId="43" fontId="0" fillId="0" borderId="0" xfId="14" applyFont="1" applyFill="1"/>
    <xf numFmtId="2" fontId="0" fillId="0" borderId="0" xfId="10" applyNumberFormat="1" applyFont="1" applyFill="1" applyBorder="1" applyAlignment="1"/>
    <xf numFmtId="0" fontId="16" fillId="0" borderId="0" xfId="9" applyFont="1" applyFill="1" applyBorder="1" applyAlignment="1">
      <alignment vertical="center"/>
    </xf>
    <xf numFmtId="0" fontId="5" fillId="0" borderId="0" xfId="9" applyFill="1" applyBorder="1" applyAlignment="1"/>
    <xf numFmtId="0" fontId="17" fillId="0" borderId="0" xfId="9" applyFont="1" applyFill="1" applyBorder="1" applyAlignment="1">
      <alignment horizontal="center" vertical="center"/>
    </xf>
    <xf numFmtId="9" fontId="17" fillId="0" borderId="0" xfId="9" applyNumberFormat="1" applyFont="1" applyFill="1" applyBorder="1" applyAlignment="1">
      <alignment horizontal="center" vertical="center"/>
    </xf>
    <xf numFmtId="17" fontId="16" fillId="0" borderId="0" xfId="9" applyNumberFormat="1" applyFont="1" applyFill="1" applyBorder="1" applyAlignment="1">
      <alignment vertical="center"/>
    </xf>
    <xf numFmtId="2" fontId="16" fillId="0" borderId="0" xfId="9" applyNumberFormat="1" applyFont="1" applyFill="1" applyBorder="1" applyAlignment="1">
      <alignment horizontal="center" vertical="center"/>
    </xf>
    <xf numFmtId="2" fontId="16" fillId="0" borderId="0" xfId="9" applyNumberFormat="1" applyFont="1" applyFill="1" applyBorder="1" applyAlignment="1">
      <alignment vertical="center"/>
    </xf>
    <xf numFmtId="43" fontId="16" fillId="0" borderId="0" xfId="10" applyFont="1" applyFill="1" applyBorder="1" applyAlignment="1">
      <alignment horizontal="center" vertical="center"/>
    </xf>
    <xf numFmtId="0" fontId="16" fillId="0" borderId="0" xfId="9" applyFont="1" applyFill="1" applyBorder="1" applyAlignment="1">
      <alignment horizontal="center" vertical="center"/>
    </xf>
    <xf numFmtId="17" fontId="19" fillId="0" borderId="0" xfId="9" applyNumberFormat="1" applyFont="1" applyFill="1" applyBorder="1" applyAlignment="1">
      <alignment vertical="center"/>
    </xf>
    <xf numFmtId="2" fontId="18" fillId="0" borderId="0" xfId="9" applyNumberFormat="1" applyFont="1" applyFill="1" applyBorder="1" applyAlignment="1">
      <alignment horizontal="center" vertical="center"/>
    </xf>
    <xf numFmtId="2" fontId="19" fillId="0" borderId="0" xfId="9" applyNumberFormat="1" applyFont="1" applyFill="1" applyBorder="1" applyAlignment="1">
      <alignment vertical="center"/>
    </xf>
    <xf numFmtId="0" fontId="18" fillId="0" borderId="0" xfId="9" applyFont="1" applyFill="1" applyBorder="1" applyAlignment="1">
      <alignment horizontal="center" vertical="center"/>
    </xf>
    <xf numFmtId="0" fontId="7" fillId="0" borderId="0" xfId="9" applyFont="1" applyAlignment="1"/>
    <xf numFmtId="0" fontId="16" fillId="0" borderId="0" xfId="9" applyFont="1" applyBorder="1" applyAlignment="1">
      <alignment vertical="center"/>
    </xf>
    <xf numFmtId="0" fontId="5" fillId="0" borderId="0" xfId="9" applyBorder="1" applyAlignment="1">
      <alignment horizontal="center"/>
    </xf>
    <xf numFmtId="0" fontId="5" fillId="0" borderId="0" xfId="9" applyBorder="1" applyAlignment="1"/>
    <xf numFmtId="17" fontId="16" fillId="0" borderId="0" xfId="9" applyNumberFormat="1" applyFont="1" applyBorder="1" applyAlignment="1">
      <alignment vertical="center"/>
    </xf>
    <xf numFmtId="0" fontId="16" fillId="0" borderId="0" xfId="9" applyFont="1" applyBorder="1" applyAlignment="1">
      <alignment horizontal="center" vertical="center"/>
    </xf>
    <xf numFmtId="168" fontId="16" fillId="0" borderId="0" xfId="9" applyNumberFormat="1" applyFont="1" applyBorder="1" applyAlignment="1">
      <alignment horizontal="center" vertical="center"/>
    </xf>
    <xf numFmtId="168" fontId="16" fillId="0" borderId="0" xfId="9" applyNumberFormat="1" applyFont="1" applyBorder="1" applyAlignment="1">
      <alignment vertical="center"/>
    </xf>
    <xf numFmtId="17" fontId="18" fillId="0" borderId="0" xfId="9" applyNumberFormat="1" applyFont="1" applyFill="1" applyBorder="1" applyAlignment="1">
      <alignment vertical="center"/>
    </xf>
    <xf numFmtId="0" fontId="18" fillId="0" borderId="0" xfId="9" applyFont="1" applyFill="1" applyBorder="1" applyAlignment="1">
      <alignment vertical="center"/>
    </xf>
    <xf numFmtId="0" fontId="7" fillId="0" borderId="0" xfId="9" applyFont="1" applyFill="1" applyBorder="1" applyAlignment="1"/>
    <xf numFmtId="9" fontId="5" fillId="0" borderId="0" xfId="2" applyFont="1" applyAlignment="1">
      <alignment vertical="center" wrapText="1"/>
    </xf>
    <xf numFmtId="2" fontId="0" fillId="7" borderId="0" xfId="0" applyNumberFormat="1" applyFill="1" applyBorder="1" applyAlignment="1">
      <alignment horizontal="center"/>
    </xf>
    <xf numFmtId="1" fontId="0" fillId="7" borderId="0" xfId="0" applyNumberFormat="1" applyFill="1" applyBorder="1" applyAlignment="1">
      <alignment horizontal="center"/>
    </xf>
    <xf numFmtId="1" fontId="0" fillId="0" borderId="0" xfId="0" applyNumberFormat="1"/>
    <xf numFmtId="0" fontId="0" fillId="7" borderId="0" xfId="0" applyFill="1"/>
    <xf numFmtId="2" fontId="0" fillId="7" borderId="0" xfId="0" applyNumberFormat="1" applyFont="1" applyFill="1" applyBorder="1" applyAlignment="1">
      <alignment horizontal="center"/>
    </xf>
    <xf numFmtId="43" fontId="35" fillId="0" borderId="0" xfId="14" applyNumberFormat="1" applyFont="1"/>
    <xf numFmtId="2" fontId="0" fillId="8" borderId="0" xfId="0" applyNumberFormat="1" applyFill="1" applyBorder="1" applyAlignment="1">
      <alignment horizontal="center"/>
    </xf>
    <xf numFmtId="8" fontId="21" fillId="0" borderId="0" xfId="0" applyNumberFormat="1" applyFont="1"/>
    <xf numFmtId="17" fontId="0" fillId="0" borderId="0" xfId="0" applyNumberFormat="1"/>
    <xf numFmtId="0" fontId="11" fillId="0" borderId="0" xfId="0" applyFont="1"/>
    <xf numFmtId="0" fontId="11" fillId="0" borderId="0" xfId="0" applyFont="1" applyAlignment="1">
      <alignment wrapText="1"/>
    </xf>
    <xf numFmtId="0" fontId="0" fillId="0" borderId="0" xfId="0" applyFont="1" applyAlignment="1">
      <alignment wrapText="1"/>
    </xf>
    <xf numFmtId="17" fontId="0" fillId="0" borderId="0" xfId="0" applyNumberFormat="1" applyAlignment="1">
      <alignment vertical="center"/>
    </xf>
    <xf numFmtId="0" fontId="11" fillId="0" borderId="0" xfId="0" applyFont="1" applyAlignment="1">
      <alignment horizontal="center"/>
    </xf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39" fillId="0" borderId="0" xfId="0" applyFont="1" applyAlignment="1">
      <alignment horizontal="left"/>
    </xf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10" fontId="35" fillId="0" borderId="0" xfId="2" applyNumberFormat="1" applyFont="1"/>
    <xf numFmtId="4" fontId="35" fillId="0" borderId="0" xfId="0" applyNumberFormat="1" applyFont="1"/>
    <xf numFmtId="10" fontId="30" fillId="0" borderId="0" xfId="2" applyNumberFormat="1" applyFont="1"/>
    <xf numFmtId="0" fontId="3" fillId="0" borderId="0" xfId="15"/>
    <xf numFmtId="0" fontId="3" fillId="0" borderId="0" xfId="23"/>
    <xf numFmtId="0" fontId="16" fillId="0" borderId="4" xfId="16" applyFont="1" applyBorder="1" applyAlignment="1">
      <alignment vertical="center" wrapText="1"/>
    </xf>
    <xf numFmtId="0" fontId="17" fillId="0" borderId="4" xfId="16" applyFont="1" applyBorder="1" applyAlignment="1">
      <alignment horizontal="center" vertical="center" wrapText="1"/>
    </xf>
    <xf numFmtId="0" fontId="8" fillId="0" borderId="2" xfId="16" applyBorder="1" applyAlignment="1">
      <alignment horizontal="right"/>
    </xf>
    <xf numFmtId="0" fontId="8" fillId="0" borderId="0" xfId="16" applyAlignment="1">
      <alignment horizontal="right"/>
    </xf>
    <xf numFmtId="167" fontId="8" fillId="0" borderId="7" xfId="17" applyNumberFormat="1" applyFont="1" applyBorder="1" applyAlignment="1">
      <alignment horizontal="right"/>
    </xf>
    <xf numFmtId="44" fontId="8" fillId="0" borderId="7" xfId="17" applyNumberFormat="1" applyFont="1" applyBorder="1"/>
    <xf numFmtId="17" fontId="21" fillId="0" borderId="0" xfId="23" applyNumberFormat="1" applyFont="1" applyBorder="1" applyAlignment="1">
      <alignment vertical="center" wrapText="1"/>
    </xf>
    <xf numFmtId="0" fontId="20" fillId="0" borderId="0" xfId="23" applyFont="1" applyBorder="1" applyAlignment="1">
      <alignment horizontal="center" vertical="center" wrapText="1"/>
    </xf>
    <xf numFmtId="0" fontId="20" fillId="0" borderId="0" xfId="23" applyFont="1" applyFill="1" applyBorder="1" applyAlignment="1">
      <alignment horizontal="center" vertical="center" wrapText="1"/>
    </xf>
    <xf numFmtId="0" fontId="16" fillId="0" borderId="0" xfId="16" applyFont="1" applyFill="1" applyBorder="1" applyAlignment="1">
      <alignment vertical="center" wrapText="1"/>
    </xf>
    <xf numFmtId="43" fontId="8" fillId="0" borderId="2" xfId="29" applyFont="1" applyBorder="1" applyAlignment="1">
      <alignment horizontal="center"/>
    </xf>
    <xf numFmtId="0" fontId="0" fillId="0" borderId="0" xfId="0" applyFont="1" applyFill="1"/>
    <xf numFmtId="10" fontId="0" fillId="0" borderId="0" xfId="2" applyNumberFormat="1" applyFont="1" applyFill="1"/>
    <xf numFmtId="2" fontId="35" fillId="0" borderId="0" xfId="0" applyNumberFormat="1" applyFont="1" applyAlignment="1">
      <alignment horizontal="center"/>
    </xf>
    <xf numFmtId="0" fontId="39" fillId="0" borderId="0" xfId="0" applyFont="1"/>
    <xf numFmtId="44" fontId="8" fillId="0" borderId="0" xfId="0" applyNumberFormat="1" applyFont="1" applyFill="1"/>
    <xf numFmtId="0" fontId="8" fillId="0" borderId="0" xfId="0" applyFont="1" applyFill="1"/>
    <xf numFmtId="44" fontId="8" fillId="0" borderId="0" xfId="1" applyNumberFormat="1" applyFont="1" applyFill="1" applyBorder="1"/>
    <xf numFmtId="9" fontId="5" fillId="0" borderId="0" xfId="8" applyNumberFormat="1"/>
    <xf numFmtId="43" fontId="0" fillId="0" borderId="0" xfId="14" applyNumberFormat="1" applyFont="1"/>
    <xf numFmtId="10" fontId="0" fillId="0" borderId="0" xfId="2" applyNumberFormat="1" applyFont="1"/>
    <xf numFmtId="0" fontId="2" fillId="0" borderId="0" xfId="30"/>
    <xf numFmtId="166" fontId="8" fillId="0" borderId="0" xfId="31" applyNumberFormat="1" applyFont="1"/>
    <xf numFmtId="164" fontId="2" fillId="0" borderId="0" xfId="30" applyNumberFormat="1"/>
    <xf numFmtId="10" fontId="0" fillId="0" borderId="0" xfId="31" applyNumberFormat="1" applyFont="1"/>
    <xf numFmtId="0" fontId="2" fillId="0" borderId="0" xfId="30" applyFont="1"/>
    <xf numFmtId="0" fontId="7" fillId="0" borderId="0" xfId="30" applyFont="1"/>
    <xf numFmtId="10" fontId="2" fillId="0" borderId="0" xfId="30" applyNumberFormat="1"/>
    <xf numFmtId="9" fontId="2" fillId="0" borderId="0" xfId="30" applyNumberFormat="1"/>
    <xf numFmtId="0" fontId="2" fillId="0" borderId="0" xfId="30" applyBorder="1"/>
    <xf numFmtId="164" fontId="8" fillId="0" borderId="0" xfId="32" applyNumberFormat="1" applyFont="1"/>
    <xf numFmtId="0" fontId="2" fillId="0" borderId="0" xfId="30" applyAlignment="1">
      <alignment vertical="center"/>
    </xf>
    <xf numFmtId="0" fontId="2" fillId="0" borderId="0" xfId="30" applyAlignment="1">
      <alignment vertical="center" wrapText="1"/>
    </xf>
    <xf numFmtId="0" fontId="11" fillId="0" borderId="0" xfId="30" applyFont="1" applyAlignment="1">
      <alignment vertical="center"/>
    </xf>
    <xf numFmtId="165" fontId="8" fillId="0" borderId="0" xfId="33" applyNumberFormat="1" applyFont="1" applyAlignment="1">
      <alignment vertical="center"/>
    </xf>
    <xf numFmtId="44" fontId="8" fillId="0" borderId="0" xfId="32" applyFont="1" applyAlignment="1">
      <alignment vertical="center" wrapText="1"/>
    </xf>
    <xf numFmtId="0" fontId="8" fillId="0" borderId="0" xfId="30" applyFont="1" applyFill="1"/>
    <xf numFmtId="0" fontId="8" fillId="0" borderId="0" xfId="30" applyFont="1" applyFill="1" applyBorder="1"/>
    <xf numFmtId="164" fontId="8" fillId="0" borderId="0" xfId="32" applyNumberFormat="1" applyFont="1" applyFill="1" applyBorder="1"/>
    <xf numFmtId="0" fontId="0" fillId="0" borderId="0" xfId="30" applyFont="1" applyFill="1" applyBorder="1"/>
    <xf numFmtId="164" fontId="8" fillId="0" borderId="0" xfId="30" applyNumberFormat="1" applyFont="1" applyFill="1" applyBorder="1"/>
    <xf numFmtId="44" fontId="8" fillId="0" borderId="0" xfId="30" applyNumberFormat="1" applyFont="1" applyFill="1" applyBorder="1"/>
    <xf numFmtId="0" fontId="9" fillId="0" borderId="0" xfId="30" applyFont="1" applyFill="1" applyBorder="1"/>
    <xf numFmtId="0" fontId="0" fillId="0" borderId="0" xfId="30" applyFont="1" applyFill="1"/>
    <xf numFmtId="6" fontId="2" fillId="0" borderId="0" xfId="30" applyNumberFormat="1"/>
    <xf numFmtId="6" fontId="8" fillId="0" borderId="0" xfId="30" applyNumberFormat="1" applyFont="1" applyFill="1" applyBorder="1"/>
    <xf numFmtId="6" fontId="8" fillId="0" borderId="0" xfId="30" applyNumberFormat="1" applyFont="1" applyFill="1"/>
    <xf numFmtId="0" fontId="8" fillId="0" borderId="0" xfId="30" applyFont="1"/>
    <xf numFmtId="164" fontId="8" fillId="2" borderId="3" xfId="32" applyNumberFormat="1" applyFont="1" applyFill="1" applyBorder="1"/>
    <xf numFmtId="0" fontId="8" fillId="2" borderId="2" xfId="30" applyFont="1" applyFill="1" applyBorder="1"/>
    <xf numFmtId="164" fontId="8" fillId="2" borderId="2" xfId="30" applyNumberFormat="1" applyFont="1" applyFill="1" applyBorder="1"/>
    <xf numFmtId="0" fontId="9" fillId="2" borderId="1" xfId="30" applyFont="1" applyFill="1" applyBorder="1"/>
    <xf numFmtId="164" fontId="8" fillId="0" borderId="6" xfId="32" applyNumberFormat="1" applyFont="1" applyBorder="1"/>
    <xf numFmtId="0" fontId="8" fillId="0" borderId="6" xfId="30" applyFont="1" applyBorder="1"/>
    <xf numFmtId="164" fontId="8" fillId="0" borderId="6" xfId="30" applyNumberFormat="1" applyFont="1" applyBorder="1"/>
    <xf numFmtId="164" fontId="8" fillId="0" borderId="0" xfId="32" applyNumberFormat="1" applyFont="1" applyBorder="1"/>
    <xf numFmtId="164" fontId="8" fillId="0" borderId="0" xfId="30" applyNumberFormat="1" applyFont="1"/>
    <xf numFmtId="164" fontId="8" fillId="0" borderId="0" xfId="30" applyNumberFormat="1" applyFont="1" applyFill="1"/>
    <xf numFmtId="0" fontId="9" fillId="0" borderId="0" xfId="30" applyFont="1" applyFill="1" applyBorder="1" applyAlignment="1">
      <alignment horizontal="center"/>
    </xf>
    <xf numFmtId="0" fontId="16" fillId="0" borderId="4" xfId="16" applyFont="1" applyBorder="1" applyAlignment="1">
      <alignment horizontal="center" vertical="center" wrapText="1"/>
    </xf>
    <xf numFmtId="0" fontId="16" fillId="0" borderId="0" xfId="16" applyFont="1" applyBorder="1" applyAlignment="1">
      <alignment horizontal="center" vertical="center" wrapText="1"/>
    </xf>
    <xf numFmtId="0" fontId="16" fillId="0" borderId="0" xfId="16" applyFont="1" applyFill="1" applyBorder="1" applyAlignment="1">
      <alignment horizontal="center" vertical="center" wrapText="1"/>
    </xf>
    <xf numFmtId="0" fontId="16" fillId="0" borderId="0" xfId="16" applyFont="1" applyFill="1" applyBorder="1" applyAlignment="1">
      <alignment vertical="center" wrapText="1"/>
    </xf>
    <xf numFmtId="44" fontId="16" fillId="0" borderId="0" xfId="17" applyFont="1" applyFill="1" applyBorder="1" applyAlignment="1">
      <alignment horizontal="center" vertical="center" wrapText="1"/>
    </xf>
    <xf numFmtId="8" fontId="5" fillId="0" borderId="0" xfId="8" applyNumberFormat="1"/>
    <xf numFmtId="8" fontId="8" fillId="0" borderId="0" xfId="30" applyNumberFormat="1" applyFont="1" applyFill="1"/>
    <xf numFmtId="44" fontId="11" fillId="0" borderId="7" xfId="32" applyNumberFormat="1" applyFont="1" applyBorder="1" applyAlignment="1">
      <alignment vertical="center"/>
    </xf>
    <xf numFmtId="44" fontId="8" fillId="0" borderId="0" xfId="32" applyNumberFormat="1" applyFont="1"/>
    <xf numFmtId="44" fontId="0" fillId="0" borderId="0" xfId="32" applyNumberFormat="1" applyFont="1"/>
    <xf numFmtId="44" fontId="2" fillId="0" borderId="0" xfId="30" applyNumberFormat="1"/>
    <xf numFmtId="44" fontId="8" fillId="0" borderId="0" xfId="30" applyNumberFormat="1" applyFont="1" applyFill="1"/>
    <xf numFmtId="44" fontId="13" fillId="0" borderId="0" xfId="32" applyNumberFormat="1" applyFont="1" applyFill="1" applyBorder="1" applyAlignment="1">
      <alignment vertical="top"/>
    </xf>
    <xf numFmtId="43" fontId="8" fillId="0" borderId="0" xfId="14" applyNumberFormat="1"/>
    <xf numFmtId="43" fontId="29" fillId="0" borderId="0" xfId="14" applyNumberFormat="1" applyFont="1"/>
    <xf numFmtId="43" fontId="29" fillId="0" borderId="0" xfId="0" applyNumberFormat="1" applyFont="1"/>
    <xf numFmtId="43" fontId="0" fillId="0" borderId="0" xfId="14" applyNumberFormat="1" applyFont="1" applyFill="1"/>
    <xf numFmtId="43" fontId="30" fillId="0" borderId="0" xfId="14" quotePrefix="1" applyNumberFormat="1" applyFont="1" applyAlignment="1">
      <alignment horizontal="right"/>
    </xf>
    <xf numFmtId="43" fontId="35" fillId="0" borderId="0" xfId="14" applyNumberFormat="1" applyFont="1" applyFill="1"/>
    <xf numFmtId="43" fontId="35" fillId="0" borderId="0" xfId="0" applyNumberFormat="1" applyFont="1"/>
    <xf numFmtId="43" fontId="8" fillId="0" borderId="0" xfId="14" applyNumberFormat="1" applyAlignment="1">
      <alignment horizontal="center"/>
    </xf>
    <xf numFmtId="44" fontId="8" fillId="0" borderId="0" xfId="1" applyNumberFormat="1" applyFont="1" applyBorder="1"/>
    <xf numFmtId="0" fontId="7" fillId="0" borderId="4" xfId="8" applyFont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5" fillId="0" borderId="0" xfId="9" applyFill="1" applyBorder="1" applyAlignment="1">
      <alignment horizontal="center" wrapText="1"/>
    </xf>
    <xf numFmtId="0" fontId="22" fillId="0" borderId="0" xfId="23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textRotation="90"/>
    </xf>
    <xf numFmtId="0" fontId="24" fillId="0" borderId="12" xfId="0" applyFont="1" applyBorder="1" applyAlignment="1">
      <alignment horizontal="center" vertical="center" textRotation="90"/>
    </xf>
    <xf numFmtId="0" fontId="24" fillId="0" borderId="13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</cellXfs>
  <cellStyles count="45">
    <cellStyle name="Comma" xfId="14" builtinId="3"/>
    <cellStyle name="Comma 2" xfId="6"/>
    <cellStyle name="Comma 2 2" xfId="21"/>
    <cellStyle name="Comma 2 3" xfId="33"/>
    <cellStyle name="Comma 2 4" xfId="36"/>
    <cellStyle name="Comma 3" xfId="10"/>
    <cellStyle name="Comma 3 2" xfId="25"/>
    <cellStyle name="Comma 3 3" xfId="39"/>
    <cellStyle name="Comma 4" xfId="29"/>
    <cellStyle name="Currency" xfId="1" builtinId="4"/>
    <cellStyle name="Currency 2" xfId="4"/>
    <cellStyle name="Currency 2 2" xfId="20"/>
    <cellStyle name="Currency 2 3" xfId="32"/>
    <cellStyle name="Currency 2 4" xfId="35"/>
    <cellStyle name="Currency 3" xfId="11"/>
    <cellStyle name="Currency 3 2" xfId="26"/>
    <cellStyle name="Currency 3 3" xfId="40"/>
    <cellStyle name="Currency 4" xfId="17"/>
    <cellStyle name="Normal" xfId="0" builtinId="0"/>
    <cellStyle name="Normal 2" xfId="3"/>
    <cellStyle name="Normal 2 2" xfId="19"/>
    <cellStyle name="Normal 2 3" xfId="30"/>
    <cellStyle name="Normal 2 4" xfId="34"/>
    <cellStyle name="Normal 3" xfId="12"/>
    <cellStyle name="Normal 3 2" xfId="27"/>
    <cellStyle name="Normal 3 3" xfId="42"/>
    <cellStyle name="Normal 4" xfId="8"/>
    <cellStyle name="Normal 4 2" xfId="23"/>
    <cellStyle name="Normal 4 2 2" xfId="44"/>
    <cellStyle name="Normal 4 3" xfId="38"/>
    <cellStyle name="Normal 5" xfId="9"/>
    <cellStyle name="Normal 5 2" xfId="24"/>
    <cellStyle name="Normal 5 3" xfId="41"/>
    <cellStyle name="Normal 6" xfId="13"/>
    <cellStyle name="Normal 6 2" xfId="28"/>
    <cellStyle name="Normal 7" xfId="16"/>
    <cellStyle name="Normal 8" xfId="15"/>
    <cellStyle name="Normal 8 2" xfId="43"/>
    <cellStyle name="Percent" xfId="2" builtinId="5"/>
    <cellStyle name="Percent 2" xfId="7"/>
    <cellStyle name="Percent 2 2" xfId="22"/>
    <cellStyle name="Percent 2 3" xfId="31"/>
    <cellStyle name="Percent 2 4" xfId="37"/>
    <cellStyle name="Percent 3" xfId="18"/>
    <cellStyle name="Percent_Sheet1" xfId="5"/>
  </cellStyles>
  <dxfs count="4"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customXml" Target="../customXml/item4.xml"/><Relationship Id="rId21" Type="http://schemas.openxmlformats.org/officeDocument/2006/relationships/externalLink" Target="externalLinks/externalLink10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5-2017%20Plan%20Year/Commodity%20Credit%20Templates%202016-2017/EastSide%20Single%20Family%20Commodity%20Credit%20Template%20-%20201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ivision\Accounting\2013\Accounts%20Receivable\County%20&amp;%20City%20Reporting\Kent%20Meridian%20_%20SeaTac%20Disposal\176%20-%20Kent%20Meridian\176%20-%20Route%20Split%20&amp;%20Tons\12%20December\DECEMBER%2013%20176%20%20TONS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ision\Accounting\2014\Accounts%20Receivable\County%20&amp;%20City%20Reporting\Kent%20Meridian%20_%20SeaTac%20Disposal\176%20-%20Kent%20Meridian\176%20-%20Route%20Split%20&amp;%20Tons\04%20April\APRIL%2014%20176%20%20TONS%20MASTE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ivision\Accounting\2013\Accounts%20Receivable\County%20&amp;%20City%20Reporting\172%20-%20Eastside\Route%20Split%20&amp;%20ES%20Tons\12%20December\DECEMBER%2013%20172%20ES%20TONS%20MASTE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ision\Accounting\2014\Accounts%20Receivable\County%20&amp;%20City%20Reporting\172%20-%20Eastside\Route%20Split%20&amp;%20ES%20Tons\04%20April\APRIL%2014%20172%20ES%20TONS%20MASTE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trict\Accounting\WUTC%20Files\RSA\2012-13%20Plan%20Year%20&amp;%20Prior\Final%20RSA%20Submission%202013\Submission%20Working%20Documents\King%20County\Bill%20Reed%20Copy%20of%20King%20County%20Tonnage%20Analysis%20with%20annexation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7-2019%20Plan%20Year/June%20UTC%20Filing/Eastside%20Tariff%2011/Eastside%20Commodity%20Templates%202018/EastSide%20Single%20Family%20Commodity%20Credit%20Template%20-%20201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7-2019%20Plan%20Year/June%20UTC%20Filing/Eastside%20Tariff%2011/Eastside%20Commodity%20Templates%202018/EastSide%20Multi%20Family%20Commodity%20Credit%20Template%20-%20201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7-2019%20Plan%20Year/June%20UTC%20Filing/Kent%20Meridian%20Tariff%2027/Kent-Meridian%20Commodity%20Templates%202018/Kent%20Meridian%20Single%20Family%20Commodity%20Credit%20Template%20-%20201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7-2019%20Plan%20Year/June%20UTC%20Filing/Kent%20Meridian%20Tariff%2027/Kent-Meridian%20Commodity%20Templates%202018/Kent%20Meridian%20Multi%20Family%20Commodity%20Credit%20Template%20-%20201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7-2019%20Plan%20Year/June%20UTC%20Filing/SeaTac%20Tariff%2026/Sea%20Tac%20Commodity%20Templates%202018/SeaTac%20Single%20Family%20Commodity%20Credit%20Template%20-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5-2017%20Plan%20Year/Commodity%20Credit%20Templates%202016-2017/EastSide%20Multi%20Family%20Commodity%20Credit%20Template%20-%20201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7-2019%20Plan%20Year/June%20UTC%20Filing/SeaTac%20Tariff%2026/Sea%20Tac%20Commodity%20Templates%202018/SeaTac%20Multi%20Family%20Commodity%20Credit%20Template%20-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5-2017%20Plan%20Year/Commodity%20Credit%20Templates%202016-2017/Kent%20Meridian%20Single%20Family%20Commodity%20Credit%20Template%20-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5-2017%20Plan%20Year/Commodity%20Credit%20Templates%202016-2017/Kent%20Meridian%20Multi%20Family%20Commodity%20Credit%20Template%20-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5-2017%20Plan%20Year/Commodity%20Credit%20Templates%202016-2017/SeaTac%20Single%20Family%20Commodity%20Credit%20Template%20-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5-2017%20Plan%20Year/Commodity%20Credit%20Templates%202016-2017/SeaTac%20Multi%20Family%20Commodity%20Credit%20Template%20-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trict\Accounting\WUTC%20Files\RSA\2012-13%20Plan%20Year%20&amp;%20Prior\Final%20RSA%20Submission%202013\Other\Bill%20Reed%20Copy%20of%20King%20County%20Tonnage%20Analysis%20with%20annexation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ivision\Accounting\2013\Accounts%20Receivable\County%20&amp;%20City%20Reporting\Kent%20Meridian%20_%20SeaTac%20Disposal\183%20-%20SeaTac%20Disposal\183%20-%20Route%20Split%20&amp;%20Tons\12%20December\DECEMBER%2013%20183%20TONS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ision\Accounting\2014\Accounts%20Receivable\County%20&amp;%20City%20Reporting\Kent%20Meridian%20_%20SeaTac%20Disposal\183%20-%20SeaTac%20Disposal\183%20-%20Route%20Split%20&amp;%20Tons\04%20April\APRIL%2014%20183%20TONS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LYNNWOOD_SF"/>
      <sheetName val="WUTC_AW of Bellevue_SF"/>
      <sheetName val="Value"/>
      <sheetName val="Commodity Tonnages"/>
      <sheetName val="Pricing"/>
      <sheetName val="Single Family"/>
    </sheetNames>
    <sheetDataSet>
      <sheetData sheetId="0"/>
      <sheetData sheetId="1">
        <row r="32">
          <cell r="O32">
            <v>296329.272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6 Tons"/>
      <sheetName val="MSW Tons"/>
      <sheetName val="Recycle Tons"/>
      <sheetName val="YW Tons"/>
      <sheetName val="Prices"/>
      <sheetName val="Multifamily Counts"/>
      <sheetName val="Multifamily Yards"/>
      <sheetName val="Commercial Counts"/>
      <sheetName val="Commercial Yards"/>
      <sheetName val="All Districts -Garbage"/>
      <sheetName val="All Districts-YW"/>
      <sheetName val="All Districts-YW Only"/>
      <sheetName val="All Districts-Rec"/>
      <sheetName val="All Districts-Rec Only"/>
    </sheetNames>
    <sheetDataSet>
      <sheetData sheetId="0">
        <row r="66">
          <cell r="H66">
            <v>2652</v>
          </cell>
          <cell r="I66">
            <v>2652</v>
          </cell>
          <cell r="J66">
            <v>2638</v>
          </cell>
          <cell r="K66">
            <v>2651</v>
          </cell>
          <cell r="L66">
            <v>2719</v>
          </cell>
          <cell r="M66">
            <v>2750</v>
          </cell>
          <cell r="N66">
            <v>2729</v>
          </cell>
          <cell r="O66">
            <v>2774</v>
          </cell>
        </row>
        <row r="67">
          <cell r="H67">
            <v>1210</v>
          </cell>
          <cell r="I67">
            <v>1223</v>
          </cell>
          <cell r="J67">
            <v>1229</v>
          </cell>
          <cell r="K67">
            <v>1226</v>
          </cell>
          <cell r="L67">
            <v>1243</v>
          </cell>
          <cell r="M67">
            <v>1242</v>
          </cell>
          <cell r="N67">
            <v>1222</v>
          </cell>
          <cell r="O67">
            <v>1226</v>
          </cell>
        </row>
        <row r="68"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H69">
            <v>87.652281695923151</v>
          </cell>
          <cell r="I69">
            <v>58.50757626326552</v>
          </cell>
          <cell r="J69">
            <v>88.269284404372826</v>
          </cell>
          <cell r="K69">
            <v>55.858525827438186</v>
          </cell>
          <cell r="L69">
            <v>72.15380187439284</v>
          </cell>
          <cell r="M69">
            <v>79.233895438574308</v>
          </cell>
          <cell r="N69">
            <v>72.564870769657105</v>
          </cell>
          <cell r="O69">
            <v>59.766389820307133</v>
          </cell>
        </row>
        <row r="70">
          <cell r="H70">
            <v>123.56426850629202</v>
          </cell>
          <cell r="I70">
            <v>135.7458865088139</v>
          </cell>
          <cell r="J70">
            <v>74.601306896747062</v>
          </cell>
          <cell r="K70">
            <v>10.69520912488499</v>
          </cell>
          <cell r="L70">
            <v>37.301397226730089</v>
          </cell>
          <cell r="M70">
            <v>49.87780498122995</v>
          </cell>
          <cell r="N70">
            <v>82.077041257170094</v>
          </cell>
          <cell r="O70">
            <v>56.42</v>
          </cell>
        </row>
        <row r="71">
          <cell r="H71">
            <v>181.16682299127271</v>
          </cell>
          <cell r="I71">
            <v>171.69774018972996</v>
          </cell>
          <cell r="J71">
            <v>191.53825161309217</v>
          </cell>
          <cell r="K71">
            <v>188.45206300310198</v>
          </cell>
          <cell r="L71">
            <v>184.36316859146274</v>
          </cell>
          <cell r="M71">
            <v>179.61286474880848</v>
          </cell>
          <cell r="N71">
            <v>168.74172663542552</v>
          </cell>
          <cell r="O71">
            <v>174.86857739022045</v>
          </cell>
        </row>
        <row r="90">
          <cell r="H90">
            <v>1152</v>
          </cell>
          <cell r="I90">
            <v>1153</v>
          </cell>
          <cell r="J90">
            <v>1153</v>
          </cell>
          <cell r="K90">
            <v>1153</v>
          </cell>
          <cell r="L90">
            <v>1141</v>
          </cell>
          <cell r="M90">
            <v>1151</v>
          </cell>
          <cell r="N90">
            <v>1139</v>
          </cell>
          <cell r="O90">
            <v>1145</v>
          </cell>
        </row>
        <row r="91">
          <cell r="H91">
            <v>528</v>
          </cell>
          <cell r="I91">
            <v>525</v>
          </cell>
          <cell r="J91">
            <v>525</v>
          </cell>
          <cell r="K91">
            <v>518</v>
          </cell>
          <cell r="L91">
            <v>511</v>
          </cell>
          <cell r="M91">
            <v>515</v>
          </cell>
          <cell r="N91">
            <v>508</v>
          </cell>
          <cell r="O91">
            <v>512</v>
          </cell>
        </row>
        <row r="92"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H93">
            <v>40.217487172240773</v>
          </cell>
          <cell r="I93">
            <v>23.100847772697772</v>
          </cell>
          <cell r="J93">
            <v>24.30620103591999</v>
          </cell>
          <cell r="K93">
            <v>34.187550519622384</v>
          </cell>
          <cell r="L93">
            <v>32.196366744478716</v>
          </cell>
          <cell r="M93">
            <v>40.943982568045236</v>
          </cell>
          <cell r="N93">
            <v>33.431018691577925</v>
          </cell>
          <cell r="O93">
            <v>31.052311054743328</v>
          </cell>
        </row>
        <row r="94">
          <cell r="H94">
            <v>57.263574853526322</v>
          </cell>
          <cell r="I94">
            <v>84.655073251460109</v>
          </cell>
          <cell r="J94">
            <v>69.162866669809262</v>
          </cell>
          <cell r="K94">
            <v>41.451254419403945</v>
          </cell>
          <cell r="L94">
            <v>49.02299787609256</v>
          </cell>
          <cell r="M94">
            <v>54.4448490025773</v>
          </cell>
          <cell r="N94">
            <v>45.318424118548755</v>
          </cell>
          <cell r="O94">
            <v>28.999080518584563</v>
          </cell>
        </row>
        <row r="95">
          <cell r="H95">
            <v>66.36443432392015</v>
          </cell>
          <cell r="I95">
            <v>62.747945757203865</v>
          </cell>
          <cell r="J95">
            <v>75.73095159418375</v>
          </cell>
          <cell r="K95">
            <v>70.583493105392705</v>
          </cell>
          <cell r="L95">
            <v>72.880951575524335</v>
          </cell>
          <cell r="M95">
            <v>84.990679665510697</v>
          </cell>
          <cell r="N95">
            <v>75.393403746858851</v>
          </cell>
          <cell r="O95">
            <v>67.56450947871619</v>
          </cell>
        </row>
        <row r="114">
          <cell r="H114">
            <v>17909</v>
          </cell>
          <cell r="I114">
            <v>17964</v>
          </cell>
          <cell r="J114">
            <v>17877</v>
          </cell>
          <cell r="K114">
            <v>17930</v>
          </cell>
          <cell r="L114">
            <v>17839</v>
          </cell>
          <cell r="M114">
            <v>17954</v>
          </cell>
          <cell r="N114">
            <v>17818</v>
          </cell>
          <cell r="O114">
            <v>17947</v>
          </cell>
        </row>
        <row r="115">
          <cell r="H115">
            <v>5535</v>
          </cell>
          <cell r="I115">
            <v>5597</v>
          </cell>
          <cell r="J115">
            <v>5601</v>
          </cell>
          <cell r="K115">
            <v>5659</v>
          </cell>
          <cell r="L115">
            <v>5577</v>
          </cell>
          <cell r="M115">
            <v>5573</v>
          </cell>
          <cell r="N115">
            <v>5520</v>
          </cell>
          <cell r="O115">
            <v>5527</v>
          </cell>
        </row>
        <row r="116"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H117">
            <v>559.58586543842512</v>
          </cell>
          <cell r="I117">
            <v>484.34223931179253</v>
          </cell>
          <cell r="J117">
            <v>541.85120501213555</v>
          </cell>
          <cell r="K117">
            <v>526.63910474905219</v>
          </cell>
          <cell r="L117">
            <v>530.49534518679047</v>
          </cell>
          <cell r="M117">
            <v>529.35970924907713</v>
          </cell>
          <cell r="N117">
            <v>484.53215122710372</v>
          </cell>
          <cell r="O117">
            <v>540.86836495138925</v>
          </cell>
        </row>
        <row r="118">
          <cell r="H118">
            <v>534.8238681849906</v>
          </cell>
          <cell r="I118">
            <v>569.63626152173458</v>
          </cell>
          <cell r="J118">
            <v>494.73474744669528</v>
          </cell>
          <cell r="K118">
            <v>419.00495824168809</v>
          </cell>
          <cell r="L118">
            <v>446.97787651389137</v>
          </cell>
          <cell r="M118">
            <v>406.33912245112867</v>
          </cell>
          <cell r="N118">
            <v>523.53580022113636</v>
          </cell>
          <cell r="O118">
            <v>295.64500912520742</v>
          </cell>
        </row>
        <row r="119">
          <cell r="H119">
            <v>1180.3349004385116</v>
          </cell>
          <cell r="I119">
            <v>1107.5511549700541</v>
          </cell>
          <cell r="J119">
            <v>1338.9467021145304</v>
          </cell>
          <cell r="K119">
            <v>1193.0292750597989</v>
          </cell>
          <cell r="L119">
            <v>1150.9977070525433</v>
          </cell>
          <cell r="M119">
            <v>1151.6753163351998</v>
          </cell>
          <cell r="N119">
            <v>1108.0682134264052</v>
          </cell>
          <cell r="O119">
            <v>1109.3857763130484</v>
          </cell>
        </row>
        <row r="138">
          <cell r="H138">
            <v>4568</v>
          </cell>
          <cell r="I138">
            <v>4603</v>
          </cell>
        </row>
        <row r="139">
          <cell r="H139">
            <v>2553</v>
          </cell>
          <cell r="I139">
            <v>2653</v>
          </cell>
        </row>
        <row r="140">
          <cell r="H140">
            <v>0</v>
          </cell>
          <cell r="I140">
            <v>0</v>
          </cell>
        </row>
        <row r="141">
          <cell r="H141">
            <v>104.43053968993928</v>
          </cell>
          <cell r="I141">
            <v>110.03645724777121</v>
          </cell>
        </row>
        <row r="142">
          <cell r="H142">
            <v>131.58346556702929</v>
          </cell>
          <cell r="I142">
            <v>209.90127648304707</v>
          </cell>
        </row>
        <row r="143">
          <cell r="H143">
            <v>293.55436081288974</v>
          </cell>
          <cell r="I143">
            <v>260.37565496029123</v>
          </cell>
        </row>
        <row r="162">
          <cell r="H162">
            <v>23321</v>
          </cell>
          <cell r="I162">
            <v>23231</v>
          </cell>
          <cell r="J162">
            <v>23097</v>
          </cell>
          <cell r="K162">
            <v>22965</v>
          </cell>
          <cell r="L162">
            <v>23425</v>
          </cell>
          <cell r="M162">
            <v>23539</v>
          </cell>
          <cell r="N162">
            <v>23447</v>
          </cell>
          <cell r="O162">
            <v>23541</v>
          </cell>
        </row>
        <row r="163">
          <cell r="H163">
            <v>22526</v>
          </cell>
          <cell r="I163">
            <v>22432</v>
          </cell>
          <cell r="J163">
            <v>22290</v>
          </cell>
          <cell r="K163">
            <v>22013</v>
          </cell>
          <cell r="L163">
            <v>22542</v>
          </cell>
          <cell r="M163">
            <v>22648</v>
          </cell>
          <cell r="N163">
            <v>22556</v>
          </cell>
          <cell r="O163">
            <v>22621</v>
          </cell>
        </row>
        <row r="164"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H165">
            <v>572.17036868930688</v>
          </cell>
          <cell r="I165">
            <v>544.28992276585609</v>
          </cell>
          <cell r="J165">
            <v>613.92759882595124</v>
          </cell>
          <cell r="K165">
            <v>614.42231245164544</v>
          </cell>
          <cell r="L165">
            <v>561.23805827042054</v>
          </cell>
          <cell r="M165">
            <v>562.9248769547138</v>
          </cell>
          <cell r="N165">
            <v>526.1192638782336</v>
          </cell>
          <cell r="O165">
            <v>553.15516565987377</v>
          </cell>
        </row>
        <row r="166">
          <cell r="H166">
            <v>1531.0180410209084</v>
          </cell>
          <cell r="I166">
            <v>1174.1936249286714</v>
          </cell>
          <cell r="J166">
            <v>997.35623062977663</v>
          </cell>
          <cell r="K166">
            <v>677.81616275624231</v>
          </cell>
          <cell r="L166">
            <v>789.23984119859801</v>
          </cell>
          <cell r="M166">
            <v>950.81100138929708</v>
          </cell>
          <cell r="N166">
            <v>939.61736782151945</v>
          </cell>
          <cell r="O166">
            <v>530.51640720971943</v>
          </cell>
        </row>
        <row r="167">
          <cell r="H167">
            <v>1154.8030514256873</v>
          </cell>
          <cell r="I167">
            <v>1062.3065302980663</v>
          </cell>
          <cell r="J167">
            <v>1226.5921370967849</v>
          </cell>
          <cell r="K167">
            <v>1191.10064228633</v>
          </cell>
          <cell r="L167">
            <v>1183.6710316807412</v>
          </cell>
          <cell r="M167">
            <v>1174.0146959983904</v>
          </cell>
          <cell r="N167">
            <v>1165.2319797817502</v>
          </cell>
          <cell r="O167">
            <v>1138.9975574384434</v>
          </cell>
        </row>
        <row r="186">
          <cell r="H186">
            <v>477</v>
          </cell>
          <cell r="I186">
            <v>479</v>
          </cell>
          <cell r="J186">
            <v>478</v>
          </cell>
          <cell r="K186">
            <v>478</v>
          </cell>
          <cell r="L186">
            <v>521</v>
          </cell>
          <cell r="M186">
            <v>524</v>
          </cell>
          <cell r="N186">
            <v>519</v>
          </cell>
          <cell r="O186">
            <v>525</v>
          </cell>
        </row>
        <row r="187">
          <cell r="H187">
            <v>332</v>
          </cell>
          <cell r="I187">
            <v>329</v>
          </cell>
          <cell r="J187">
            <v>327</v>
          </cell>
          <cell r="K187">
            <v>331</v>
          </cell>
          <cell r="L187">
            <v>359</v>
          </cell>
          <cell r="M187">
            <v>362</v>
          </cell>
          <cell r="N187">
            <v>356</v>
          </cell>
          <cell r="O187">
            <v>357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H189">
            <v>14.221804239564227</v>
          </cell>
          <cell r="I189">
            <v>17.316397699276632</v>
          </cell>
          <cell r="J189">
            <v>23.089780728980557</v>
          </cell>
          <cell r="K189">
            <v>13.218155461506782</v>
          </cell>
          <cell r="L189">
            <v>11.270073729641465</v>
          </cell>
          <cell r="M189">
            <v>20.017708997151907</v>
          </cell>
          <cell r="N189">
            <v>15.71189613977814</v>
          </cell>
          <cell r="O189">
            <v>16.167535718397982</v>
          </cell>
        </row>
        <row r="190">
          <cell r="H190">
            <v>30.995248040890466</v>
          </cell>
          <cell r="I190">
            <v>19.972121891206861</v>
          </cell>
          <cell r="J190">
            <v>29.258443611557489</v>
          </cell>
          <cell r="K190">
            <v>16.604844191528525</v>
          </cell>
          <cell r="L190">
            <v>21.700290729660953</v>
          </cell>
          <cell r="M190">
            <v>11.92670049571727</v>
          </cell>
          <cell r="N190">
            <v>22.353822080050829</v>
          </cell>
          <cell r="O190">
            <v>25.25932703659976</v>
          </cell>
        </row>
        <row r="191">
          <cell r="H191">
            <v>38.815365906295526</v>
          </cell>
          <cell r="I191">
            <v>24.759859254670744</v>
          </cell>
          <cell r="J191">
            <v>42.743493061131019</v>
          </cell>
          <cell r="K191">
            <v>30.938071835703205</v>
          </cell>
          <cell r="L191">
            <v>35.847130540970959</v>
          </cell>
          <cell r="M191">
            <v>36.850790417873633</v>
          </cell>
          <cell r="N191">
            <v>31.669855047934128</v>
          </cell>
          <cell r="O191">
            <v>34.693026957057327</v>
          </cell>
        </row>
        <row r="211">
          <cell r="H211">
            <v>2502</v>
          </cell>
          <cell r="I211">
            <v>2502</v>
          </cell>
          <cell r="J211">
            <v>2502</v>
          </cell>
          <cell r="K211">
            <v>2507</v>
          </cell>
          <cell r="L211">
            <v>2651</v>
          </cell>
          <cell r="M211">
            <v>2653</v>
          </cell>
          <cell r="N211">
            <v>2651</v>
          </cell>
          <cell r="O211">
            <v>2671</v>
          </cell>
        </row>
        <row r="212">
          <cell r="H212">
            <v>1375</v>
          </cell>
          <cell r="I212">
            <v>1395</v>
          </cell>
          <cell r="J212">
            <v>1401</v>
          </cell>
          <cell r="K212">
            <v>1405</v>
          </cell>
          <cell r="L212">
            <v>1480</v>
          </cell>
          <cell r="M212">
            <v>1478</v>
          </cell>
          <cell r="N212">
            <v>1463</v>
          </cell>
          <cell r="O212">
            <v>1462</v>
          </cell>
        </row>
        <row r="214">
          <cell r="H214">
            <v>66.674626248369535</v>
          </cell>
          <cell r="I214">
            <v>61.676615227305128</v>
          </cell>
          <cell r="J214">
            <v>86.848399464293919</v>
          </cell>
          <cell r="K214">
            <v>74.136527571275849</v>
          </cell>
          <cell r="L214">
            <v>62.212661227870313</v>
          </cell>
          <cell r="M214">
            <v>64.626748611299192</v>
          </cell>
          <cell r="N214">
            <v>59.504610979907135</v>
          </cell>
          <cell r="O214">
            <v>81.20225028569368</v>
          </cell>
        </row>
        <row r="215">
          <cell r="H215">
            <v>162.23953956674609</v>
          </cell>
          <cell r="I215">
            <v>118.26133900258738</v>
          </cell>
          <cell r="J215">
            <v>100.22649356715598</v>
          </cell>
          <cell r="K215">
            <v>86.230077385555219</v>
          </cell>
          <cell r="L215">
            <v>92.435665962572756</v>
          </cell>
          <cell r="M215">
            <v>94.273213447190216</v>
          </cell>
          <cell r="N215">
            <v>102.62306063835014</v>
          </cell>
          <cell r="O215">
            <v>44.08872123646352</v>
          </cell>
        </row>
        <row r="216">
          <cell r="H216">
            <v>169.83250587141112</v>
          </cell>
          <cell r="I216">
            <v>163.85606607362482</v>
          </cell>
          <cell r="J216">
            <v>135.45996466972804</v>
          </cell>
          <cell r="K216">
            <v>150.91529420668306</v>
          </cell>
          <cell r="L216">
            <v>146.32972156260456</v>
          </cell>
          <cell r="M216">
            <v>149.36903641447827</v>
          </cell>
          <cell r="N216">
            <v>145.35858780826345</v>
          </cell>
          <cell r="O216">
            <v>145.55538123427735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6 Tons"/>
      <sheetName val="MSW Tons"/>
      <sheetName val="Recycle Tons"/>
      <sheetName val="YW Tons"/>
      <sheetName val="Prices"/>
      <sheetName val="Multifamily Counts"/>
      <sheetName val="Multifamily Yards"/>
      <sheetName val="Commercial Counts"/>
      <sheetName val="Commercial Yards"/>
      <sheetName val="All Districts -Garbage"/>
      <sheetName val="All Districts-YW"/>
      <sheetName val="All Districts-YW Only"/>
      <sheetName val="All Districts-Rec"/>
      <sheetName val="All Districts-Rec Only"/>
    </sheetNames>
    <sheetDataSet>
      <sheetData sheetId="0">
        <row r="66">
          <cell r="D66">
            <v>2756</v>
          </cell>
          <cell r="E66">
            <v>2780</v>
          </cell>
          <cell r="F66">
            <v>2802</v>
          </cell>
          <cell r="G66">
            <v>2817</v>
          </cell>
        </row>
        <row r="67">
          <cell r="D67">
            <v>1208</v>
          </cell>
          <cell r="E67">
            <v>1220</v>
          </cell>
          <cell r="F67">
            <v>1230</v>
          </cell>
          <cell r="G67">
            <v>1254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D69">
            <v>66.239527442239009</v>
          </cell>
          <cell r="E69">
            <v>62.988523401211559</v>
          </cell>
          <cell r="F69">
            <v>72.564406629869367</v>
          </cell>
          <cell r="G69">
            <v>70.942858933109008</v>
          </cell>
        </row>
        <row r="70">
          <cell r="D70">
            <v>0.12834040307055461</v>
          </cell>
          <cell r="E70">
            <v>7.1441016108364272E-2</v>
          </cell>
          <cell r="F70">
            <v>0.17497447615697315</v>
          </cell>
          <cell r="G70">
            <v>63.38833488613411</v>
          </cell>
        </row>
        <row r="71">
          <cell r="D71">
            <v>170.84141335915047</v>
          </cell>
          <cell r="E71">
            <v>149.9780051936774</v>
          </cell>
          <cell r="F71">
            <v>159.95633782559517</v>
          </cell>
          <cell r="G71">
            <v>187.13388193653142</v>
          </cell>
        </row>
        <row r="90">
          <cell r="D90">
            <v>1145</v>
          </cell>
          <cell r="E90">
            <v>1149</v>
          </cell>
          <cell r="F90">
            <v>1155</v>
          </cell>
          <cell r="G90">
            <v>1141</v>
          </cell>
        </row>
        <row r="91">
          <cell r="D91">
            <v>508</v>
          </cell>
          <cell r="E91">
            <v>507</v>
          </cell>
          <cell r="F91">
            <v>519</v>
          </cell>
          <cell r="G91">
            <v>525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D93">
            <v>30.011134695738114</v>
          </cell>
          <cell r="E93">
            <v>28.888945019997795</v>
          </cell>
          <cell r="F93">
            <v>31.576917497709101</v>
          </cell>
          <cell r="G93">
            <v>33.144732678391172</v>
          </cell>
        </row>
        <row r="94">
          <cell r="D94">
            <v>28.642785367345056</v>
          </cell>
          <cell r="E94">
            <v>16.899625919830534</v>
          </cell>
          <cell r="F94">
            <v>43.734349393134472</v>
          </cell>
          <cell r="G94">
            <v>61.31046571358015</v>
          </cell>
        </row>
        <row r="95">
          <cell r="D95">
            <v>72.768772834569589</v>
          </cell>
          <cell r="E95">
            <v>64.470987005316815</v>
          </cell>
          <cell r="F95">
            <v>55.786102084041993</v>
          </cell>
          <cell r="G95">
            <v>71.802002328155737</v>
          </cell>
        </row>
        <row r="114">
          <cell r="D114">
            <v>17893</v>
          </cell>
          <cell r="E114">
            <v>17922</v>
          </cell>
          <cell r="F114">
            <v>17942</v>
          </cell>
          <cell r="G114">
            <v>17982</v>
          </cell>
        </row>
        <row r="115">
          <cell r="D115">
            <v>5501</v>
          </cell>
          <cell r="E115">
            <v>5517</v>
          </cell>
          <cell r="F115">
            <v>5571</v>
          </cell>
          <cell r="G115">
            <v>5667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D117">
            <v>612.34064522051392</v>
          </cell>
          <cell r="E117">
            <v>447.9939001634234</v>
          </cell>
          <cell r="F117">
            <v>487.65370245924686</v>
          </cell>
          <cell r="G117">
            <v>542.32027697054968</v>
          </cell>
        </row>
        <row r="118">
          <cell r="D118">
            <v>238.04012845878293</v>
          </cell>
          <cell r="E118">
            <v>158.3482291629546</v>
          </cell>
          <cell r="F118">
            <v>339.86979810005704</v>
          </cell>
          <cell r="G118">
            <v>521.70911425324812</v>
          </cell>
        </row>
        <row r="119">
          <cell r="D119">
            <v>1178.1405106832819</v>
          </cell>
          <cell r="E119">
            <v>971.41903935153925</v>
          </cell>
          <cell r="F119">
            <v>1070.0516897887273</v>
          </cell>
          <cell r="G119">
            <v>1110.3114790369725</v>
          </cell>
        </row>
        <row r="162">
          <cell r="D162">
            <v>23315</v>
          </cell>
          <cell r="E162">
            <v>23528</v>
          </cell>
          <cell r="F162">
            <v>23502</v>
          </cell>
          <cell r="G162">
            <v>23546</v>
          </cell>
        </row>
        <row r="163">
          <cell r="D163">
            <v>22391</v>
          </cell>
          <cell r="E163">
            <v>22586</v>
          </cell>
          <cell r="F163">
            <v>22545</v>
          </cell>
          <cell r="G163">
            <v>22578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D165">
            <v>694.48154887409726</v>
          </cell>
          <cell r="E165">
            <v>510.49504915225145</v>
          </cell>
          <cell r="F165">
            <v>546.56618566516204</v>
          </cell>
          <cell r="G165">
            <v>579.16724690277726</v>
          </cell>
        </row>
        <row r="166">
          <cell r="D166">
            <v>454.71241730031812</v>
          </cell>
          <cell r="E166">
            <v>307.2146031970243</v>
          </cell>
          <cell r="F166">
            <v>591.03309379570646</v>
          </cell>
          <cell r="G166">
            <v>1211.546001111944</v>
          </cell>
        </row>
        <row r="167">
          <cell r="D167">
            <v>1227.1622470717823</v>
          </cell>
          <cell r="E167">
            <v>983.73351696677855</v>
          </cell>
          <cell r="F167">
            <v>1089.3542964067933</v>
          </cell>
          <cell r="G167">
            <v>1190.4847248950543</v>
          </cell>
        </row>
        <row r="186">
          <cell r="D186">
            <v>531</v>
          </cell>
          <cell r="E186">
            <v>521</v>
          </cell>
          <cell r="F186">
            <v>527</v>
          </cell>
          <cell r="G186">
            <v>527</v>
          </cell>
        </row>
        <row r="187">
          <cell r="D187">
            <v>360</v>
          </cell>
          <cell r="E187">
            <v>354</v>
          </cell>
          <cell r="F187">
            <v>360</v>
          </cell>
          <cell r="G187">
            <v>360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D189">
            <v>15.207799309360921</v>
          </cell>
          <cell r="E189">
            <v>11.317624288785469</v>
          </cell>
          <cell r="F189">
            <v>9.6583540012491422</v>
          </cell>
          <cell r="G189">
            <v>23.677920287612299</v>
          </cell>
        </row>
        <row r="190">
          <cell r="D190">
            <v>19.79099960645415</v>
          </cell>
          <cell r="E190">
            <v>12.059291617473434</v>
          </cell>
          <cell r="F190">
            <v>26.336696182605266</v>
          </cell>
          <cell r="G190">
            <v>25.739163715072806</v>
          </cell>
        </row>
        <row r="191">
          <cell r="D191">
            <v>42.415584375314467</v>
          </cell>
          <cell r="E191">
            <v>30.228896883866767</v>
          </cell>
          <cell r="F191">
            <v>35.712556863284192</v>
          </cell>
          <cell r="G191">
            <v>42.406499522461296</v>
          </cell>
        </row>
        <row r="211">
          <cell r="D211">
            <v>2678</v>
          </cell>
          <cell r="E211">
            <v>2679</v>
          </cell>
          <cell r="F211">
            <v>2701</v>
          </cell>
          <cell r="G211">
            <v>2712</v>
          </cell>
        </row>
        <row r="212">
          <cell r="D212">
            <v>1451</v>
          </cell>
          <cell r="E212">
            <v>1449</v>
          </cell>
          <cell r="F212">
            <v>1477</v>
          </cell>
          <cell r="G212">
            <v>1536</v>
          </cell>
        </row>
        <row r="214">
          <cell r="D214">
            <v>99.324505203571704</v>
          </cell>
          <cell r="E214">
            <v>62.886829456668664</v>
          </cell>
          <cell r="F214">
            <v>61.186874902644583</v>
          </cell>
          <cell r="G214">
            <v>66.220801123663236</v>
          </cell>
        </row>
        <row r="215">
          <cell r="D215">
            <v>46.884662225670077</v>
          </cell>
          <cell r="E215">
            <v>34.99770977546946</v>
          </cell>
          <cell r="F215">
            <v>74.304118809214174</v>
          </cell>
          <cell r="G215">
            <v>136.99633877015609</v>
          </cell>
        </row>
        <row r="216">
          <cell r="D216">
            <v>161.70796231133863</v>
          </cell>
          <cell r="E216">
            <v>129.79788460779673</v>
          </cell>
          <cell r="F216">
            <v>139.63426682612953</v>
          </cell>
          <cell r="G216">
            <v>157.7863986948598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 TONS"/>
      <sheetName val="MSW Tons"/>
      <sheetName val="Recycle Tons"/>
      <sheetName val="YW Tons"/>
      <sheetName val="Prices"/>
      <sheetName val="Snoqualmie"/>
      <sheetName val="Commercial Counts"/>
      <sheetName val="Commercial Yards"/>
      <sheetName val="Multi Family Counts"/>
      <sheetName val="Multi Family Yards"/>
      <sheetName val="North Bend-County Garbage"/>
      <sheetName val="All Other Districts-Garbage"/>
      <sheetName val="All Districts-YW"/>
      <sheetName val="All Districts-YW Only"/>
      <sheetName val="All Districts-Recycle"/>
      <sheetName val="All Districts-Recycle Only"/>
    </sheetNames>
    <sheetDataSet>
      <sheetData sheetId="0">
        <row r="63">
          <cell r="H63">
            <v>156</v>
          </cell>
          <cell r="I63">
            <v>156</v>
          </cell>
          <cell r="J63">
            <v>151</v>
          </cell>
          <cell r="K63">
            <v>153</v>
          </cell>
          <cell r="L63">
            <v>154</v>
          </cell>
          <cell r="M63">
            <v>155</v>
          </cell>
          <cell r="N63">
            <v>154</v>
          </cell>
          <cell r="O63">
            <v>153</v>
          </cell>
        </row>
        <row r="64">
          <cell r="H64">
            <v>90</v>
          </cell>
          <cell r="I64">
            <v>90</v>
          </cell>
          <cell r="J64">
            <v>88</v>
          </cell>
          <cell r="K64">
            <v>88</v>
          </cell>
          <cell r="L64">
            <v>90</v>
          </cell>
          <cell r="M64">
            <v>91</v>
          </cell>
          <cell r="N64">
            <v>91</v>
          </cell>
          <cell r="O64">
            <v>91</v>
          </cell>
        </row>
        <row r="65"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H66">
            <v>6.30737861314668</v>
          </cell>
          <cell r="I66">
            <v>6.2803229157282114</v>
          </cell>
          <cell r="J66">
            <v>5.7638948758435449</v>
          </cell>
          <cell r="K66">
            <v>8.713856197676682</v>
          </cell>
          <cell r="L66">
            <v>4.7020675669265097</v>
          </cell>
          <cell r="M66">
            <v>4.4942821452634201</v>
          </cell>
          <cell r="N66">
            <v>4.3354716643743254</v>
          </cell>
          <cell r="O66">
            <v>4.4685133208735897</v>
          </cell>
        </row>
        <row r="67">
          <cell r="H67">
            <v>15.156684806708405</v>
          </cell>
          <cell r="I67">
            <v>10.639688319316894</v>
          </cell>
          <cell r="J67">
            <v>7.6079806680290645</v>
          </cell>
          <cell r="K67">
            <v>8.0058339443938067</v>
          </cell>
          <cell r="L67">
            <v>8.7258670921014581</v>
          </cell>
          <cell r="M67">
            <v>11.430920220959123</v>
          </cell>
          <cell r="N67">
            <v>11.290802165332193</v>
          </cell>
          <cell r="O67">
            <v>7.6233695953930383</v>
          </cell>
        </row>
        <row r="68">
          <cell r="H68">
            <v>12.886862577372174</v>
          </cell>
          <cell r="I68">
            <v>10.550076694190386</v>
          </cell>
          <cell r="J68">
            <v>10.795649247403189</v>
          </cell>
          <cell r="K68">
            <v>13.224090820029982</v>
          </cell>
          <cell r="L68">
            <v>10.627178932758778</v>
          </cell>
          <cell r="M68">
            <v>11.605262306310623</v>
          </cell>
          <cell r="N68">
            <v>9.8820436732326602</v>
          </cell>
          <cell r="O68">
            <v>10.275836738128168</v>
          </cell>
        </row>
        <row r="85">
          <cell r="H85">
            <v>108</v>
          </cell>
          <cell r="I85">
            <v>108</v>
          </cell>
          <cell r="J85">
            <v>108</v>
          </cell>
          <cell r="K85">
            <v>104</v>
          </cell>
          <cell r="L85">
            <v>107</v>
          </cell>
          <cell r="M85">
            <v>107</v>
          </cell>
          <cell r="N85">
            <v>107</v>
          </cell>
          <cell r="O85">
            <v>107</v>
          </cell>
        </row>
        <row r="86">
          <cell r="H86">
            <v>97</v>
          </cell>
          <cell r="I86">
            <v>97</v>
          </cell>
          <cell r="J86">
            <v>97</v>
          </cell>
          <cell r="K86">
            <v>93</v>
          </cell>
          <cell r="L86">
            <v>96</v>
          </cell>
          <cell r="M86">
            <v>96</v>
          </cell>
          <cell r="N86">
            <v>96</v>
          </cell>
          <cell r="O86">
            <v>95</v>
          </cell>
        </row>
        <row r="87"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H88">
            <v>5.3524370396032239</v>
          </cell>
          <cell r="I88">
            <v>5.0519105956788115</v>
          </cell>
          <cell r="J88">
            <v>5.4190900691859492</v>
          </cell>
          <cell r="K88">
            <v>4.3877983659315287</v>
          </cell>
          <cell r="L88">
            <v>4.5025109309620337</v>
          </cell>
          <cell r="M88">
            <v>4.1835898096705568</v>
          </cell>
          <cell r="N88">
            <v>4.3112089313325139</v>
          </cell>
          <cell r="O88">
            <v>4.9493339739377058</v>
          </cell>
        </row>
        <row r="89">
          <cell r="H89">
            <v>7.6615654956568502</v>
          </cell>
          <cell r="I89">
            <v>5.3773681878915234</v>
          </cell>
          <cell r="J89">
            <v>5.1347602643143384</v>
          </cell>
          <cell r="K89">
            <v>3.3239511856610804</v>
          </cell>
          <cell r="L89">
            <v>3.9434510532871552</v>
          </cell>
          <cell r="M89">
            <v>5.3757396965931017</v>
          </cell>
          <cell r="N89">
            <v>8.4017829443024521</v>
          </cell>
          <cell r="O89">
            <v>1.9637868695127925</v>
          </cell>
        </row>
        <row r="90">
          <cell r="H90">
            <v>5.6995630344683654</v>
          </cell>
          <cell r="I90">
            <v>4.6662441160004828</v>
          </cell>
          <cell r="J90">
            <v>5.9543677871141751</v>
          </cell>
          <cell r="K90">
            <v>4.9931286998221545</v>
          </cell>
          <cell r="L90">
            <v>4.9886780201981713</v>
          </cell>
          <cell r="M90">
            <v>5.5357783917682939</v>
          </cell>
          <cell r="N90">
            <v>4.7770261528201212</v>
          </cell>
          <cell r="O90">
            <v>4.8871295027306685</v>
          </cell>
        </row>
        <row r="107">
          <cell r="H107">
            <v>3933</v>
          </cell>
          <cell r="I107">
            <v>3938</v>
          </cell>
          <cell r="J107">
            <v>3919</v>
          </cell>
          <cell r="K107">
            <v>3929</v>
          </cell>
          <cell r="L107">
            <v>3929</v>
          </cell>
          <cell r="M107">
            <v>3942</v>
          </cell>
          <cell r="N107">
            <v>3931</v>
          </cell>
          <cell r="O107">
            <v>3947</v>
          </cell>
        </row>
        <row r="108">
          <cell r="H108">
            <v>3655</v>
          </cell>
          <cell r="I108">
            <v>3663</v>
          </cell>
          <cell r="J108">
            <v>3650</v>
          </cell>
          <cell r="K108">
            <v>3664</v>
          </cell>
          <cell r="L108">
            <v>3686</v>
          </cell>
          <cell r="M108">
            <v>3771</v>
          </cell>
          <cell r="N108">
            <v>3786</v>
          </cell>
          <cell r="O108">
            <v>3805</v>
          </cell>
        </row>
        <row r="109"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H110">
            <v>160.62679157537349</v>
          </cell>
          <cell r="I110">
            <v>133.5931479827336</v>
          </cell>
          <cell r="J110">
            <v>153.97466291261583</v>
          </cell>
          <cell r="K110">
            <v>137.67858358683208</v>
          </cell>
          <cell r="L110">
            <v>124.31886163547929</v>
          </cell>
          <cell r="M110">
            <v>128.29149643920357</v>
          </cell>
          <cell r="N110">
            <v>142.51515221774301</v>
          </cell>
          <cell r="O110">
            <v>162.36762743925001</v>
          </cell>
        </row>
        <row r="111">
          <cell r="H111">
            <v>316.13424536023729</v>
          </cell>
          <cell r="I111">
            <v>280.77724144829352</v>
          </cell>
          <cell r="J111">
            <v>237.61895445204473</v>
          </cell>
          <cell r="K111">
            <v>190.94073313953308</v>
          </cell>
          <cell r="L111">
            <v>202.6606990570609</v>
          </cell>
          <cell r="M111">
            <v>233.86133770350665</v>
          </cell>
          <cell r="N111">
            <v>414.4421967809526</v>
          </cell>
          <cell r="O111">
            <v>149.44837385071702</v>
          </cell>
        </row>
        <row r="112">
          <cell r="H112">
            <v>183.37293821991685</v>
          </cell>
          <cell r="I112">
            <v>168.40068719374892</v>
          </cell>
          <cell r="J112">
            <v>186.31873730043867</v>
          </cell>
          <cell r="K112">
            <v>188.29449314130011</v>
          </cell>
          <cell r="L112">
            <v>174.0045766136854</v>
          </cell>
          <cell r="M112">
            <v>174.35842926115575</v>
          </cell>
          <cell r="N112">
            <v>172.46074552536965</v>
          </cell>
          <cell r="O112">
            <v>168.69159190824138</v>
          </cell>
        </row>
        <row r="129">
          <cell r="H129">
            <v>29206</v>
          </cell>
          <cell r="I129">
            <v>29248</v>
          </cell>
          <cell r="J129">
            <v>29173</v>
          </cell>
          <cell r="K129">
            <v>29178</v>
          </cell>
          <cell r="L129">
            <v>29352</v>
          </cell>
          <cell r="M129">
            <v>29351</v>
          </cell>
          <cell r="N129">
            <v>29202</v>
          </cell>
          <cell r="O129">
            <v>29340</v>
          </cell>
        </row>
        <row r="130">
          <cell r="H130">
            <v>26403</v>
          </cell>
          <cell r="I130">
            <v>26456</v>
          </cell>
          <cell r="J130">
            <v>26415</v>
          </cell>
          <cell r="K130">
            <v>26452</v>
          </cell>
          <cell r="L130">
            <v>26626</v>
          </cell>
          <cell r="M130">
            <v>26629</v>
          </cell>
          <cell r="N130">
            <v>26514</v>
          </cell>
          <cell r="O130">
            <v>26656</v>
          </cell>
        </row>
        <row r="131"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H132">
            <v>1077.8550380230843</v>
          </cell>
          <cell r="I132">
            <v>980.08487097751322</v>
          </cell>
          <cell r="J132">
            <v>1119.3292021986194</v>
          </cell>
          <cell r="K132">
            <v>1016.3948996549619</v>
          </cell>
          <cell r="L132">
            <v>1033.2558449320809</v>
          </cell>
          <cell r="M132">
            <v>1060.9704980001845</v>
          </cell>
          <cell r="N132">
            <v>1009.6294680430091</v>
          </cell>
          <cell r="O132">
            <v>1189.9982941657784</v>
          </cell>
        </row>
        <row r="133">
          <cell r="H133">
            <v>2704.3741160205414</v>
          </cell>
          <cell r="I133">
            <v>2271.5827517317075</v>
          </cell>
          <cell r="J133">
            <v>2011.2594781707489</v>
          </cell>
          <cell r="K133">
            <v>1424.934677059364</v>
          </cell>
          <cell r="L133">
            <v>1578.5105409460898</v>
          </cell>
          <cell r="M133">
            <v>1859.9732157494886</v>
          </cell>
          <cell r="N133">
            <v>2916.8400752851176</v>
          </cell>
          <cell r="O133">
            <v>1101.1482755877421</v>
          </cell>
        </row>
        <row r="134">
          <cell r="H134">
            <v>1427.411540457219</v>
          </cell>
          <cell r="I134">
            <v>1291.8851543851042</v>
          </cell>
          <cell r="J134">
            <v>1487.7970264793428</v>
          </cell>
          <cell r="K134">
            <v>1369.4236176962181</v>
          </cell>
          <cell r="L134">
            <v>1363.4264047492672</v>
          </cell>
          <cell r="M134">
            <v>1352.1998375940689</v>
          </cell>
          <cell r="N134">
            <v>1258.5017941915742</v>
          </cell>
          <cell r="O134">
            <v>1339.1675772256995</v>
          </cell>
        </row>
        <row r="151">
          <cell r="H151">
            <v>998</v>
          </cell>
          <cell r="I151">
            <v>999</v>
          </cell>
          <cell r="J151">
            <v>997</v>
          </cell>
          <cell r="K151">
            <v>1002</v>
          </cell>
          <cell r="L151">
            <v>1008</v>
          </cell>
          <cell r="M151">
            <v>1001</v>
          </cell>
          <cell r="N151">
            <v>1003</v>
          </cell>
          <cell r="O151">
            <v>1005</v>
          </cell>
        </row>
        <row r="152">
          <cell r="H152">
            <v>780</v>
          </cell>
          <cell r="I152">
            <v>778</v>
          </cell>
          <cell r="J152">
            <v>775</v>
          </cell>
          <cell r="K152">
            <v>780</v>
          </cell>
          <cell r="L152">
            <v>784</v>
          </cell>
          <cell r="M152">
            <v>775</v>
          </cell>
          <cell r="N152">
            <v>772</v>
          </cell>
          <cell r="O152">
            <v>767</v>
          </cell>
        </row>
        <row r="153"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H154">
            <v>45.238263673439441</v>
          </cell>
          <cell r="I154">
            <v>40.095934902062467</v>
          </cell>
          <cell r="J154">
            <v>37.998320912446985</v>
          </cell>
          <cell r="K154">
            <v>45.910948426397844</v>
          </cell>
          <cell r="L154">
            <v>40.290451715853358</v>
          </cell>
          <cell r="M154">
            <v>45.506083672311746</v>
          </cell>
          <cell r="N154">
            <v>48.850378104023441</v>
          </cell>
          <cell r="O154">
            <v>35.853207246807273</v>
          </cell>
        </row>
        <row r="155">
          <cell r="H155">
            <v>108.77558246733605</v>
          </cell>
          <cell r="I155">
            <v>80.09056438727346</v>
          </cell>
          <cell r="J155">
            <v>57.253981580598243</v>
          </cell>
          <cell r="K155">
            <v>72.840600420040275</v>
          </cell>
          <cell r="L155">
            <v>64.007324562820585</v>
          </cell>
          <cell r="M155">
            <v>77.746291813177848</v>
          </cell>
          <cell r="N155">
            <v>91.348713677164184</v>
          </cell>
          <cell r="O155">
            <v>30.72635735897094</v>
          </cell>
        </row>
        <row r="156">
          <cell r="H156">
            <v>69.731497693374848</v>
          </cell>
          <cell r="I156">
            <v>59.194506817249682</v>
          </cell>
          <cell r="J156">
            <v>57.518752114712655</v>
          </cell>
          <cell r="K156">
            <v>70.005585371751394</v>
          </cell>
          <cell r="L156">
            <v>57.432690924153682</v>
          </cell>
          <cell r="M156">
            <v>55.177769344641057</v>
          </cell>
          <cell r="N156">
            <v>67.660440087241739</v>
          </cell>
          <cell r="O156">
            <v>61.086700658126119</v>
          </cell>
        </row>
        <row r="173">
          <cell r="H173">
            <v>1021</v>
          </cell>
          <cell r="I173">
            <v>1016</v>
          </cell>
          <cell r="J173">
            <v>1012</v>
          </cell>
          <cell r="K173">
            <v>1008</v>
          </cell>
          <cell r="L173">
            <v>1012</v>
          </cell>
          <cell r="M173">
            <v>1013</v>
          </cell>
          <cell r="N173">
            <v>1006</v>
          </cell>
          <cell r="O173">
            <v>1008</v>
          </cell>
        </row>
        <row r="174">
          <cell r="H174">
            <v>719</v>
          </cell>
          <cell r="I174">
            <v>711</v>
          </cell>
          <cell r="J174">
            <v>723</v>
          </cell>
          <cell r="K174">
            <v>715</v>
          </cell>
          <cell r="L174">
            <v>722</v>
          </cell>
          <cell r="M174">
            <v>720</v>
          </cell>
          <cell r="N174">
            <v>714</v>
          </cell>
          <cell r="O174">
            <v>709</v>
          </cell>
        </row>
        <row r="175"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H176">
            <v>38.838660668583515</v>
          </cell>
          <cell r="I176">
            <v>28.229662043948839</v>
          </cell>
          <cell r="J176">
            <v>34.818548951195282</v>
          </cell>
          <cell r="K176">
            <v>43.277235592902102</v>
          </cell>
          <cell r="L176">
            <v>33.877619467791604</v>
          </cell>
          <cell r="M176">
            <v>33.286901164058207</v>
          </cell>
          <cell r="N176">
            <v>35.271428651968584</v>
          </cell>
          <cell r="O176">
            <v>40.49780295374557</v>
          </cell>
        </row>
        <row r="177">
          <cell r="H177">
            <v>122.92247934369939</v>
          </cell>
          <cell r="I177">
            <v>78.114541306500968</v>
          </cell>
          <cell r="J177">
            <v>59.728934973150309</v>
          </cell>
          <cell r="K177">
            <v>58.577817688075584</v>
          </cell>
          <cell r="L177">
            <v>73.718841106018431</v>
          </cell>
          <cell r="M177">
            <v>76.732171418933405</v>
          </cell>
          <cell r="N177">
            <v>123.27487079528504</v>
          </cell>
          <cell r="O177">
            <v>42.632284019234568</v>
          </cell>
        </row>
        <row r="178">
          <cell r="H178">
            <v>70.628875837244578</v>
          </cell>
          <cell r="I178">
            <v>58.176694243099355</v>
          </cell>
          <cell r="J178">
            <v>58.388997116363001</v>
          </cell>
          <cell r="K178">
            <v>72.327667188482394</v>
          </cell>
          <cell r="L178">
            <v>59.571040389502535</v>
          </cell>
          <cell r="M178">
            <v>61.967683457276401</v>
          </cell>
          <cell r="N178">
            <v>59.422555824530434</v>
          </cell>
          <cell r="O178">
            <v>62.131702430607767</v>
          </cell>
        </row>
        <row r="195">
          <cell r="H195">
            <v>368</v>
          </cell>
          <cell r="I195">
            <v>371</v>
          </cell>
          <cell r="J195">
            <v>371</v>
          </cell>
          <cell r="K195">
            <v>367</v>
          </cell>
          <cell r="L195">
            <v>371</v>
          </cell>
          <cell r="M195">
            <v>368</v>
          </cell>
          <cell r="N195">
            <v>368</v>
          </cell>
          <cell r="O195">
            <v>364</v>
          </cell>
        </row>
        <row r="196">
          <cell r="H196">
            <v>291</v>
          </cell>
          <cell r="I196">
            <v>293</v>
          </cell>
          <cell r="J196">
            <v>294</v>
          </cell>
          <cell r="K196">
            <v>291</v>
          </cell>
          <cell r="L196">
            <v>294</v>
          </cell>
          <cell r="M196">
            <v>291</v>
          </cell>
          <cell r="N196">
            <v>289</v>
          </cell>
          <cell r="O196">
            <v>286</v>
          </cell>
        </row>
        <row r="197"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H198">
            <v>19.975726234501536</v>
          </cell>
          <cell r="I198">
            <v>14.292645087181182</v>
          </cell>
          <cell r="J198">
            <v>13.193543184871988</v>
          </cell>
          <cell r="K198">
            <v>12.454319887608474</v>
          </cell>
          <cell r="L198">
            <v>16.000277912566766</v>
          </cell>
          <cell r="M198">
            <v>20.928154942411737</v>
          </cell>
          <cell r="N198">
            <v>14.808450117393765</v>
          </cell>
          <cell r="O198">
            <v>16.347238857486307</v>
          </cell>
        </row>
        <row r="199">
          <cell r="H199">
            <v>41.341423629263168</v>
          </cell>
          <cell r="I199">
            <v>26.988406307367573</v>
          </cell>
          <cell r="J199">
            <v>23.931482435840383</v>
          </cell>
          <cell r="K199">
            <v>18.818155487386953</v>
          </cell>
          <cell r="L199">
            <v>16.907302520339215</v>
          </cell>
          <cell r="M199">
            <v>32.649007915266303</v>
          </cell>
          <cell r="N199">
            <v>26.985873775511514</v>
          </cell>
          <cell r="O199">
            <v>13.965520116965397</v>
          </cell>
        </row>
        <row r="200">
          <cell r="H200">
            <v>24.300404349734492</v>
          </cell>
          <cell r="I200">
            <v>21.022552371246377</v>
          </cell>
          <cell r="J200">
            <v>19.298934393115932</v>
          </cell>
          <cell r="K200">
            <v>25.735996762177486</v>
          </cell>
          <cell r="L200">
            <v>21.118906296631828</v>
          </cell>
          <cell r="M200">
            <v>24.443487141514485</v>
          </cell>
          <cell r="N200">
            <v>20.984191986608877</v>
          </cell>
          <cell r="O200">
            <v>19.645273920557717</v>
          </cell>
        </row>
        <row r="218">
          <cell r="H218">
            <v>931</v>
          </cell>
          <cell r="I218">
            <v>927</v>
          </cell>
          <cell r="J218">
            <v>929</v>
          </cell>
          <cell r="K218">
            <v>929</v>
          </cell>
          <cell r="L218">
            <v>940</v>
          </cell>
          <cell r="M218">
            <v>938</v>
          </cell>
          <cell r="N218">
            <v>922</v>
          </cell>
          <cell r="O218">
            <v>933</v>
          </cell>
        </row>
        <row r="219">
          <cell r="H219">
            <v>753</v>
          </cell>
          <cell r="I219">
            <v>760</v>
          </cell>
          <cell r="J219">
            <v>766</v>
          </cell>
          <cell r="K219">
            <v>762</v>
          </cell>
          <cell r="L219">
            <v>767</v>
          </cell>
          <cell r="M219">
            <v>763</v>
          </cell>
          <cell r="N219">
            <v>756</v>
          </cell>
          <cell r="O219">
            <v>754</v>
          </cell>
        </row>
        <row r="220"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H221">
            <v>37.830939300819267</v>
          </cell>
          <cell r="I221">
            <v>35.326457780202695</v>
          </cell>
          <cell r="J221">
            <v>39.944237055147724</v>
          </cell>
          <cell r="K221">
            <v>29.935785158508967</v>
          </cell>
          <cell r="L221">
            <v>33.082581761069697</v>
          </cell>
          <cell r="M221">
            <v>36.907717737948872</v>
          </cell>
          <cell r="N221">
            <v>30.355460740541762</v>
          </cell>
          <cell r="O221">
            <v>40.219971209566232</v>
          </cell>
        </row>
        <row r="222">
          <cell r="H222">
            <v>96.642405887954567</v>
          </cell>
          <cell r="I222">
            <v>75.5172591334385</v>
          </cell>
          <cell r="J222">
            <v>66.303424241857812</v>
          </cell>
          <cell r="K222">
            <v>38.196810633223464</v>
          </cell>
          <cell r="L222">
            <v>47.768842399673673</v>
          </cell>
          <cell r="M222">
            <v>59.309789438726838</v>
          </cell>
          <cell r="N222">
            <v>99.766345816059157</v>
          </cell>
          <cell r="O222">
            <v>36.111718436014236</v>
          </cell>
        </row>
        <row r="223">
          <cell r="H223">
            <v>44.375491829792956</v>
          </cell>
          <cell r="I223">
            <v>43.58239100226848</v>
          </cell>
          <cell r="J223">
            <v>53.043364553134971</v>
          </cell>
          <cell r="K223">
            <v>44.450350520423534</v>
          </cell>
          <cell r="L223">
            <v>43.989908699997564</v>
          </cell>
          <cell r="M223">
            <v>50.884730401615883</v>
          </cell>
          <cell r="N223">
            <v>40.797753557221014</v>
          </cell>
          <cell r="O223">
            <v>48.897140426252527</v>
          </cell>
        </row>
        <row r="240">
          <cell r="H240">
            <v>5529</v>
          </cell>
          <cell r="I240">
            <v>5535</v>
          </cell>
          <cell r="J240">
            <v>5536</v>
          </cell>
          <cell r="K240">
            <v>5538</v>
          </cell>
          <cell r="L240">
            <v>5571</v>
          </cell>
          <cell r="M240">
            <v>5593</v>
          </cell>
          <cell r="N240">
            <v>5557</v>
          </cell>
          <cell r="O240">
            <v>5590</v>
          </cell>
        </row>
        <row r="241">
          <cell r="H241">
            <v>3493</v>
          </cell>
          <cell r="I241">
            <v>3511</v>
          </cell>
          <cell r="J241">
            <v>3531</v>
          </cell>
          <cell r="K241">
            <v>3517</v>
          </cell>
          <cell r="L241">
            <v>3543</v>
          </cell>
          <cell r="M241">
            <v>3560</v>
          </cell>
          <cell r="N241">
            <v>3510</v>
          </cell>
          <cell r="O241">
            <v>3483</v>
          </cell>
        </row>
        <row r="242"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H243">
            <v>180.09094699360423</v>
          </cell>
          <cell r="I243">
            <v>173.73943067681273</v>
          </cell>
          <cell r="J243">
            <v>171.40558423634425</v>
          </cell>
          <cell r="K243">
            <v>175.53511294620864</v>
          </cell>
          <cell r="L243">
            <v>172.39040001536708</v>
          </cell>
          <cell r="M243">
            <v>192.07169322536282</v>
          </cell>
          <cell r="N243">
            <v>158.44294417360965</v>
          </cell>
          <cell r="O243">
            <v>177.37990417842281</v>
          </cell>
        </row>
        <row r="244">
          <cell r="H244">
            <v>356.30103362837082</v>
          </cell>
          <cell r="I244">
            <v>265.73217063663913</v>
          </cell>
          <cell r="J244">
            <v>272.39113502158574</v>
          </cell>
          <cell r="K244">
            <v>160.52960713392363</v>
          </cell>
          <cell r="L244">
            <v>182.29120474920299</v>
          </cell>
          <cell r="M244">
            <v>221.93688439546381</v>
          </cell>
          <cell r="N244">
            <v>314.84337304268217</v>
          </cell>
          <cell r="O244">
            <v>184.86624386139141</v>
          </cell>
        </row>
        <row r="245">
          <cell r="H245">
            <v>307.98461292488849</v>
          </cell>
          <cell r="I245">
            <v>287.22958617109259</v>
          </cell>
          <cell r="J245">
            <v>329.98410181726371</v>
          </cell>
          <cell r="K245">
            <v>305.12889850691215</v>
          </cell>
          <cell r="L245">
            <v>306.61699878057743</v>
          </cell>
          <cell r="M245">
            <v>310.09717559220763</v>
          </cell>
          <cell r="N245">
            <v>280.40858328147198</v>
          </cell>
          <cell r="O245">
            <v>308.42039115610339</v>
          </cell>
        </row>
        <row r="263">
          <cell r="H263">
            <v>6452</v>
          </cell>
          <cell r="I263">
            <v>6476</v>
          </cell>
          <cell r="J263">
            <v>6419</v>
          </cell>
          <cell r="K263">
            <v>6454</v>
          </cell>
          <cell r="L263">
            <v>6498</v>
          </cell>
          <cell r="M263">
            <v>6488</v>
          </cell>
          <cell r="N263">
            <v>6464</v>
          </cell>
          <cell r="O263">
            <v>6461</v>
          </cell>
        </row>
        <row r="264">
          <cell r="H264">
            <v>6195</v>
          </cell>
          <cell r="I264">
            <v>6219</v>
          </cell>
          <cell r="J264">
            <v>6169</v>
          </cell>
          <cell r="K264">
            <v>6213</v>
          </cell>
          <cell r="L264">
            <v>6256</v>
          </cell>
          <cell r="M264">
            <v>6249</v>
          </cell>
          <cell r="N264">
            <v>6224</v>
          </cell>
          <cell r="O264">
            <v>6223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H266">
            <v>252.18472917489788</v>
          </cell>
          <cell r="I266">
            <v>235.7720021151658</v>
          </cell>
          <cell r="J266">
            <v>253.29759558947376</v>
          </cell>
          <cell r="K266">
            <v>243.15005097420683</v>
          </cell>
          <cell r="L266">
            <v>238.78434784736959</v>
          </cell>
          <cell r="M266">
            <v>246.15396038552257</v>
          </cell>
          <cell r="N266">
            <v>229.45753123795453</v>
          </cell>
          <cell r="O266">
            <v>267.59348278193613</v>
          </cell>
        </row>
        <row r="267">
          <cell r="H267">
            <v>643.54275253244191</v>
          </cell>
          <cell r="I267">
            <v>501.82496307081124</v>
          </cell>
          <cell r="J267">
            <v>468.40234160414963</v>
          </cell>
          <cell r="K267">
            <v>339.08724856808158</v>
          </cell>
          <cell r="L267">
            <v>403.26117373522817</v>
          </cell>
          <cell r="M267">
            <v>491.87267910353006</v>
          </cell>
          <cell r="N267">
            <v>784.48988321248214</v>
          </cell>
          <cell r="O267">
            <v>348.77291587062274</v>
          </cell>
        </row>
        <row r="268">
          <cell r="H268">
            <v>342.9900436489549</v>
          </cell>
          <cell r="I268">
            <v>309.8060867752244</v>
          </cell>
          <cell r="J268">
            <v>366.9105578038052</v>
          </cell>
          <cell r="K268">
            <v>346.98008605380073</v>
          </cell>
          <cell r="L268">
            <v>323.7241606331612</v>
          </cell>
          <cell r="M268">
            <v>329.52410226669343</v>
          </cell>
          <cell r="N268">
            <v>312.78981645605563</v>
          </cell>
          <cell r="O268">
            <v>327.81075933320358</v>
          </cell>
        </row>
        <row r="285">
          <cell r="H285">
            <v>3208</v>
          </cell>
          <cell r="I285">
            <v>3197</v>
          </cell>
          <cell r="J285">
            <v>3192</v>
          </cell>
          <cell r="K285">
            <v>3193</v>
          </cell>
          <cell r="L285">
            <v>3212</v>
          </cell>
          <cell r="M285">
            <v>3221</v>
          </cell>
          <cell r="N285">
            <v>3206</v>
          </cell>
          <cell r="O285">
            <v>3230</v>
          </cell>
        </row>
        <row r="286">
          <cell r="H286">
            <v>2127</v>
          </cell>
          <cell r="I286">
            <v>2136</v>
          </cell>
          <cell r="J286">
            <v>2138</v>
          </cell>
          <cell r="K286">
            <v>2138</v>
          </cell>
          <cell r="L286">
            <v>2139</v>
          </cell>
          <cell r="M286">
            <v>2126</v>
          </cell>
          <cell r="N286">
            <v>2105</v>
          </cell>
          <cell r="O286">
            <v>2064</v>
          </cell>
        </row>
        <row r="287"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H288">
            <v>116.50199399515215</v>
          </cell>
          <cell r="I288">
            <v>100.50030185932556</v>
          </cell>
          <cell r="J288">
            <v>98.943997863101103</v>
          </cell>
          <cell r="K288">
            <v>108.3136000287342</v>
          </cell>
          <cell r="L288">
            <v>108.89240001215943</v>
          </cell>
          <cell r="M288">
            <v>122.2360354290233</v>
          </cell>
          <cell r="N288">
            <v>107.92883344739691</v>
          </cell>
          <cell r="O288">
            <v>120.73475299645774</v>
          </cell>
        </row>
        <row r="289">
          <cell r="H289">
            <v>243.95827421702006</v>
          </cell>
          <cell r="I289">
            <v>174.51566183775992</v>
          </cell>
          <cell r="J289">
            <v>145.96168202234236</v>
          </cell>
          <cell r="K289">
            <v>124.46466317663892</v>
          </cell>
          <cell r="L289">
            <v>147.53421396790378</v>
          </cell>
          <cell r="M289">
            <v>168.92044724653812</v>
          </cell>
          <cell r="N289">
            <v>230.54336549488525</v>
          </cell>
          <cell r="O289">
            <v>46.089529322254975</v>
          </cell>
        </row>
        <row r="290">
          <cell r="H290">
            <v>178.30166099509592</v>
          </cell>
          <cell r="I290">
            <v>148.52562733714495</v>
          </cell>
          <cell r="J290">
            <v>158.0622123030648</v>
          </cell>
          <cell r="K290">
            <v>171.44309995254173</v>
          </cell>
          <cell r="L290">
            <v>149.60438589588387</v>
          </cell>
          <cell r="M290">
            <v>165.03442532937044</v>
          </cell>
          <cell r="N290">
            <v>152.67914501423655</v>
          </cell>
          <cell r="O290">
            <v>143.42005909590404</v>
          </cell>
        </row>
        <row r="307">
          <cell r="H307">
            <v>8412</v>
          </cell>
          <cell r="I307">
            <v>8426</v>
          </cell>
          <cell r="J307">
            <v>8426</v>
          </cell>
          <cell r="K307">
            <v>8442</v>
          </cell>
          <cell r="L307">
            <v>8500</v>
          </cell>
          <cell r="M307">
            <v>8524</v>
          </cell>
          <cell r="N307">
            <v>8496</v>
          </cell>
          <cell r="O307">
            <v>8560</v>
          </cell>
        </row>
        <row r="308">
          <cell r="H308">
            <v>4948</v>
          </cell>
          <cell r="I308">
            <v>4980</v>
          </cell>
          <cell r="J308">
            <v>4987</v>
          </cell>
          <cell r="K308">
            <v>4985</v>
          </cell>
          <cell r="L308">
            <v>5003</v>
          </cell>
          <cell r="M308">
            <v>4958</v>
          </cell>
          <cell r="N308">
            <v>4880</v>
          </cell>
          <cell r="O308">
            <v>4793</v>
          </cell>
        </row>
        <row r="309"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H310">
            <v>302.2970706614297</v>
          </cell>
          <cell r="I310">
            <v>277.71080653064701</v>
          </cell>
          <cell r="J310">
            <v>303.37665043121967</v>
          </cell>
          <cell r="K310">
            <v>289.64256549996423</v>
          </cell>
          <cell r="L310">
            <v>302.11987983512273</v>
          </cell>
          <cell r="M310">
            <v>305.05575539046174</v>
          </cell>
          <cell r="N310">
            <v>295.8242660179335</v>
          </cell>
          <cell r="O310">
            <v>366.60992718975655</v>
          </cell>
        </row>
        <row r="311">
          <cell r="H311">
            <v>636.01718850540067</v>
          </cell>
          <cell r="I311">
            <v>510.65577215408689</v>
          </cell>
          <cell r="J311">
            <v>450.11301594322879</v>
          </cell>
          <cell r="K311">
            <v>324.21401777915582</v>
          </cell>
          <cell r="L311">
            <v>373.62505594694727</v>
          </cell>
          <cell r="M311">
            <v>398.0997661388792</v>
          </cell>
          <cell r="N311">
            <v>655.14353223621845</v>
          </cell>
          <cell r="O311">
            <v>179.3157047548907</v>
          </cell>
        </row>
        <row r="312">
          <cell r="H312">
            <v>473.3354163585862</v>
          </cell>
          <cell r="I312">
            <v>447.54807614345515</v>
          </cell>
          <cell r="J312">
            <v>509.1950878549776</v>
          </cell>
          <cell r="K312">
            <v>447.51900953653058</v>
          </cell>
          <cell r="L312">
            <v>461.17223518085069</v>
          </cell>
          <cell r="M312">
            <v>442.33073320556457</v>
          </cell>
          <cell r="N312">
            <v>440.338070635056</v>
          </cell>
          <cell r="O312">
            <v>477.95146364274797</v>
          </cell>
        </row>
        <row r="329">
          <cell r="H329">
            <v>1493</v>
          </cell>
          <cell r="I329">
            <v>1494</v>
          </cell>
          <cell r="J329">
            <v>1508</v>
          </cell>
          <cell r="K329">
            <v>1516</v>
          </cell>
          <cell r="L329">
            <v>1527</v>
          </cell>
          <cell r="M329">
            <v>1539</v>
          </cell>
          <cell r="N329">
            <v>1548</v>
          </cell>
          <cell r="O329">
            <v>1558</v>
          </cell>
        </row>
        <row r="330">
          <cell r="H330">
            <v>1118</v>
          </cell>
          <cell r="I330">
            <v>1128</v>
          </cell>
          <cell r="J330">
            <v>1119</v>
          </cell>
          <cell r="K330">
            <v>1144</v>
          </cell>
          <cell r="L330">
            <v>1162</v>
          </cell>
          <cell r="M330">
            <v>1185</v>
          </cell>
          <cell r="N330">
            <v>1194</v>
          </cell>
          <cell r="O330">
            <v>1205</v>
          </cell>
        </row>
        <row r="331"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H332">
            <v>54.899927301333364</v>
          </cell>
          <cell r="I332">
            <v>44.148857938608835</v>
          </cell>
          <cell r="J332">
            <v>55.47455810953258</v>
          </cell>
          <cell r="K332">
            <v>47.262048397589268</v>
          </cell>
          <cell r="L332">
            <v>48.397918557103004</v>
          </cell>
          <cell r="M332">
            <v>46.524983290156925</v>
          </cell>
          <cell r="N332">
            <v>52.442944366087126</v>
          </cell>
          <cell r="O332">
            <v>51.723982073783496</v>
          </cell>
        </row>
        <row r="333">
          <cell r="H333">
            <v>96.942227638465525</v>
          </cell>
          <cell r="I333">
            <v>96.868236358863214</v>
          </cell>
          <cell r="J333">
            <v>93.364542448213783</v>
          </cell>
          <cell r="K333">
            <v>54.258337748985937</v>
          </cell>
          <cell r="L333">
            <v>65.878557219484179</v>
          </cell>
          <cell r="M333">
            <v>52.513149607580011</v>
          </cell>
          <cell r="N333">
            <v>77.588097246574279</v>
          </cell>
          <cell r="O333">
            <v>40.311576069946838</v>
          </cell>
        </row>
        <row r="334">
          <cell r="H334">
            <v>80.871104324307197</v>
          </cell>
          <cell r="I334">
            <v>77.522910113727079</v>
          </cell>
          <cell r="J334">
            <v>94.282742079817311</v>
          </cell>
          <cell r="K334">
            <v>83.168071989146455</v>
          </cell>
          <cell r="L334">
            <v>84.134024528822493</v>
          </cell>
          <cell r="M334">
            <v>82.045107233083542</v>
          </cell>
          <cell r="N334">
            <v>92.541675047516378</v>
          </cell>
          <cell r="O334">
            <v>95.971598442845661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 TONS"/>
      <sheetName val="MSW Tons"/>
      <sheetName val="Recycle Tons"/>
      <sheetName val="YW Tons"/>
      <sheetName val="Prices"/>
      <sheetName val="Snoqualmie"/>
      <sheetName val="Commercial Counts"/>
      <sheetName val="Commercial Yards"/>
      <sheetName val="Multi Family Counts"/>
      <sheetName val="Multi Family Yards"/>
      <sheetName val="North Bend-County Garbage"/>
      <sheetName val="All Other Districts-Garbage"/>
      <sheetName val="All Districts-YW"/>
      <sheetName val="All Districts-YW Only"/>
      <sheetName val="All Districts-Recycle"/>
      <sheetName val="All Districts-Recycle Only"/>
    </sheetNames>
    <sheetDataSet>
      <sheetData sheetId="0">
        <row r="63">
          <cell r="D63">
            <v>147</v>
          </cell>
          <cell r="E63">
            <v>148</v>
          </cell>
          <cell r="F63">
            <v>151</v>
          </cell>
          <cell r="G63">
            <v>150</v>
          </cell>
        </row>
        <row r="64">
          <cell r="D64">
            <v>89</v>
          </cell>
          <cell r="E64">
            <v>89</v>
          </cell>
          <cell r="F64">
            <v>90</v>
          </cell>
          <cell r="G64">
            <v>89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D66">
            <v>7.6332360572814562</v>
          </cell>
          <cell r="E66">
            <v>4.1934774535649453</v>
          </cell>
          <cell r="F66">
            <v>4.8610067486874788</v>
          </cell>
          <cell r="G66">
            <v>3.8900009770262165</v>
          </cell>
        </row>
        <row r="67">
          <cell r="D67">
            <v>7.6626641461083356</v>
          </cell>
          <cell r="E67">
            <v>5.0053061741891156</v>
          </cell>
          <cell r="F67">
            <v>6.4468119452447272</v>
          </cell>
          <cell r="G67">
            <v>10.449119299599197</v>
          </cell>
        </row>
        <row r="68">
          <cell r="D68">
            <v>12.086693430332753</v>
          </cell>
          <cell r="E68">
            <v>8.6641682124586161</v>
          </cell>
          <cell r="F68">
            <v>9.0105008002561267</v>
          </cell>
          <cell r="G68">
            <v>8.2500509791463799</v>
          </cell>
        </row>
        <row r="85">
          <cell r="D85">
            <v>106</v>
          </cell>
          <cell r="E85">
            <v>108</v>
          </cell>
          <cell r="F85">
            <v>108</v>
          </cell>
          <cell r="G85">
            <v>108</v>
          </cell>
        </row>
        <row r="86">
          <cell r="D86">
            <v>94</v>
          </cell>
          <cell r="E86">
            <v>96</v>
          </cell>
          <cell r="F86">
            <v>96</v>
          </cell>
          <cell r="G86">
            <v>98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D88">
            <v>6.980574165622647</v>
          </cell>
          <cell r="E88">
            <v>4.7216165791843077</v>
          </cell>
          <cell r="F88">
            <v>4.6073266044653103</v>
          </cell>
          <cell r="G88">
            <v>5.2027133940484038</v>
          </cell>
        </row>
        <row r="89">
          <cell r="D89">
            <v>4.0697913016429217</v>
          </cell>
          <cell r="E89">
            <v>2.3323049032087235</v>
          </cell>
          <cell r="F89">
            <v>3.6274022366803238</v>
          </cell>
          <cell r="G89">
            <v>6.212284270755231</v>
          </cell>
        </row>
        <row r="90">
          <cell r="D90">
            <v>5.9063609641087078</v>
          </cell>
          <cell r="E90">
            <v>4.5177481824121593</v>
          </cell>
          <cell r="F90">
            <v>4.4829345248676802</v>
          </cell>
          <cell r="G90">
            <v>5.5293304078199679</v>
          </cell>
        </row>
        <row r="107">
          <cell r="D107">
            <v>3931</v>
          </cell>
          <cell r="E107">
            <v>3935</v>
          </cell>
          <cell r="F107">
            <v>3949</v>
          </cell>
          <cell r="G107">
            <v>3983</v>
          </cell>
        </row>
        <row r="108">
          <cell r="D108">
            <v>3794</v>
          </cell>
          <cell r="E108">
            <v>3801</v>
          </cell>
          <cell r="F108">
            <v>3820</v>
          </cell>
          <cell r="G108">
            <v>3859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D110">
            <v>151.96706911664057</v>
          </cell>
          <cell r="E110">
            <v>112.78356673414933</v>
          </cell>
          <cell r="F110">
            <v>118.49254573897545</v>
          </cell>
          <cell r="G110">
            <v>134.09010730417833</v>
          </cell>
        </row>
        <row r="111">
          <cell r="D111">
            <v>166.78127871858212</v>
          </cell>
          <cell r="E111">
            <v>114.10738047096633</v>
          </cell>
          <cell r="F111">
            <v>222.60345349297623</v>
          </cell>
          <cell r="G111">
            <v>316.94646245622937</v>
          </cell>
        </row>
        <row r="112">
          <cell r="D112">
            <v>183.23407823124825</v>
          </cell>
          <cell r="E112">
            <v>143.66103329089952</v>
          </cell>
          <cell r="F112">
            <v>157.69639438201037</v>
          </cell>
          <cell r="G112">
            <v>169.37020792769692</v>
          </cell>
        </row>
        <row r="129">
          <cell r="D129">
            <v>29178</v>
          </cell>
          <cell r="E129">
            <v>29195</v>
          </cell>
          <cell r="F129">
            <v>29261</v>
          </cell>
          <cell r="G129">
            <v>29358</v>
          </cell>
        </row>
        <row r="130">
          <cell r="D130">
            <v>26509</v>
          </cell>
          <cell r="E130">
            <v>26519</v>
          </cell>
          <cell r="F130">
            <v>26583</v>
          </cell>
          <cell r="G130">
            <v>26700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D132">
            <v>1139.5130737051543</v>
          </cell>
          <cell r="E132">
            <v>897.65584741691714</v>
          </cell>
          <cell r="F132">
            <v>978.12523692569243</v>
          </cell>
          <cell r="G132">
            <v>1038.3731751179632</v>
          </cell>
        </row>
        <row r="133">
          <cell r="D133">
            <v>1225.6314100787629</v>
          </cell>
          <cell r="E133">
            <v>740.06388121802797</v>
          </cell>
          <cell r="F133">
            <v>1540.9397095443965</v>
          </cell>
          <cell r="G133">
            <v>2201.9385504711372</v>
          </cell>
        </row>
        <row r="134">
          <cell r="D134">
            <v>1378.0284186251106</v>
          </cell>
          <cell r="E134">
            <v>1107.820940565216</v>
          </cell>
          <cell r="F134">
            <v>1233.640881276965</v>
          </cell>
          <cell r="G134">
            <v>1310.6502364485341</v>
          </cell>
        </row>
        <row r="151">
          <cell r="D151">
            <v>997</v>
          </cell>
          <cell r="E151">
            <v>995</v>
          </cell>
          <cell r="F151">
            <v>997</v>
          </cell>
          <cell r="G151">
            <v>1001</v>
          </cell>
        </row>
        <row r="152">
          <cell r="D152">
            <v>760</v>
          </cell>
          <cell r="E152">
            <v>758</v>
          </cell>
          <cell r="F152">
            <v>759</v>
          </cell>
          <cell r="G152">
            <v>772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D154">
            <v>50.381107723497017</v>
          </cell>
          <cell r="E154">
            <v>32.481342505790984</v>
          </cell>
          <cell r="F154">
            <v>36.508489421086416</v>
          </cell>
          <cell r="G154">
            <v>30.141272460635911</v>
          </cell>
        </row>
        <row r="155">
          <cell r="D155">
            <v>50.889687814127761</v>
          </cell>
          <cell r="E155">
            <v>28.926037316718336</v>
          </cell>
          <cell r="F155">
            <v>47.212668539767435</v>
          </cell>
          <cell r="G155">
            <v>78.491636092700688</v>
          </cell>
        </row>
        <row r="156">
          <cell r="D156">
            <v>65.62038130125903</v>
          </cell>
          <cell r="E156">
            <v>47.645677967306057</v>
          </cell>
          <cell r="F156">
            <v>50.126607011202289</v>
          </cell>
          <cell r="G156">
            <v>49.441772020227141</v>
          </cell>
        </row>
        <row r="173">
          <cell r="D173">
            <v>1006</v>
          </cell>
          <cell r="E173">
            <v>1010</v>
          </cell>
          <cell r="F173">
            <v>1008</v>
          </cell>
          <cell r="G173">
            <v>1016</v>
          </cell>
        </row>
        <row r="174">
          <cell r="D174">
            <v>707</v>
          </cell>
          <cell r="E174">
            <v>712</v>
          </cell>
          <cell r="F174">
            <v>712</v>
          </cell>
          <cell r="G174">
            <v>721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D176">
            <v>47.416193326494827</v>
          </cell>
          <cell r="E176">
            <v>32.278192838415883</v>
          </cell>
          <cell r="F176">
            <v>29.137465754971565</v>
          </cell>
          <cell r="G176">
            <v>35.958862947035527</v>
          </cell>
        </row>
        <row r="177">
          <cell r="D177">
            <v>41.348135726265404</v>
          </cell>
          <cell r="E177">
            <v>31.249374929845722</v>
          </cell>
          <cell r="F177">
            <v>48.128887806699332</v>
          </cell>
          <cell r="G177">
            <v>73.979713790783293</v>
          </cell>
        </row>
        <row r="178">
          <cell r="D178">
            <v>67.302788894190655</v>
          </cell>
          <cell r="E178">
            <v>48.056171753133384</v>
          </cell>
          <cell r="F178">
            <v>49.663036129579588</v>
          </cell>
          <cell r="G178">
            <v>46.38856228200671</v>
          </cell>
        </row>
        <row r="195">
          <cell r="D195">
            <v>360</v>
          </cell>
          <cell r="E195">
            <v>369</v>
          </cell>
          <cell r="F195">
            <v>366</v>
          </cell>
          <cell r="G195">
            <v>368</v>
          </cell>
        </row>
        <row r="196">
          <cell r="D196">
            <v>283</v>
          </cell>
          <cell r="E196">
            <v>288</v>
          </cell>
          <cell r="F196">
            <v>290</v>
          </cell>
          <cell r="G196">
            <v>291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D198">
            <v>15.71551177003292</v>
          </cell>
          <cell r="E198">
            <v>11.718076801399349</v>
          </cell>
          <cell r="F198">
            <v>12.891666773040299</v>
          </cell>
          <cell r="G198">
            <v>9.1845318688725186</v>
          </cell>
        </row>
        <row r="199">
          <cell r="D199">
            <v>14.573118402200349</v>
          </cell>
          <cell r="E199">
            <v>11.738019514873704</v>
          </cell>
          <cell r="F199">
            <v>15.664587613622986</v>
          </cell>
          <cell r="G199">
            <v>21.069502281922471</v>
          </cell>
        </row>
        <row r="200">
          <cell r="D200">
            <v>25.011333438947528</v>
          </cell>
          <cell r="E200">
            <v>17.91775952807243</v>
          </cell>
          <cell r="F200">
            <v>19.004904090376879</v>
          </cell>
          <cell r="G200">
            <v>18.884253862333377</v>
          </cell>
        </row>
        <row r="218">
          <cell r="D218">
            <v>936</v>
          </cell>
          <cell r="E218">
            <v>923</v>
          </cell>
          <cell r="F218">
            <v>934</v>
          </cell>
          <cell r="G218">
            <v>936</v>
          </cell>
        </row>
        <row r="219">
          <cell r="D219">
            <v>752</v>
          </cell>
          <cell r="E219">
            <v>743</v>
          </cell>
          <cell r="F219">
            <v>755</v>
          </cell>
          <cell r="G219">
            <v>768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D221">
            <v>38.792914799922556</v>
          </cell>
          <cell r="E221">
            <v>30.148993771392512</v>
          </cell>
          <cell r="F221">
            <v>32.351180929019009</v>
          </cell>
          <cell r="G221">
            <v>40.004554099231861</v>
          </cell>
        </row>
        <row r="222">
          <cell r="D222">
            <v>30.980850990339302</v>
          </cell>
          <cell r="E222">
            <v>13.639349435909315</v>
          </cell>
          <cell r="F222">
            <v>42.106068115488995</v>
          </cell>
          <cell r="G222">
            <v>77.688018626793792</v>
          </cell>
        </row>
        <row r="223">
          <cell r="D223">
            <v>49.637350972051905</v>
          </cell>
          <cell r="E223">
            <v>33.735524203133558</v>
          </cell>
          <cell r="F223">
            <v>40.401034720395785</v>
          </cell>
          <cell r="G223">
            <v>50.96386294715218</v>
          </cell>
        </row>
        <row r="240">
          <cell r="D240">
            <v>5573</v>
          </cell>
          <cell r="E240">
            <v>5578</v>
          </cell>
          <cell r="F240">
            <v>5576</v>
          </cell>
          <cell r="G240">
            <v>5604</v>
          </cell>
        </row>
        <row r="241">
          <cell r="D241">
            <v>3441</v>
          </cell>
          <cell r="E241">
            <v>3437</v>
          </cell>
          <cell r="F241">
            <v>3488</v>
          </cell>
          <cell r="G241">
            <v>3572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D243">
            <v>202.44869481846391</v>
          </cell>
          <cell r="E243">
            <v>155.59189650189413</v>
          </cell>
          <cell r="F243">
            <v>178.00524515271448</v>
          </cell>
          <cell r="G243">
            <v>191.9902315429849</v>
          </cell>
        </row>
        <row r="244">
          <cell r="D244">
            <v>133.69325318334478</v>
          </cell>
          <cell r="E244">
            <v>90.427913085414204</v>
          </cell>
          <cell r="F244">
            <v>159.77952821374194</v>
          </cell>
          <cell r="G244">
            <v>255.78665772731293</v>
          </cell>
        </row>
        <row r="245">
          <cell r="D245">
            <v>307.17180294897014</v>
          </cell>
          <cell r="E245">
            <v>252.22448095001118</v>
          </cell>
          <cell r="F245">
            <v>283.23678145716508</v>
          </cell>
          <cell r="G245">
            <v>297.81964297183652</v>
          </cell>
        </row>
        <row r="263">
          <cell r="D263">
            <v>6400</v>
          </cell>
          <cell r="E263">
            <v>6424</v>
          </cell>
          <cell r="F263">
            <v>6449</v>
          </cell>
          <cell r="G263">
            <v>6464</v>
          </cell>
        </row>
        <row r="264">
          <cell r="D264">
            <v>6163</v>
          </cell>
          <cell r="E264">
            <v>6191</v>
          </cell>
          <cell r="F264">
            <v>6212</v>
          </cell>
          <cell r="G264">
            <v>6226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D266">
            <v>268.09044794199053</v>
          </cell>
          <cell r="E266">
            <v>199.79243238942931</v>
          </cell>
          <cell r="F266">
            <v>221.48223510558333</v>
          </cell>
          <cell r="G266">
            <v>222.01085397113954</v>
          </cell>
        </row>
        <row r="267">
          <cell r="D267">
            <v>326.41046315838139</v>
          </cell>
          <cell r="E267">
            <v>228.08092350970213</v>
          </cell>
          <cell r="F267">
            <v>371.3035271006849</v>
          </cell>
          <cell r="G267">
            <v>502.53608117131142</v>
          </cell>
        </row>
        <row r="268">
          <cell r="D268">
            <v>334.45489065974772</v>
          </cell>
          <cell r="E268">
            <v>263.97205935604342</v>
          </cell>
          <cell r="F268">
            <v>288.01365148368336</v>
          </cell>
          <cell r="G268">
            <v>312.50765403411208</v>
          </cell>
        </row>
        <row r="285">
          <cell r="D285">
            <v>3227</v>
          </cell>
          <cell r="E285">
            <v>3226</v>
          </cell>
          <cell r="F285">
            <v>3226</v>
          </cell>
          <cell r="G285">
            <v>3242</v>
          </cell>
        </row>
        <row r="286">
          <cell r="D286">
            <v>2035</v>
          </cell>
          <cell r="E286">
            <v>2035</v>
          </cell>
          <cell r="F286">
            <v>2056</v>
          </cell>
          <cell r="G286">
            <v>2104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D288">
            <v>137.74980374317263</v>
          </cell>
          <cell r="E288">
            <v>98.608668616907792</v>
          </cell>
          <cell r="F288">
            <v>102.14718190342028</v>
          </cell>
          <cell r="G288">
            <v>114.381654983635</v>
          </cell>
        </row>
        <row r="289">
          <cell r="D289">
            <v>81.278520265423097</v>
          </cell>
          <cell r="E289">
            <v>40.108441467286454</v>
          </cell>
          <cell r="F289">
            <v>99.24650635355205</v>
          </cell>
          <cell r="G289">
            <v>179.46884796075238</v>
          </cell>
        </row>
        <row r="290">
          <cell r="D290">
            <v>182.26539906854893</v>
          </cell>
          <cell r="E290">
            <v>127.97719500811337</v>
          </cell>
          <cell r="F290">
            <v>139.47670975249991</v>
          </cell>
          <cell r="G290">
            <v>148.60321893235968</v>
          </cell>
        </row>
        <row r="307">
          <cell r="D307">
            <v>8542</v>
          </cell>
          <cell r="E307">
            <v>8553</v>
          </cell>
          <cell r="F307">
            <v>8565</v>
          </cell>
          <cell r="G307">
            <v>8599</v>
          </cell>
        </row>
        <row r="308">
          <cell r="D308">
            <v>4739</v>
          </cell>
          <cell r="E308">
            <v>4710</v>
          </cell>
          <cell r="F308">
            <v>4766</v>
          </cell>
          <cell r="G308">
            <v>4877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D310">
            <v>354.14132610978965</v>
          </cell>
          <cell r="E310">
            <v>257.63127640317867</v>
          </cell>
          <cell r="F310">
            <v>278.82592381223031</v>
          </cell>
          <cell r="G310">
            <v>304.53517021184638</v>
          </cell>
        </row>
        <row r="311">
          <cell r="D311">
            <v>216.5056179901398</v>
          </cell>
          <cell r="E311">
            <v>126.97164848011134</v>
          </cell>
          <cell r="F311">
            <v>310.9840747162533</v>
          </cell>
          <cell r="G311">
            <v>500.2904163944159</v>
          </cell>
        </row>
        <row r="312">
          <cell r="D312">
            <v>481.08946852024388</v>
          </cell>
          <cell r="E312">
            <v>381.96085944139054</v>
          </cell>
          <cell r="F312">
            <v>419.75034747367317</v>
          </cell>
          <cell r="G312">
            <v>446.66666671709999</v>
          </cell>
        </row>
        <row r="329">
          <cell r="D329">
            <v>1561</v>
          </cell>
          <cell r="E329">
            <v>1569</v>
          </cell>
          <cell r="F329">
            <v>1583</v>
          </cell>
          <cell r="G329">
            <v>1597</v>
          </cell>
        </row>
        <row r="330">
          <cell r="D330">
            <v>1186</v>
          </cell>
          <cell r="E330">
            <v>1203</v>
          </cell>
          <cell r="F330">
            <v>1224</v>
          </cell>
          <cell r="G330">
            <v>1233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D332">
            <v>54.469283671823511</v>
          </cell>
          <cell r="E332">
            <v>44.81929006727821</v>
          </cell>
          <cell r="F332">
            <v>49.634886015673864</v>
          </cell>
          <cell r="G332">
            <v>49.636678467959136</v>
          </cell>
        </row>
        <row r="333">
          <cell r="D333">
            <v>46.315314542702964</v>
          </cell>
          <cell r="E333">
            <v>17.786562433942944</v>
          </cell>
          <cell r="F333">
            <v>52.65039645121675</v>
          </cell>
          <cell r="G333">
            <v>72.754504057136842</v>
          </cell>
        </row>
        <row r="334">
          <cell r="D334">
            <v>83.901212226166606</v>
          </cell>
          <cell r="E334">
            <v>71.409178384971355</v>
          </cell>
          <cell r="F334">
            <v>81.134896313132003</v>
          </cell>
          <cell r="G334">
            <v>85.004934283644644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2"/>
      <sheetName val="176"/>
      <sheetName val="183"/>
      <sheetName val="King Co. WUTC"/>
      <sheetName val="Adj King Co. WUTC"/>
    </sheetNames>
    <sheetDataSet>
      <sheetData sheetId="0">
        <row r="8">
          <cell r="N8">
            <v>11.92</v>
          </cell>
          <cell r="O8">
            <v>10.417100270801093</v>
          </cell>
          <cell r="P8">
            <v>10.468275693583523</v>
          </cell>
          <cell r="Q8">
            <v>13.443114187243555</v>
          </cell>
          <cell r="R8">
            <v>10.56935215088787</v>
          </cell>
          <cell r="S8">
            <v>9.3053232353297624</v>
          </cell>
          <cell r="T8">
            <v>13.162119935237875</v>
          </cell>
          <cell r="U8">
            <v>10.130000000000001</v>
          </cell>
          <cell r="V8">
            <v>12.15</v>
          </cell>
          <cell r="W8">
            <v>8.8854135126021703</v>
          </cell>
          <cell r="X8">
            <v>9.14</v>
          </cell>
          <cell r="Y8">
            <v>8.9158534189357681</v>
          </cell>
        </row>
        <row r="20">
          <cell r="N20">
            <v>17</v>
          </cell>
          <cell r="O20">
            <v>11.419682133479334</v>
          </cell>
          <cell r="P20">
            <v>11.127877630058716</v>
          </cell>
          <cell r="Q20">
            <v>7.3985900007748313</v>
          </cell>
          <cell r="R20">
            <v>6.9691795561493155</v>
          </cell>
          <cell r="S20">
            <v>6.8403037490821799</v>
          </cell>
          <cell r="T20">
            <v>18.741461457351207</v>
          </cell>
          <cell r="U20">
            <v>7.57</v>
          </cell>
          <cell r="V20">
            <v>6.73</v>
          </cell>
          <cell r="W20">
            <v>6.1472190683727703</v>
          </cell>
          <cell r="X20">
            <v>6.46</v>
          </cell>
        </row>
      </sheetData>
      <sheetData sheetId="1">
        <row r="3">
          <cell r="N3">
            <v>72.47</v>
          </cell>
          <cell r="O3">
            <v>93.87</v>
          </cell>
          <cell r="P3">
            <v>77.02</v>
          </cell>
          <cell r="Q3">
            <v>77.099999999999994</v>
          </cell>
          <cell r="R3">
            <v>68.22</v>
          </cell>
          <cell r="S3">
            <v>76.918699882354247</v>
          </cell>
          <cell r="T3">
            <v>57.018288304771694</v>
          </cell>
          <cell r="U3">
            <v>61.596213556567427</v>
          </cell>
        </row>
        <row r="5">
          <cell r="N5">
            <v>1186.8725999999999</v>
          </cell>
          <cell r="O5">
            <v>1105.19</v>
          </cell>
          <cell r="P5">
            <v>1224.99</v>
          </cell>
          <cell r="Q5">
            <v>1247.9100000000001</v>
          </cell>
          <cell r="R5">
            <v>1112.6199999999999</v>
          </cell>
          <cell r="S5">
            <v>1174.9478613486413</v>
          </cell>
          <cell r="T5">
            <v>1172.5968470447392</v>
          </cell>
          <cell r="U5">
            <v>1105.6507199953301</v>
          </cell>
        </row>
        <row r="11">
          <cell r="N11">
            <v>62.1</v>
          </cell>
          <cell r="O11">
            <v>72.12</v>
          </cell>
          <cell r="P11">
            <v>72.11</v>
          </cell>
          <cell r="Q11">
            <v>64.14</v>
          </cell>
          <cell r="R11">
            <v>15.49</v>
          </cell>
          <cell r="S11">
            <v>40.150897023479786</v>
          </cell>
          <cell r="T11">
            <v>47.627066961935164</v>
          </cell>
          <cell r="U11">
            <v>21.307214799380375</v>
          </cell>
        </row>
        <row r="13">
          <cell r="N13">
            <v>612.51620000000003</v>
          </cell>
          <cell r="O13">
            <v>509.78</v>
          </cell>
          <cell r="P13">
            <v>426.03</v>
          </cell>
          <cell r="Q13">
            <v>296.14</v>
          </cell>
          <cell r="R13">
            <v>241.63</v>
          </cell>
          <cell r="S13">
            <v>318.92111504287436</v>
          </cell>
          <cell r="T13">
            <v>439.96283958992058</v>
          </cell>
          <cell r="U13">
            <v>212.18145860027434</v>
          </cell>
          <cell r="V13">
            <v>139.81</v>
          </cell>
          <cell r="W13">
            <v>154.404289410621</v>
          </cell>
          <cell r="X13">
            <v>278.87</v>
          </cell>
        </row>
        <row r="19">
          <cell r="N19">
            <v>36.33</v>
          </cell>
          <cell r="O19">
            <v>31.22</v>
          </cell>
          <cell r="P19">
            <v>32.6</v>
          </cell>
          <cell r="Q19">
            <v>32.97</v>
          </cell>
          <cell r="R19">
            <v>25.58</v>
          </cell>
          <cell r="S19">
            <v>41.696715000806087</v>
          </cell>
          <cell r="T19">
            <v>32.608712098954491</v>
          </cell>
          <cell r="U19">
            <v>32.032195559483604</v>
          </cell>
        </row>
        <row r="21">
          <cell r="N21">
            <v>498.90010000000007</v>
          </cell>
          <cell r="O21">
            <v>485.28</v>
          </cell>
          <cell r="P21">
            <v>490.55</v>
          </cell>
          <cell r="Q21">
            <v>508.95</v>
          </cell>
          <cell r="R21">
            <v>466.96</v>
          </cell>
          <cell r="S21">
            <v>549.37158823289462</v>
          </cell>
          <cell r="T21">
            <v>548.74240789820828</v>
          </cell>
          <cell r="U21">
            <v>544.86541946893919</v>
          </cell>
          <cell r="V21">
            <v>536.26</v>
          </cell>
          <cell r="W21">
            <v>411.13059294984151</v>
          </cell>
          <cell r="X21">
            <v>447.15</v>
          </cell>
          <cell r="Y21">
            <v>503.88418583897061</v>
          </cell>
        </row>
      </sheetData>
      <sheetData sheetId="2">
        <row r="4">
          <cell r="N4">
            <v>183.17</v>
          </cell>
          <cell r="O4">
            <v>166.56</v>
          </cell>
          <cell r="P4">
            <v>195.89</v>
          </cell>
          <cell r="Q4">
            <v>188.2</v>
          </cell>
          <cell r="R4">
            <v>147.69999999999999</v>
          </cell>
          <cell r="S4">
            <v>179.07890710547653</v>
          </cell>
          <cell r="T4">
            <v>173.18945078900731</v>
          </cell>
          <cell r="U4">
            <v>167.84199579008526</v>
          </cell>
        </row>
        <row r="5">
          <cell r="N5">
            <v>114.34</v>
          </cell>
          <cell r="O5">
            <v>99.55</v>
          </cell>
          <cell r="P5">
            <v>121.34</v>
          </cell>
          <cell r="Q5">
            <v>108.94</v>
          </cell>
          <cell r="R5">
            <v>104.12</v>
          </cell>
          <cell r="S5">
            <v>119.88386729788182</v>
          </cell>
          <cell r="T5">
            <v>94.184980208823845</v>
          </cell>
          <cell r="U5">
            <v>100.0708741317322</v>
          </cell>
        </row>
        <row r="12">
          <cell r="N12">
            <v>153.74</v>
          </cell>
          <cell r="O12">
            <v>113.35</v>
          </cell>
          <cell r="P12">
            <v>122.53</v>
          </cell>
          <cell r="Q12">
            <v>60.64</v>
          </cell>
          <cell r="R12">
            <v>49.19</v>
          </cell>
          <cell r="S12">
            <v>42.42416168166217</v>
          </cell>
          <cell r="T12">
            <v>94.371783083790959</v>
          </cell>
          <cell r="U12">
            <v>44.513382768208352</v>
          </cell>
        </row>
        <row r="18">
          <cell r="N18">
            <v>53.84</v>
          </cell>
          <cell r="O18">
            <v>56.96</v>
          </cell>
          <cell r="P18">
            <v>63.49</v>
          </cell>
          <cell r="Q18">
            <v>74.040000000000006</v>
          </cell>
          <cell r="R18">
            <v>58.13</v>
          </cell>
          <cell r="S18">
            <v>58.746914073971737</v>
          </cell>
          <cell r="T18">
            <v>65.024473096908238</v>
          </cell>
          <cell r="U18">
            <v>77.022137187004404</v>
          </cell>
        </row>
        <row r="19">
          <cell r="N19">
            <v>52.43</v>
          </cell>
          <cell r="O19">
            <v>44.95</v>
          </cell>
          <cell r="P19">
            <v>48.37</v>
          </cell>
          <cell r="Q19">
            <v>51.26</v>
          </cell>
          <cell r="R19">
            <v>49.36</v>
          </cell>
          <cell r="S19">
            <v>81.307285113636681</v>
          </cell>
          <cell r="T19">
            <v>45.024543497497625</v>
          </cell>
          <cell r="U19">
            <v>61.574641723068829</v>
          </cell>
        </row>
      </sheetData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LYNNWOOD_SF"/>
      <sheetName val="WUTC_AW of Bellevue_SF"/>
      <sheetName val="Value"/>
      <sheetName val="Commodity Tonnages"/>
      <sheetName val="Pricing"/>
      <sheetName val="Single Family"/>
    </sheetNames>
    <sheetDataSet>
      <sheetData sheetId="0" refreshError="1"/>
      <sheetData sheetId="1" refreshError="1"/>
      <sheetData sheetId="2">
        <row r="18">
          <cell r="M18">
            <v>198165.45124156994</v>
          </cell>
          <cell r="O18">
            <v>99082.725620784942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AW of Bellevue_MF"/>
      <sheetName val="Value"/>
      <sheetName val="Commodity Tonnages"/>
      <sheetName val="Pricing"/>
      <sheetName val="Multi_Family"/>
    </sheetNames>
    <sheetDataSet>
      <sheetData sheetId="0" refreshError="1"/>
      <sheetData sheetId="1">
        <row r="18">
          <cell r="M18">
            <v>15144.042368959994</v>
          </cell>
          <cell r="O18">
            <v>7572.0211844799969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KENT_SF"/>
      <sheetName val="Value"/>
      <sheetName val="Commodity Tonnages"/>
      <sheetName val="Pricing"/>
      <sheetName val="Single Family"/>
    </sheetNames>
    <sheetDataSet>
      <sheetData sheetId="0" refreshError="1"/>
      <sheetData sheetId="1">
        <row r="20">
          <cell r="M20">
            <v>311737.81214388972</v>
          </cell>
          <cell r="O20">
            <v>155868.90607194492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LYNNWOOD_SF"/>
      <sheetName val="WUTC_KENT_MF"/>
      <sheetName val="Value"/>
      <sheetName val="Commodity Tonnages"/>
      <sheetName val="Pricing"/>
      <sheetName val="Multi_Family"/>
    </sheetNames>
    <sheetDataSet>
      <sheetData sheetId="0" refreshError="1"/>
      <sheetData sheetId="1" refreshError="1"/>
      <sheetData sheetId="2">
        <row r="20">
          <cell r="M20">
            <v>2094.7887699299986</v>
          </cell>
          <cell r="O20">
            <v>1047.3943849649993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LYNNWOOD_SF"/>
      <sheetName val="WUTC_AW of Kent (SeaTac)_SF"/>
      <sheetName val="Value"/>
      <sheetName val="Commodity Tonnages"/>
      <sheetName val="Pricing"/>
      <sheetName val="Single Family"/>
    </sheetNames>
    <sheetDataSet>
      <sheetData sheetId="0" refreshError="1"/>
      <sheetData sheetId="1" refreshError="1"/>
      <sheetData sheetId="2">
        <row r="18">
          <cell r="M18">
            <v>69569.430161139957</v>
          </cell>
          <cell r="O18">
            <v>34784.715080569986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AW of Bellevue_MF"/>
      <sheetName val="Value"/>
      <sheetName val="Commodity Tonnages"/>
      <sheetName val="Pricing"/>
      <sheetName val="Multi_Family"/>
    </sheetNames>
    <sheetDataSet>
      <sheetData sheetId="0">
        <row r="32">
          <cell r="O32">
            <v>22034.376</v>
          </cell>
        </row>
      </sheetData>
      <sheetData sheetId="1">
        <row r="18">
          <cell r="M18">
            <v>21945.828269286994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AW of Kent (SeaTac)_MF"/>
      <sheetName val="Value"/>
      <sheetName val="Commodity Tonnages"/>
      <sheetName val="Pricing"/>
      <sheetName val="Multi_Family"/>
    </sheetNames>
    <sheetDataSet>
      <sheetData sheetId="0" refreshError="1"/>
      <sheetData sheetId="1">
        <row r="18">
          <cell r="M18">
            <v>1777.9816404699989</v>
          </cell>
          <cell r="O18">
            <v>888.99082023499955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KENT_SF"/>
      <sheetName val="Value"/>
      <sheetName val="Commodity Tonnages"/>
      <sheetName val="Pricing"/>
      <sheetName val="Single Family"/>
    </sheetNames>
    <sheetDataSet>
      <sheetData sheetId="0">
        <row r="32">
          <cell r="O32">
            <v>447912.27600000001</v>
          </cell>
        </row>
      </sheetData>
      <sheetData sheetId="1">
        <row r="20">
          <cell r="M20">
            <v>447210.82758723071</v>
          </cell>
        </row>
      </sheetData>
      <sheetData sheetId="2"/>
      <sheetData sheetId="3"/>
      <sheetData sheetId="4">
        <row r="93">
          <cell r="P93">
            <v>223605.41379361539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LYNNWOOD_SF"/>
      <sheetName val="WUTC_KENT_MF"/>
      <sheetName val="Value"/>
      <sheetName val="Commodity Tonnages"/>
      <sheetName val="Pricing"/>
      <sheetName val="Multi_Family"/>
    </sheetNames>
    <sheetDataSet>
      <sheetData sheetId="0"/>
      <sheetData sheetId="1">
        <row r="32">
          <cell r="O32">
            <v>2681.0947701809991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LYNNWOOD_SF"/>
      <sheetName val="WUTC_AW of Kent (SeaTac)_SF"/>
      <sheetName val="Value"/>
      <sheetName val="Commodity Tonnages"/>
      <sheetName val="Pricing"/>
      <sheetName val="Single Family"/>
    </sheetNames>
    <sheetDataSet>
      <sheetData sheetId="0"/>
      <sheetData sheetId="1">
        <row r="31">
          <cell r="O31">
            <v>96373.835999999996</v>
          </cell>
        </row>
      </sheetData>
      <sheetData sheetId="2">
        <row r="18">
          <cell r="M18">
            <v>96796.93903608399</v>
          </cell>
        </row>
      </sheetData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AW of Kent (SeaTac)_MF"/>
      <sheetName val="Value"/>
      <sheetName val="Commodity Tonnages"/>
      <sheetName val="Pricing"/>
      <sheetName val="Multi_Family"/>
    </sheetNames>
    <sheetDataSet>
      <sheetData sheetId="0">
        <row r="31">
          <cell r="O31">
            <v>3456.9600000000005</v>
          </cell>
        </row>
      </sheetData>
      <sheetData sheetId="1">
        <row r="18">
          <cell r="M18">
            <v>4046.5329604379981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2"/>
      <sheetName val="176"/>
      <sheetName val="183"/>
      <sheetName val="King Co. WUTC"/>
      <sheetName val="Adj King Co. WUTC"/>
    </sheetNames>
    <sheetDataSet>
      <sheetData sheetId="0" refreshError="1">
        <row r="48">
          <cell r="N48">
            <v>71.22</v>
          </cell>
          <cell r="O48">
            <v>66.849192519267021</v>
          </cell>
          <cell r="P48">
            <v>72.476274449476861</v>
          </cell>
          <cell r="Q48">
            <v>70.993497022571574</v>
          </cell>
          <cell r="R48">
            <v>63.466730661093635</v>
          </cell>
          <cell r="S48">
            <v>69.364523089355842</v>
          </cell>
          <cell r="T48">
            <v>72.767808734865937</v>
          </cell>
          <cell r="U48">
            <v>64.78</v>
          </cell>
          <cell r="V48">
            <v>67.83</v>
          </cell>
          <cell r="W48">
            <v>156.0873349391579</v>
          </cell>
          <cell r="X48">
            <v>60.47</v>
          </cell>
          <cell r="Y48">
            <v>64.174627382201052</v>
          </cell>
        </row>
        <row r="49">
          <cell r="N49">
            <v>10.41</v>
          </cell>
          <cell r="O49">
            <v>29.549208152106942</v>
          </cell>
          <cell r="P49">
            <v>30.41353325829737</v>
          </cell>
          <cell r="Q49">
            <v>29.410246415825469</v>
          </cell>
          <cell r="R49">
            <v>25.675144003675985</v>
          </cell>
          <cell r="S49">
            <v>30.641667589777782</v>
          </cell>
          <cell r="T49">
            <v>29.432973280611808</v>
          </cell>
          <cell r="U49">
            <v>25.96</v>
          </cell>
          <cell r="V49">
            <v>27.34</v>
          </cell>
          <cell r="W49">
            <v>87.219006505627476</v>
          </cell>
          <cell r="X49">
            <v>29.72</v>
          </cell>
          <cell r="Y49">
            <v>30.329920604325167</v>
          </cell>
        </row>
        <row r="50">
          <cell r="D50">
            <v>99.394288353367486</v>
          </cell>
          <cell r="E50">
            <v>103.71595925801466</v>
          </cell>
          <cell r="F50">
            <v>99.039999999999992</v>
          </cell>
          <cell r="G50">
            <v>95.24</v>
          </cell>
          <cell r="H50">
            <v>97.52</v>
          </cell>
          <cell r="I50">
            <v>92.16</v>
          </cell>
          <cell r="J50">
            <v>98.240000000000009</v>
          </cell>
          <cell r="K50">
            <v>89.08</v>
          </cell>
          <cell r="L50">
            <v>97.82</v>
          </cell>
          <cell r="M50">
            <v>94.689999999999984</v>
          </cell>
        </row>
        <row r="74">
          <cell r="D74">
            <v>33.079262882909831</v>
          </cell>
          <cell r="E74">
            <v>37.13069177158615</v>
          </cell>
          <cell r="F74">
            <v>36.06</v>
          </cell>
          <cell r="G74">
            <v>37.9</v>
          </cell>
          <cell r="H74">
            <v>37.04</v>
          </cell>
          <cell r="I74">
            <v>37.92</v>
          </cell>
          <cell r="J74">
            <v>35.620000000000005</v>
          </cell>
          <cell r="K74">
            <v>32.909999999999997</v>
          </cell>
          <cell r="L74">
            <v>33.67</v>
          </cell>
          <cell r="M74">
            <v>35.450000000000003</v>
          </cell>
        </row>
        <row r="84">
          <cell r="N84">
            <v>5.58</v>
          </cell>
          <cell r="O84">
            <v>5.7</v>
          </cell>
          <cell r="P84">
            <v>17.760000000000002</v>
          </cell>
          <cell r="Q84">
            <v>13.81</v>
          </cell>
          <cell r="R84">
            <v>13.49</v>
          </cell>
          <cell r="S84">
            <v>16</v>
          </cell>
          <cell r="T84">
            <v>13.45</v>
          </cell>
          <cell r="U84">
            <v>16.29</v>
          </cell>
          <cell r="V84">
            <v>12.4</v>
          </cell>
          <cell r="W84">
            <v>12.06</v>
          </cell>
          <cell r="X84">
            <v>14.55</v>
          </cell>
          <cell r="Y84">
            <v>14.31</v>
          </cell>
        </row>
        <row r="85">
          <cell r="N85">
            <v>29.98</v>
          </cell>
          <cell r="O85">
            <v>19.68</v>
          </cell>
          <cell r="P85">
            <v>26.64</v>
          </cell>
          <cell r="Q85">
            <v>30.82</v>
          </cell>
          <cell r="R85">
            <v>28.57</v>
          </cell>
          <cell r="S85">
            <v>33.869999999999997</v>
          </cell>
          <cell r="T85">
            <v>28.19</v>
          </cell>
          <cell r="U85">
            <v>34.700000000000003</v>
          </cell>
          <cell r="V85">
            <v>31.8</v>
          </cell>
          <cell r="W85">
            <v>28.87</v>
          </cell>
          <cell r="X85">
            <v>35.74</v>
          </cell>
          <cell r="Y85">
            <v>33.46</v>
          </cell>
        </row>
        <row r="86">
          <cell r="D86">
            <v>54.85</v>
          </cell>
          <cell r="E86">
            <v>47.11</v>
          </cell>
          <cell r="F86">
            <v>46.71</v>
          </cell>
          <cell r="G86">
            <v>49.75</v>
          </cell>
          <cell r="H86">
            <v>43.85</v>
          </cell>
          <cell r="I86">
            <v>56.78</v>
          </cell>
          <cell r="J86">
            <v>51.49</v>
          </cell>
          <cell r="K86">
            <v>43.24</v>
          </cell>
          <cell r="L86">
            <v>45.69</v>
          </cell>
          <cell r="M86">
            <v>55.18</v>
          </cell>
        </row>
        <row r="98">
          <cell r="D98">
            <v>54.85</v>
          </cell>
          <cell r="E98">
            <v>47.11</v>
          </cell>
          <cell r="F98">
            <v>46.71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</sheetData>
      <sheetData sheetId="1" refreshError="1">
        <row r="32">
          <cell r="B32">
            <v>108.26293448835952</v>
          </cell>
          <cell r="C32">
            <v>61.61</v>
          </cell>
          <cell r="D32">
            <v>59.17</v>
          </cell>
          <cell r="E32">
            <v>57.58</v>
          </cell>
          <cell r="F32">
            <v>53.6</v>
          </cell>
          <cell r="G32">
            <v>53.8</v>
          </cell>
          <cell r="H32">
            <v>57.03</v>
          </cell>
          <cell r="I32">
            <v>54.86</v>
          </cell>
          <cell r="J32">
            <v>57.17</v>
          </cell>
          <cell r="K32">
            <v>54.620000000000005</v>
          </cell>
          <cell r="L32">
            <v>57.05</v>
          </cell>
          <cell r="M32">
            <v>56.739999999999995</v>
          </cell>
          <cell r="N32">
            <v>61.769999999999996</v>
          </cell>
          <cell r="O32">
            <v>69.210000000000008</v>
          </cell>
          <cell r="P32">
            <v>67.919999999999987</v>
          </cell>
          <cell r="Q32">
            <v>68.569999999999993</v>
          </cell>
          <cell r="R32">
            <v>62.82</v>
          </cell>
          <cell r="S32">
            <v>80.544852742921279</v>
          </cell>
          <cell r="T32">
            <v>67.970294442667083</v>
          </cell>
          <cell r="U32">
            <v>64.019570064902354</v>
          </cell>
          <cell r="V32">
            <v>58.92</v>
          </cell>
          <cell r="W32">
            <v>54.440824277389602</v>
          </cell>
          <cell r="X32">
            <v>59.89</v>
          </cell>
          <cell r="Y32">
            <v>65.155839778960598</v>
          </cell>
        </row>
        <row r="48">
          <cell r="B48">
            <v>9.0100070921985811</v>
          </cell>
          <cell r="C48">
            <v>6.95</v>
          </cell>
          <cell r="D48">
            <v>5.71</v>
          </cell>
          <cell r="E48">
            <v>9.52</v>
          </cell>
          <cell r="F48">
            <v>6.22</v>
          </cell>
          <cell r="G48">
            <v>7.74</v>
          </cell>
          <cell r="H48">
            <v>8.77</v>
          </cell>
          <cell r="I48">
            <v>10.690000000000001</v>
          </cell>
          <cell r="J48">
            <v>12.059999999999999</v>
          </cell>
          <cell r="K48">
            <v>9.52</v>
          </cell>
          <cell r="L48">
            <v>10.84</v>
          </cell>
          <cell r="M48">
            <v>10.050000000000001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12.64</v>
          </cell>
          <cell r="G53">
            <v>13.9</v>
          </cell>
          <cell r="H53">
            <v>8.68</v>
          </cell>
          <cell r="I53">
            <v>12.98</v>
          </cell>
          <cell r="J53">
            <v>16.27</v>
          </cell>
          <cell r="K53">
            <v>13.52</v>
          </cell>
          <cell r="L53">
            <v>7.79</v>
          </cell>
          <cell r="M53">
            <v>15.9</v>
          </cell>
          <cell r="N53">
            <v>14.31</v>
          </cell>
          <cell r="O53">
            <v>10.25</v>
          </cell>
          <cell r="P53">
            <v>14.79</v>
          </cell>
          <cell r="Q53">
            <v>14.75</v>
          </cell>
          <cell r="R53">
            <v>16.59</v>
          </cell>
          <cell r="S53">
            <v>5.22</v>
          </cell>
          <cell r="T53">
            <v>17.989999999999998</v>
          </cell>
          <cell r="U53">
            <v>14.17</v>
          </cell>
          <cell r="V53">
            <v>8.06</v>
          </cell>
          <cell r="W53">
            <v>9</v>
          </cell>
          <cell r="X53">
            <v>16.23</v>
          </cell>
          <cell r="Y53">
            <v>7.94</v>
          </cell>
        </row>
        <row r="64">
          <cell r="I64">
            <v>4.0199999999999996</v>
          </cell>
        </row>
      </sheetData>
      <sheetData sheetId="2" refreshError="1">
        <row r="29">
          <cell r="B29">
            <v>82.833358305375512</v>
          </cell>
          <cell r="C29">
            <v>54.98</v>
          </cell>
          <cell r="D29">
            <v>46.859999999999992</v>
          </cell>
          <cell r="E29">
            <v>54.349999999999994</v>
          </cell>
          <cell r="F29">
            <v>53.55</v>
          </cell>
          <cell r="G29">
            <v>53.43</v>
          </cell>
          <cell r="H29">
            <v>45.08</v>
          </cell>
          <cell r="I29">
            <v>46.57</v>
          </cell>
          <cell r="J29">
            <v>44.290000000000006</v>
          </cell>
          <cell r="K29">
            <v>42.8</v>
          </cell>
          <cell r="L29">
            <v>42.87</v>
          </cell>
          <cell r="M29">
            <v>48.6</v>
          </cell>
          <cell r="N29">
            <v>49.82</v>
          </cell>
          <cell r="O29">
            <v>46.26</v>
          </cell>
          <cell r="P29">
            <v>51.709999999999994</v>
          </cell>
          <cell r="Q29">
            <v>45.620000000000005</v>
          </cell>
          <cell r="R29">
            <v>45.230000000000004</v>
          </cell>
          <cell r="S29">
            <v>49.415450737396625</v>
          </cell>
          <cell r="T29">
            <v>50.239506894427208</v>
          </cell>
          <cell r="U29">
            <v>52.070652406147019</v>
          </cell>
          <cell r="V29">
            <v>47.82</v>
          </cell>
          <cell r="W29">
            <v>40.618539350153171</v>
          </cell>
          <cell r="X29">
            <v>42.38</v>
          </cell>
          <cell r="Y29">
            <v>51.712904659018008</v>
          </cell>
        </row>
        <row r="44">
          <cell r="B44">
            <v>10.72736222372358</v>
          </cell>
          <cell r="C44">
            <v>9.3899999999999988</v>
          </cell>
          <cell r="D44">
            <v>9.3299999999999983</v>
          </cell>
          <cell r="E44">
            <v>10.229999999999999</v>
          </cell>
          <cell r="F44">
            <v>9.11</v>
          </cell>
          <cell r="G44">
            <v>8.86</v>
          </cell>
          <cell r="H44">
            <v>8.65</v>
          </cell>
          <cell r="I44">
            <v>9.9899999999999984</v>
          </cell>
          <cell r="J44">
            <v>10.450000000000001</v>
          </cell>
          <cell r="K44">
            <v>7.07</v>
          </cell>
          <cell r="L44">
            <v>7.21</v>
          </cell>
          <cell r="M44">
            <v>6.32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28.79</v>
          </cell>
          <cell r="G51">
            <v>26.77</v>
          </cell>
          <cell r="H51">
            <v>21.87</v>
          </cell>
          <cell r="I51">
            <v>23.810000000000002</v>
          </cell>
          <cell r="J51">
            <v>30.419999999999998</v>
          </cell>
          <cell r="K51">
            <v>17.86</v>
          </cell>
          <cell r="L51">
            <v>20.5</v>
          </cell>
          <cell r="M51">
            <v>23.27</v>
          </cell>
          <cell r="N51">
            <v>17.939999999999998</v>
          </cell>
          <cell r="O51">
            <v>24.1</v>
          </cell>
          <cell r="P51">
            <v>30.509999999999998</v>
          </cell>
          <cell r="Q51">
            <v>18.78</v>
          </cell>
          <cell r="R51">
            <v>20.259999999999998</v>
          </cell>
          <cell r="S51">
            <v>19.829999999999998</v>
          </cell>
          <cell r="T51">
            <v>26.68</v>
          </cell>
          <cell r="U51">
            <v>13.84</v>
          </cell>
          <cell r="V51">
            <v>17.670000000000002</v>
          </cell>
          <cell r="W51">
            <v>19.04</v>
          </cell>
          <cell r="X51">
            <v>23.4</v>
          </cell>
          <cell r="Y51">
            <v>6.75</v>
          </cell>
        </row>
      </sheetData>
      <sheetData sheetId="3" refreshError="1"/>
      <sheetData sheetId="4" refreshError="1">
        <row r="28">
          <cell r="N28">
            <v>30483.954717520184</v>
          </cell>
        </row>
        <row r="29">
          <cell r="N29">
            <v>14130.858971878377</v>
          </cell>
        </row>
        <row r="30">
          <cell r="N30">
            <v>13423.610042174614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3 Tons"/>
      <sheetName val="MSW Tons"/>
      <sheetName val="Recycle Tons"/>
      <sheetName val="YW Tons"/>
      <sheetName val="Prices"/>
      <sheetName val="MF COUNTS"/>
      <sheetName val="MF YARDS"/>
      <sheetName val="COMMERCIAL COUNTS"/>
      <sheetName val="COMMERCIAL YARDS"/>
      <sheetName val="All Districts -Garbage"/>
      <sheetName val="All Districts-Rec"/>
      <sheetName val="All Districts-Rec Only"/>
      <sheetName val="All Districts-YW"/>
      <sheetName val="All Districts-YW Only"/>
    </sheetNames>
    <sheetDataSet>
      <sheetData sheetId="0">
        <row r="66">
          <cell r="H66">
            <v>821</v>
          </cell>
          <cell r="I66">
            <v>824</v>
          </cell>
          <cell r="J66">
            <v>798</v>
          </cell>
          <cell r="K66">
            <v>797</v>
          </cell>
          <cell r="L66">
            <v>818</v>
          </cell>
          <cell r="M66">
            <v>823</v>
          </cell>
          <cell r="N66">
            <v>814</v>
          </cell>
          <cell r="O66">
            <v>822</v>
          </cell>
        </row>
        <row r="67">
          <cell r="H67">
            <v>490</v>
          </cell>
          <cell r="I67">
            <v>493</v>
          </cell>
          <cell r="J67">
            <v>485</v>
          </cell>
          <cell r="K67">
            <v>486</v>
          </cell>
          <cell r="L67">
            <v>494</v>
          </cell>
          <cell r="M67">
            <v>495</v>
          </cell>
          <cell r="N67">
            <v>484</v>
          </cell>
          <cell r="O67">
            <v>485</v>
          </cell>
        </row>
        <row r="68"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H69">
            <v>60.330834892273778</v>
          </cell>
          <cell r="I69">
            <v>49.329369861700059</v>
          </cell>
          <cell r="J69">
            <v>50.997835780797637</v>
          </cell>
          <cell r="K69">
            <v>67.442372392162426</v>
          </cell>
          <cell r="L69">
            <v>50.581142379356841</v>
          </cell>
          <cell r="M69">
            <v>39.570301286225288</v>
          </cell>
          <cell r="N69">
            <v>47.469894018315458</v>
          </cell>
          <cell r="O69">
            <v>46.2966184032285</v>
          </cell>
        </row>
        <row r="70">
          <cell r="H70">
            <v>22.67521841799428</v>
          </cell>
          <cell r="I70">
            <v>23.444501672622653</v>
          </cell>
          <cell r="J70">
            <v>25.501676564728928</v>
          </cell>
          <cell r="K70">
            <v>32.0804725845327</v>
          </cell>
          <cell r="L70">
            <v>24.229274601066518</v>
          </cell>
          <cell r="M70">
            <v>25.398495337971013</v>
          </cell>
          <cell r="N70">
            <v>21.812418107368991</v>
          </cell>
          <cell r="O70">
            <v>20.102239674771521</v>
          </cell>
        </row>
        <row r="71">
          <cell r="H71">
            <v>47.363141034282812</v>
          </cell>
          <cell r="I71">
            <v>34.82381220578511</v>
          </cell>
          <cell r="J71">
            <v>25.826022378648901</v>
          </cell>
          <cell r="K71">
            <v>17.858482751558878</v>
          </cell>
          <cell r="L71">
            <v>22.562601002889018</v>
          </cell>
          <cell r="M71">
            <v>19.733911200010951</v>
          </cell>
          <cell r="N71">
            <v>28.713713242549328</v>
          </cell>
          <cell r="O71">
            <v>23.67</v>
          </cell>
        </row>
        <row r="90">
          <cell r="H90">
            <v>4680</v>
          </cell>
          <cell r="I90">
            <v>4687</v>
          </cell>
          <cell r="J90">
            <v>2775</v>
          </cell>
          <cell r="K90">
            <v>2788</v>
          </cell>
          <cell r="L90">
            <v>2801</v>
          </cell>
          <cell r="M90">
            <v>2813</v>
          </cell>
          <cell r="N90">
            <v>2766</v>
          </cell>
          <cell r="O90">
            <v>2807</v>
          </cell>
        </row>
        <row r="91">
          <cell r="H91">
            <v>2516</v>
          </cell>
          <cell r="I91">
            <v>2539</v>
          </cell>
          <cell r="J91">
            <v>1380</v>
          </cell>
          <cell r="K91">
            <v>1378</v>
          </cell>
          <cell r="L91">
            <v>1373</v>
          </cell>
          <cell r="M91">
            <v>1366</v>
          </cell>
          <cell r="N91">
            <v>1345</v>
          </cell>
          <cell r="O91">
            <v>1352</v>
          </cell>
        </row>
        <row r="92"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H93">
            <v>283.18807715632857</v>
          </cell>
          <cell r="I93">
            <v>260.26921728364908</v>
          </cell>
          <cell r="J93">
            <v>185.76449795411443</v>
          </cell>
          <cell r="K93">
            <v>203.55413831745287</v>
          </cell>
          <cell r="L93">
            <v>176.43562141189753</v>
          </cell>
          <cell r="M93">
            <v>164.17070426114915</v>
          </cell>
          <cell r="N93">
            <v>158.76142593198219</v>
          </cell>
          <cell r="O93">
            <v>168.94871550087601</v>
          </cell>
        </row>
        <row r="94">
          <cell r="H94">
            <v>113.90237109317114</v>
          </cell>
          <cell r="I94">
            <v>102.82131066216978</v>
          </cell>
          <cell r="J94">
            <v>80.98035695052026</v>
          </cell>
          <cell r="K94">
            <v>66.537661760799708</v>
          </cell>
          <cell r="L94">
            <v>66.439141955297913</v>
          </cell>
          <cell r="M94">
            <v>63.38973304910278</v>
          </cell>
          <cell r="N94">
            <v>67.275243827380493</v>
          </cell>
          <cell r="O94">
            <v>86.684350556423297</v>
          </cell>
        </row>
        <row r="95">
          <cell r="H95">
            <v>274.72472904755136</v>
          </cell>
          <cell r="I95">
            <v>234.2520055662568</v>
          </cell>
          <cell r="J95">
            <v>82.44596036493347</v>
          </cell>
          <cell r="K95">
            <v>58.641846972485695</v>
          </cell>
          <cell r="L95">
            <v>77.678387337640828</v>
          </cell>
          <cell r="M95">
            <v>80.582325041643188</v>
          </cell>
          <cell r="N95">
            <v>72.13572364937842</v>
          </cell>
          <cell r="O95">
            <v>33.627498873429012</v>
          </cell>
        </row>
        <row r="114">
          <cell r="H114">
            <v>0</v>
          </cell>
          <cell r="I114">
            <v>0</v>
          </cell>
          <cell r="J114">
            <v>1843</v>
          </cell>
          <cell r="K114">
            <v>1882</v>
          </cell>
          <cell r="L114">
            <v>1846</v>
          </cell>
          <cell r="M114">
            <v>1855</v>
          </cell>
          <cell r="N114">
            <v>1843</v>
          </cell>
          <cell r="O114">
            <v>1845</v>
          </cell>
        </row>
        <row r="115">
          <cell r="H115">
            <v>0</v>
          </cell>
          <cell r="I115">
            <v>0</v>
          </cell>
          <cell r="J115">
            <v>1141</v>
          </cell>
          <cell r="K115">
            <v>1171</v>
          </cell>
          <cell r="L115">
            <v>1155</v>
          </cell>
          <cell r="M115">
            <v>1158</v>
          </cell>
          <cell r="N115">
            <v>1143</v>
          </cell>
          <cell r="O115">
            <v>1139</v>
          </cell>
        </row>
        <row r="116"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H117">
            <v>0</v>
          </cell>
          <cell r="I117">
            <v>0</v>
          </cell>
          <cell r="J117">
            <v>116.96544418719576</v>
          </cell>
          <cell r="K117">
            <v>110.24889202254715</v>
          </cell>
          <cell r="L117">
            <v>116.6145957647115</v>
          </cell>
          <cell r="M117">
            <v>109.74448933125618</v>
          </cell>
          <cell r="N117">
            <v>89.650673741624175</v>
          </cell>
          <cell r="O117">
            <v>104.77793880227583</v>
          </cell>
        </row>
        <row r="118">
          <cell r="H118">
            <v>0</v>
          </cell>
          <cell r="I118">
            <v>0</v>
          </cell>
          <cell r="J118">
            <v>69.115620527154149</v>
          </cell>
          <cell r="K118">
            <v>46.61901420069298</v>
          </cell>
          <cell r="L118">
            <v>45.805649800982032</v>
          </cell>
          <cell r="M118">
            <v>46.505867590278925</v>
          </cell>
          <cell r="N118">
            <v>48.717834194415708</v>
          </cell>
          <cell r="O118">
            <v>72.566355137403946</v>
          </cell>
        </row>
        <row r="119">
          <cell r="H119">
            <v>0</v>
          </cell>
          <cell r="I119">
            <v>0</v>
          </cell>
          <cell r="J119">
            <v>102.01117020964162</v>
          </cell>
          <cell r="K119">
            <v>75.783897716962173</v>
          </cell>
          <cell r="L119">
            <v>88.621609840230363</v>
          </cell>
          <cell r="M119">
            <v>102.03965419343695</v>
          </cell>
          <cell r="N119">
            <v>106.31160771997628</v>
          </cell>
          <cell r="O119">
            <v>39.368578063059623</v>
          </cell>
        </row>
        <row r="139">
          <cell r="H139">
            <v>1908</v>
          </cell>
          <cell r="I139">
            <v>1924</v>
          </cell>
          <cell r="J139">
            <v>1912</v>
          </cell>
          <cell r="K139">
            <v>1916</v>
          </cell>
          <cell r="L139">
            <v>1927</v>
          </cell>
          <cell r="M139">
            <v>1932</v>
          </cell>
          <cell r="N139">
            <v>1917</v>
          </cell>
          <cell r="O139">
            <v>1924</v>
          </cell>
        </row>
        <row r="140">
          <cell r="H140">
            <v>1170</v>
          </cell>
          <cell r="I140">
            <v>1188</v>
          </cell>
          <cell r="J140">
            <v>1186</v>
          </cell>
          <cell r="K140">
            <v>1196</v>
          </cell>
          <cell r="L140">
            <v>1198</v>
          </cell>
          <cell r="M140">
            <v>1205</v>
          </cell>
          <cell r="N140">
            <v>1196</v>
          </cell>
          <cell r="O140">
            <v>1195</v>
          </cell>
        </row>
        <row r="141"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H142">
            <v>103.60301462209382</v>
          </cell>
          <cell r="I142">
            <v>94.281509152369679</v>
          </cell>
          <cell r="J142">
            <v>123.67179199476534</v>
          </cell>
          <cell r="K142">
            <v>43.751528204573347</v>
          </cell>
          <cell r="L142">
            <v>45.162046604486939</v>
          </cell>
          <cell r="M142">
            <v>114.97186789255313</v>
          </cell>
          <cell r="N142">
            <v>95.114970929042983</v>
          </cell>
          <cell r="O142">
            <v>112.70779691683407</v>
          </cell>
        </row>
        <row r="143">
          <cell r="H143">
            <v>67.936571667558809</v>
          </cell>
          <cell r="I143">
            <v>57.541109505769732</v>
          </cell>
          <cell r="J143">
            <v>53.5607891694968</v>
          </cell>
          <cell r="K143">
            <v>50.856765554839178</v>
          </cell>
          <cell r="L143">
            <v>53.748029422856192</v>
          </cell>
          <cell r="M143">
            <v>73.055328494305812</v>
          </cell>
          <cell r="N143">
            <v>56.518589788367947</v>
          </cell>
          <cell r="O143">
            <v>59.369223039463712</v>
          </cell>
        </row>
        <row r="144">
          <cell r="H144">
            <v>109.42224740352515</v>
          </cell>
          <cell r="I144">
            <v>105.52473714401782</v>
          </cell>
          <cell r="J144">
            <v>122.60418348118277</v>
          </cell>
          <cell r="K144">
            <v>71.204807719966624</v>
          </cell>
          <cell r="L144">
            <v>70.746074286960607</v>
          </cell>
          <cell r="M144">
            <v>75.238218974998119</v>
          </cell>
          <cell r="N144">
            <v>86.464389612408041</v>
          </cell>
          <cell r="O144">
            <v>70.279498030945661</v>
          </cell>
        </row>
        <row r="164">
          <cell r="H164">
            <v>1697</v>
          </cell>
          <cell r="I164">
            <v>1715</v>
          </cell>
          <cell r="J164">
            <v>1687</v>
          </cell>
          <cell r="K164">
            <v>1706</v>
          </cell>
          <cell r="L164">
            <v>1791</v>
          </cell>
          <cell r="M164">
            <v>1797</v>
          </cell>
          <cell r="N164">
            <v>1776</v>
          </cell>
          <cell r="O164">
            <v>1795</v>
          </cell>
        </row>
        <row r="165">
          <cell r="H165">
            <v>842</v>
          </cell>
          <cell r="I165">
            <v>855</v>
          </cell>
          <cell r="J165">
            <v>845</v>
          </cell>
          <cell r="K165">
            <v>854</v>
          </cell>
          <cell r="L165">
            <v>876</v>
          </cell>
          <cell r="M165">
            <v>877</v>
          </cell>
          <cell r="N165">
            <v>868</v>
          </cell>
          <cell r="O165">
            <v>879</v>
          </cell>
        </row>
        <row r="167">
          <cell r="H167">
            <v>113.73132520415047</v>
          </cell>
          <cell r="I167">
            <v>90.520560640027966</v>
          </cell>
          <cell r="J167">
            <v>94.779928301445182</v>
          </cell>
          <cell r="K167">
            <v>119.95287870800979</v>
          </cell>
          <cell r="L167">
            <v>77.785049828307891</v>
          </cell>
          <cell r="M167">
            <v>82.868635581311381</v>
          </cell>
          <cell r="N167">
            <v>103.30804721923536</v>
          </cell>
          <cell r="O167">
            <v>91.392123916948577</v>
          </cell>
        </row>
        <row r="168">
          <cell r="H168">
            <v>39.399799824262601</v>
          </cell>
          <cell r="I168">
            <v>34.446701863814859</v>
          </cell>
          <cell r="J168">
            <v>43.747409304896841</v>
          </cell>
          <cell r="K168">
            <v>57.587375496036529</v>
          </cell>
          <cell r="L168">
            <v>40.312759247183529</v>
          </cell>
          <cell r="M168">
            <v>44.688844030511497</v>
          </cell>
          <cell r="N168">
            <v>33.112343506307504</v>
          </cell>
          <cell r="O168">
            <v>40.41466877322263</v>
          </cell>
        </row>
        <row r="169">
          <cell r="H169">
            <v>108.43094214245642</v>
          </cell>
          <cell r="I169">
            <v>94.408659533963771</v>
          </cell>
          <cell r="J169">
            <v>77.188912655032567</v>
          </cell>
          <cell r="K169">
            <v>73.626310411118112</v>
          </cell>
          <cell r="L169">
            <v>70.943413258170324</v>
          </cell>
          <cell r="M169">
            <v>63.337172717544902</v>
          </cell>
          <cell r="N169">
            <v>70.746790947887519</v>
          </cell>
          <cell r="O169">
            <v>15.871614525210006</v>
          </cell>
        </row>
        <row r="188">
          <cell r="H188">
            <v>3925</v>
          </cell>
          <cell r="I188">
            <v>3966</v>
          </cell>
          <cell r="J188">
            <v>3929</v>
          </cell>
          <cell r="K188">
            <v>3898</v>
          </cell>
          <cell r="L188">
            <v>3958</v>
          </cell>
          <cell r="M188">
            <v>3983</v>
          </cell>
          <cell r="N188">
            <v>3906</v>
          </cell>
          <cell r="O188">
            <v>3961</v>
          </cell>
        </row>
        <row r="189">
          <cell r="H189">
            <v>1381</v>
          </cell>
          <cell r="I189">
            <v>1408</v>
          </cell>
          <cell r="J189">
            <v>1414</v>
          </cell>
          <cell r="K189">
            <v>1416</v>
          </cell>
          <cell r="L189">
            <v>1427</v>
          </cell>
          <cell r="M189">
            <v>1426</v>
          </cell>
          <cell r="N189">
            <v>1392</v>
          </cell>
          <cell r="O189">
            <v>1397</v>
          </cell>
        </row>
        <row r="191">
          <cell r="H191">
            <v>259.04472374043291</v>
          </cell>
          <cell r="I191">
            <v>225.24289296399266</v>
          </cell>
          <cell r="J191">
            <v>253.20379729947169</v>
          </cell>
          <cell r="K191">
            <v>246.88619616610455</v>
          </cell>
          <cell r="L191">
            <v>244.77674528096529</v>
          </cell>
          <cell r="M191">
            <v>262.6622740401196</v>
          </cell>
          <cell r="N191">
            <v>236.72075645855804</v>
          </cell>
          <cell r="O191">
            <v>223.70602869188474</v>
          </cell>
        </row>
        <row r="192">
          <cell r="H192">
            <v>136.42431213469388</v>
          </cell>
          <cell r="I192">
            <v>103.66091178320748</v>
          </cell>
          <cell r="J192">
            <v>94.306179160652462</v>
          </cell>
          <cell r="K192">
            <v>94.523015266549379</v>
          </cell>
          <cell r="L192">
            <v>119.1997562700803</v>
          </cell>
          <cell r="M192">
            <v>128.7954623327455</v>
          </cell>
          <cell r="N192">
            <v>118.66879351254551</v>
          </cell>
          <cell r="O192">
            <v>110.29520506491673</v>
          </cell>
        </row>
        <row r="193">
          <cell r="H193">
            <v>155.97178393516168</v>
          </cell>
          <cell r="I193">
            <v>115.61905146819784</v>
          </cell>
          <cell r="J193">
            <v>96.125379064709847</v>
          </cell>
          <cell r="K193">
            <v>59.047982230237849</v>
          </cell>
          <cell r="L193">
            <v>89.924036751727158</v>
          </cell>
          <cell r="M193">
            <v>68.293374127918781</v>
          </cell>
          <cell r="N193">
            <v>102.15660788654424</v>
          </cell>
          <cell r="O193">
            <v>47.469837410391278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3 Tons"/>
      <sheetName val="MSW Tons"/>
      <sheetName val="Recycle Tons"/>
      <sheetName val="YW Tons"/>
      <sheetName val="Prices"/>
      <sheetName val="MF COUNTS"/>
      <sheetName val="MF YARDS"/>
      <sheetName val="COMMERCIAL COUNTS"/>
      <sheetName val="COMMERCIAL YARDS"/>
      <sheetName val="All Districts -Garbage"/>
      <sheetName val="All Districts-Rec"/>
      <sheetName val="All Districts-Rec Only"/>
      <sheetName val="All Districts-YW"/>
      <sheetName val="All Districts-YW Only"/>
    </sheetNames>
    <sheetDataSet>
      <sheetData sheetId="0">
        <row r="66">
          <cell r="D66">
            <v>817</v>
          </cell>
          <cell r="E66">
            <v>818</v>
          </cell>
          <cell r="F66">
            <v>825</v>
          </cell>
          <cell r="G66">
            <v>825</v>
          </cell>
        </row>
        <row r="67">
          <cell r="D67">
            <v>483</v>
          </cell>
          <cell r="E67">
            <v>482</v>
          </cell>
          <cell r="F67">
            <v>484</v>
          </cell>
          <cell r="G67">
            <v>488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D69">
            <v>55.993458133532265</v>
          </cell>
          <cell r="E69">
            <v>40.716003658099396</v>
          </cell>
          <cell r="F69">
            <v>47.609455652333047</v>
          </cell>
          <cell r="G69">
            <v>50.051281179343029</v>
          </cell>
        </row>
        <row r="70">
          <cell r="D70">
            <v>36.233321080667231</v>
          </cell>
          <cell r="E70">
            <v>19.382704297636529</v>
          </cell>
          <cell r="F70">
            <v>25.604192235308947</v>
          </cell>
          <cell r="G70">
            <v>13.957297529528878</v>
          </cell>
        </row>
        <row r="71">
          <cell r="D71">
            <v>12.411954884086606</v>
          </cell>
          <cell r="E71">
            <v>7.3952899424005816</v>
          </cell>
          <cell r="F71">
            <v>14.603909254150141</v>
          </cell>
          <cell r="G71">
            <v>35.220839409462606</v>
          </cell>
        </row>
        <row r="90">
          <cell r="D90">
            <v>2781</v>
          </cell>
          <cell r="E90">
            <v>2783</v>
          </cell>
          <cell r="F90">
            <v>2825</v>
          </cell>
          <cell r="G90">
            <v>2797</v>
          </cell>
        </row>
        <row r="91">
          <cell r="D91">
            <v>1331</v>
          </cell>
          <cell r="E91">
            <v>1324</v>
          </cell>
          <cell r="F91">
            <v>1345</v>
          </cell>
          <cell r="G91">
            <v>1353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D93">
            <v>172.64923740860823</v>
          </cell>
          <cell r="E93">
            <v>146.90342810455621</v>
          </cell>
          <cell r="F93">
            <v>150.07156422350894</v>
          </cell>
          <cell r="G93">
            <v>188.80191596138209</v>
          </cell>
        </row>
        <row r="94">
          <cell r="D94">
            <v>91.787145573581455</v>
          </cell>
          <cell r="E94">
            <v>59.935177328212916</v>
          </cell>
          <cell r="F94">
            <v>64.423285663727654</v>
          </cell>
          <cell r="G94">
            <v>61.744007261304617</v>
          </cell>
        </row>
        <row r="95">
          <cell r="D95">
            <v>35.595265492347721</v>
          </cell>
          <cell r="E95">
            <v>21.507459907032942</v>
          </cell>
          <cell r="F95">
            <v>51.513649009384856</v>
          </cell>
          <cell r="G95">
            <v>131.32009336358507</v>
          </cell>
        </row>
        <row r="114">
          <cell r="D114">
            <v>1817</v>
          </cell>
          <cell r="E114">
            <v>1837</v>
          </cell>
          <cell r="F114">
            <v>1847</v>
          </cell>
          <cell r="G114">
            <v>1816</v>
          </cell>
        </row>
        <row r="115">
          <cell r="D115">
            <v>1126</v>
          </cell>
          <cell r="E115">
            <v>1128</v>
          </cell>
          <cell r="F115">
            <v>1134</v>
          </cell>
          <cell r="G115">
            <v>1130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D117">
            <v>95.086063151948153</v>
          </cell>
          <cell r="E117">
            <v>83.804476708025121</v>
          </cell>
          <cell r="F117">
            <v>99.679518895030569</v>
          </cell>
          <cell r="G117">
            <v>102.59512925818971</v>
          </cell>
        </row>
        <row r="118">
          <cell r="D118">
            <v>58.749421922204192</v>
          </cell>
          <cell r="E118">
            <v>48.263473044873543</v>
          </cell>
          <cell r="F118">
            <v>51.483666914559649</v>
          </cell>
          <cell r="G118">
            <v>41.50314170632538</v>
          </cell>
        </row>
        <row r="119">
          <cell r="D119">
            <v>40.962024117101777</v>
          </cell>
          <cell r="E119">
            <v>22.5333803652649</v>
          </cell>
          <cell r="F119">
            <v>81.546488675591178</v>
          </cell>
          <cell r="G119">
            <v>128.60012629512605</v>
          </cell>
        </row>
        <row r="139">
          <cell r="D139">
            <v>1913</v>
          </cell>
          <cell r="E139">
            <v>1914</v>
          </cell>
          <cell r="F139">
            <v>1923</v>
          </cell>
          <cell r="G139">
            <v>1927</v>
          </cell>
        </row>
        <row r="140">
          <cell r="D140">
            <v>1182</v>
          </cell>
          <cell r="E140">
            <v>1184</v>
          </cell>
          <cell r="F140">
            <v>1197</v>
          </cell>
          <cell r="G140">
            <v>1206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D142">
            <v>97.918200566762479</v>
          </cell>
          <cell r="E142">
            <v>72.763468856900417</v>
          </cell>
          <cell r="F142">
            <v>71.647697932595122</v>
          </cell>
          <cell r="G142">
            <v>104.66808939408629</v>
          </cell>
        </row>
        <row r="143">
          <cell r="D143">
            <v>57.955126414445097</v>
          </cell>
          <cell r="E143">
            <v>48.022940406872458</v>
          </cell>
          <cell r="F143">
            <v>60.61142528243775</v>
          </cell>
          <cell r="G143">
            <v>77.594354174969553</v>
          </cell>
        </row>
        <row r="144">
          <cell r="D144">
            <v>67.663617219416906</v>
          </cell>
          <cell r="E144">
            <v>38.678726536064801</v>
          </cell>
          <cell r="F144">
            <v>89.241100816308247</v>
          </cell>
          <cell r="G144">
            <v>108.68455227416295</v>
          </cell>
        </row>
        <row r="164">
          <cell r="D164">
            <v>1759</v>
          </cell>
          <cell r="E164">
            <v>1780</v>
          </cell>
          <cell r="F164">
            <v>1802</v>
          </cell>
          <cell r="G164">
            <v>1766</v>
          </cell>
        </row>
        <row r="165">
          <cell r="D165">
            <v>864</v>
          </cell>
          <cell r="E165">
            <v>865</v>
          </cell>
          <cell r="F165">
            <v>873</v>
          </cell>
          <cell r="G165">
            <v>873</v>
          </cell>
        </row>
        <row r="167">
          <cell r="D167">
            <v>109.84873855719695</v>
          </cell>
          <cell r="E167">
            <v>82.48011034077966</v>
          </cell>
          <cell r="F167">
            <v>95.198021308166901</v>
          </cell>
          <cell r="G167">
            <v>97.997762787529581</v>
          </cell>
        </row>
        <row r="168">
          <cell r="D168">
            <v>61.825575557264507</v>
          </cell>
          <cell r="E168">
            <v>41.363097254843296</v>
          </cell>
          <cell r="F168">
            <v>42.591865190860439</v>
          </cell>
          <cell r="G168">
            <v>41.342282137525672</v>
          </cell>
        </row>
        <row r="169">
          <cell r="D169">
            <v>35.503172848173968</v>
          </cell>
          <cell r="E169">
            <v>16.030663988397198</v>
          </cell>
          <cell r="F169">
            <v>52.278048820761327</v>
          </cell>
          <cell r="G169">
            <v>86.873200229531108</v>
          </cell>
        </row>
        <row r="188">
          <cell r="D188">
            <v>3925</v>
          </cell>
          <cell r="E188">
            <v>3949</v>
          </cell>
          <cell r="F188">
            <v>3998</v>
          </cell>
          <cell r="G188">
            <v>3970</v>
          </cell>
        </row>
        <row r="189">
          <cell r="D189">
            <v>1394</v>
          </cell>
          <cell r="E189">
            <v>1383</v>
          </cell>
          <cell r="F189">
            <v>1427</v>
          </cell>
          <cell r="G189">
            <v>1441</v>
          </cell>
        </row>
        <row r="191">
          <cell r="D191">
            <v>255.42843976876679</v>
          </cell>
          <cell r="E191">
            <v>216.62312817016647</v>
          </cell>
          <cell r="F191">
            <v>228.13502457427074</v>
          </cell>
          <cell r="G191">
            <v>231.72458130923627</v>
          </cell>
        </row>
        <row r="192">
          <cell r="D192">
            <v>96.112200357212188</v>
          </cell>
          <cell r="E192">
            <v>99.254644955392735</v>
          </cell>
          <cell r="F192">
            <v>105.29809798231983</v>
          </cell>
          <cell r="G192">
            <v>126.87932505046543</v>
          </cell>
        </row>
        <row r="193">
          <cell r="D193">
            <v>28.827535535272563</v>
          </cell>
          <cell r="E193">
            <v>18.000979949678278</v>
          </cell>
          <cell r="F193">
            <v>35.192655063540023</v>
          </cell>
          <cell r="G193">
            <v>70.80028196623509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60"/>
  <sheetViews>
    <sheetView zoomScale="85" zoomScaleNormal="85" workbookViewId="0">
      <selection activeCell="B11" sqref="B11"/>
    </sheetView>
  </sheetViews>
  <sheetFormatPr defaultRowHeight="15" x14ac:dyDescent="0.25"/>
  <cols>
    <col min="1" max="1" width="59.42578125" style="2" bestFit="1" customWidth="1"/>
    <col min="2" max="2" width="20" style="2" customWidth="1"/>
    <col min="3" max="3" width="2.5703125" style="2" customWidth="1"/>
    <col min="4" max="4" width="19.42578125" style="2" customWidth="1"/>
    <col min="5" max="5" width="11.7109375" style="2" bestFit="1" customWidth="1"/>
    <col min="6" max="6" width="19.42578125" style="2" bestFit="1" customWidth="1"/>
    <col min="7" max="7" width="1.85546875" style="2" customWidth="1"/>
    <col min="8" max="8" width="10" style="2" bestFit="1" customWidth="1"/>
    <col min="9" max="256" width="9.140625" style="2"/>
    <col min="257" max="257" width="59.42578125" style="2" bestFit="1" customWidth="1"/>
    <col min="258" max="258" width="22.7109375" style="2" customWidth="1"/>
    <col min="259" max="259" width="5.7109375" style="2" bestFit="1" customWidth="1"/>
    <col min="260" max="260" width="22.7109375" style="2" customWidth="1"/>
    <col min="261" max="261" width="3.7109375" style="2" customWidth="1"/>
    <col min="262" max="262" width="19.42578125" style="2" bestFit="1" customWidth="1"/>
    <col min="263" max="263" width="9.85546875" style="2" bestFit="1" customWidth="1"/>
    <col min="264" max="512" width="9.140625" style="2"/>
    <col min="513" max="513" width="59.42578125" style="2" bestFit="1" customWidth="1"/>
    <col min="514" max="514" width="22.7109375" style="2" customWidth="1"/>
    <col min="515" max="515" width="5.7109375" style="2" bestFit="1" customWidth="1"/>
    <col min="516" max="516" width="22.7109375" style="2" customWidth="1"/>
    <col min="517" max="517" width="3.7109375" style="2" customWidth="1"/>
    <col min="518" max="518" width="19.42578125" style="2" bestFit="1" customWidth="1"/>
    <col min="519" max="519" width="9.85546875" style="2" bestFit="1" customWidth="1"/>
    <col min="520" max="768" width="9.140625" style="2"/>
    <col min="769" max="769" width="59.42578125" style="2" bestFit="1" customWidth="1"/>
    <col min="770" max="770" width="22.7109375" style="2" customWidth="1"/>
    <col min="771" max="771" width="5.7109375" style="2" bestFit="1" customWidth="1"/>
    <col min="772" max="772" width="22.7109375" style="2" customWidth="1"/>
    <col min="773" max="773" width="3.7109375" style="2" customWidth="1"/>
    <col min="774" max="774" width="19.42578125" style="2" bestFit="1" customWidth="1"/>
    <col min="775" max="775" width="9.85546875" style="2" bestFit="1" customWidth="1"/>
    <col min="776" max="1024" width="9.140625" style="2"/>
    <col min="1025" max="1025" width="59.42578125" style="2" bestFit="1" customWidth="1"/>
    <col min="1026" max="1026" width="22.7109375" style="2" customWidth="1"/>
    <col min="1027" max="1027" width="5.7109375" style="2" bestFit="1" customWidth="1"/>
    <col min="1028" max="1028" width="22.7109375" style="2" customWidth="1"/>
    <col min="1029" max="1029" width="3.7109375" style="2" customWidth="1"/>
    <col min="1030" max="1030" width="19.42578125" style="2" bestFit="1" customWidth="1"/>
    <col min="1031" max="1031" width="9.85546875" style="2" bestFit="1" customWidth="1"/>
    <col min="1032" max="1280" width="9.140625" style="2"/>
    <col min="1281" max="1281" width="59.42578125" style="2" bestFit="1" customWidth="1"/>
    <col min="1282" max="1282" width="22.7109375" style="2" customWidth="1"/>
    <col min="1283" max="1283" width="5.7109375" style="2" bestFit="1" customWidth="1"/>
    <col min="1284" max="1284" width="22.7109375" style="2" customWidth="1"/>
    <col min="1285" max="1285" width="3.7109375" style="2" customWidth="1"/>
    <col min="1286" max="1286" width="19.42578125" style="2" bestFit="1" customWidth="1"/>
    <col min="1287" max="1287" width="9.85546875" style="2" bestFit="1" customWidth="1"/>
    <col min="1288" max="1536" width="9.140625" style="2"/>
    <col min="1537" max="1537" width="59.42578125" style="2" bestFit="1" customWidth="1"/>
    <col min="1538" max="1538" width="22.7109375" style="2" customWidth="1"/>
    <col min="1539" max="1539" width="5.7109375" style="2" bestFit="1" customWidth="1"/>
    <col min="1540" max="1540" width="22.7109375" style="2" customWidth="1"/>
    <col min="1541" max="1541" width="3.7109375" style="2" customWidth="1"/>
    <col min="1542" max="1542" width="19.42578125" style="2" bestFit="1" customWidth="1"/>
    <col min="1543" max="1543" width="9.85546875" style="2" bestFit="1" customWidth="1"/>
    <col min="1544" max="1792" width="9.140625" style="2"/>
    <col min="1793" max="1793" width="59.42578125" style="2" bestFit="1" customWidth="1"/>
    <col min="1794" max="1794" width="22.7109375" style="2" customWidth="1"/>
    <col min="1795" max="1795" width="5.7109375" style="2" bestFit="1" customWidth="1"/>
    <col min="1796" max="1796" width="22.7109375" style="2" customWidth="1"/>
    <col min="1797" max="1797" width="3.7109375" style="2" customWidth="1"/>
    <col min="1798" max="1798" width="19.42578125" style="2" bestFit="1" customWidth="1"/>
    <col min="1799" max="1799" width="9.85546875" style="2" bestFit="1" customWidth="1"/>
    <col min="1800" max="2048" width="9.140625" style="2"/>
    <col min="2049" max="2049" width="59.42578125" style="2" bestFit="1" customWidth="1"/>
    <col min="2050" max="2050" width="22.7109375" style="2" customWidth="1"/>
    <col min="2051" max="2051" width="5.7109375" style="2" bestFit="1" customWidth="1"/>
    <col min="2052" max="2052" width="22.7109375" style="2" customWidth="1"/>
    <col min="2053" max="2053" width="3.7109375" style="2" customWidth="1"/>
    <col min="2054" max="2054" width="19.42578125" style="2" bestFit="1" customWidth="1"/>
    <col min="2055" max="2055" width="9.85546875" style="2" bestFit="1" customWidth="1"/>
    <col min="2056" max="2304" width="9.140625" style="2"/>
    <col min="2305" max="2305" width="59.42578125" style="2" bestFit="1" customWidth="1"/>
    <col min="2306" max="2306" width="22.7109375" style="2" customWidth="1"/>
    <col min="2307" max="2307" width="5.7109375" style="2" bestFit="1" customWidth="1"/>
    <col min="2308" max="2308" width="22.7109375" style="2" customWidth="1"/>
    <col min="2309" max="2309" width="3.7109375" style="2" customWidth="1"/>
    <col min="2310" max="2310" width="19.42578125" style="2" bestFit="1" customWidth="1"/>
    <col min="2311" max="2311" width="9.85546875" style="2" bestFit="1" customWidth="1"/>
    <col min="2312" max="2560" width="9.140625" style="2"/>
    <col min="2561" max="2561" width="59.42578125" style="2" bestFit="1" customWidth="1"/>
    <col min="2562" max="2562" width="22.7109375" style="2" customWidth="1"/>
    <col min="2563" max="2563" width="5.7109375" style="2" bestFit="1" customWidth="1"/>
    <col min="2564" max="2564" width="22.7109375" style="2" customWidth="1"/>
    <col min="2565" max="2565" width="3.7109375" style="2" customWidth="1"/>
    <col min="2566" max="2566" width="19.42578125" style="2" bestFit="1" customWidth="1"/>
    <col min="2567" max="2567" width="9.85546875" style="2" bestFit="1" customWidth="1"/>
    <col min="2568" max="2816" width="9.140625" style="2"/>
    <col min="2817" max="2817" width="59.42578125" style="2" bestFit="1" customWidth="1"/>
    <col min="2818" max="2818" width="22.7109375" style="2" customWidth="1"/>
    <col min="2819" max="2819" width="5.7109375" style="2" bestFit="1" customWidth="1"/>
    <col min="2820" max="2820" width="22.7109375" style="2" customWidth="1"/>
    <col min="2821" max="2821" width="3.7109375" style="2" customWidth="1"/>
    <col min="2822" max="2822" width="19.42578125" style="2" bestFit="1" customWidth="1"/>
    <col min="2823" max="2823" width="9.85546875" style="2" bestFit="1" customWidth="1"/>
    <col min="2824" max="3072" width="9.140625" style="2"/>
    <col min="3073" max="3073" width="59.42578125" style="2" bestFit="1" customWidth="1"/>
    <col min="3074" max="3074" width="22.7109375" style="2" customWidth="1"/>
    <col min="3075" max="3075" width="5.7109375" style="2" bestFit="1" customWidth="1"/>
    <col min="3076" max="3076" width="22.7109375" style="2" customWidth="1"/>
    <col min="3077" max="3077" width="3.7109375" style="2" customWidth="1"/>
    <col min="3078" max="3078" width="19.42578125" style="2" bestFit="1" customWidth="1"/>
    <col min="3079" max="3079" width="9.85546875" style="2" bestFit="1" customWidth="1"/>
    <col min="3080" max="3328" width="9.140625" style="2"/>
    <col min="3329" max="3329" width="59.42578125" style="2" bestFit="1" customWidth="1"/>
    <col min="3330" max="3330" width="22.7109375" style="2" customWidth="1"/>
    <col min="3331" max="3331" width="5.7109375" style="2" bestFit="1" customWidth="1"/>
    <col min="3332" max="3332" width="22.7109375" style="2" customWidth="1"/>
    <col min="3333" max="3333" width="3.7109375" style="2" customWidth="1"/>
    <col min="3334" max="3334" width="19.42578125" style="2" bestFit="1" customWidth="1"/>
    <col min="3335" max="3335" width="9.85546875" style="2" bestFit="1" customWidth="1"/>
    <col min="3336" max="3584" width="9.140625" style="2"/>
    <col min="3585" max="3585" width="59.42578125" style="2" bestFit="1" customWidth="1"/>
    <col min="3586" max="3586" width="22.7109375" style="2" customWidth="1"/>
    <col min="3587" max="3587" width="5.7109375" style="2" bestFit="1" customWidth="1"/>
    <col min="3588" max="3588" width="22.7109375" style="2" customWidth="1"/>
    <col min="3589" max="3589" width="3.7109375" style="2" customWidth="1"/>
    <col min="3590" max="3590" width="19.42578125" style="2" bestFit="1" customWidth="1"/>
    <col min="3591" max="3591" width="9.85546875" style="2" bestFit="1" customWidth="1"/>
    <col min="3592" max="3840" width="9.140625" style="2"/>
    <col min="3841" max="3841" width="59.42578125" style="2" bestFit="1" customWidth="1"/>
    <col min="3842" max="3842" width="22.7109375" style="2" customWidth="1"/>
    <col min="3843" max="3843" width="5.7109375" style="2" bestFit="1" customWidth="1"/>
    <col min="3844" max="3844" width="22.7109375" style="2" customWidth="1"/>
    <col min="3845" max="3845" width="3.7109375" style="2" customWidth="1"/>
    <col min="3846" max="3846" width="19.42578125" style="2" bestFit="1" customWidth="1"/>
    <col min="3847" max="3847" width="9.85546875" style="2" bestFit="1" customWidth="1"/>
    <col min="3848" max="4096" width="9.140625" style="2"/>
    <col min="4097" max="4097" width="59.42578125" style="2" bestFit="1" customWidth="1"/>
    <col min="4098" max="4098" width="22.7109375" style="2" customWidth="1"/>
    <col min="4099" max="4099" width="5.7109375" style="2" bestFit="1" customWidth="1"/>
    <col min="4100" max="4100" width="22.7109375" style="2" customWidth="1"/>
    <col min="4101" max="4101" width="3.7109375" style="2" customWidth="1"/>
    <col min="4102" max="4102" width="19.42578125" style="2" bestFit="1" customWidth="1"/>
    <col min="4103" max="4103" width="9.85546875" style="2" bestFit="1" customWidth="1"/>
    <col min="4104" max="4352" width="9.140625" style="2"/>
    <col min="4353" max="4353" width="59.42578125" style="2" bestFit="1" customWidth="1"/>
    <col min="4354" max="4354" width="22.7109375" style="2" customWidth="1"/>
    <col min="4355" max="4355" width="5.7109375" style="2" bestFit="1" customWidth="1"/>
    <col min="4356" max="4356" width="22.7109375" style="2" customWidth="1"/>
    <col min="4357" max="4357" width="3.7109375" style="2" customWidth="1"/>
    <col min="4358" max="4358" width="19.42578125" style="2" bestFit="1" customWidth="1"/>
    <col min="4359" max="4359" width="9.85546875" style="2" bestFit="1" customWidth="1"/>
    <col min="4360" max="4608" width="9.140625" style="2"/>
    <col min="4609" max="4609" width="59.42578125" style="2" bestFit="1" customWidth="1"/>
    <col min="4610" max="4610" width="22.7109375" style="2" customWidth="1"/>
    <col min="4611" max="4611" width="5.7109375" style="2" bestFit="1" customWidth="1"/>
    <col min="4612" max="4612" width="22.7109375" style="2" customWidth="1"/>
    <col min="4613" max="4613" width="3.7109375" style="2" customWidth="1"/>
    <col min="4614" max="4614" width="19.42578125" style="2" bestFit="1" customWidth="1"/>
    <col min="4615" max="4615" width="9.85546875" style="2" bestFit="1" customWidth="1"/>
    <col min="4616" max="4864" width="9.140625" style="2"/>
    <col min="4865" max="4865" width="59.42578125" style="2" bestFit="1" customWidth="1"/>
    <col min="4866" max="4866" width="22.7109375" style="2" customWidth="1"/>
    <col min="4867" max="4867" width="5.7109375" style="2" bestFit="1" customWidth="1"/>
    <col min="4868" max="4868" width="22.7109375" style="2" customWidth="1"/>
    <col min="4869" max="4869" width="3.7109375" style="2" customWidth="1"/>
    <col min="4870" max="4870" width="19.42578125" style="2" bestFit="1" customWidth="1"/>
    <col min="4871" max="4871" width="9.85546875" style="2" bestFit="1" customWidth="1"/>
    <col min="4872" max="5120" width="9.140625" style="2"/>
    <col min="5121" max="5121" width="59.42578125" style="2" bestFit="1" customWidth="1"/>
    <col min="5122" max="5122" width="22.7109375" style="2" customWidth="1"/>
    <col min="5123" max="5123" width="5.7109375" style="2" bestFit="1" customWidth="1"/>
    <col min="5124" max="5124" width="22.7109375" style="2" customWidth="1"/>
    <col min="5125" max="5125" width="3.7109375" style="2" customWidth="1"/>
    <col min="5126" max="5126" width="19.42578125" style="2" bestFit="1" customWidth="1"/>
    <col min="5127" max="5127" width="9.85546875" style="2" bestFit="1" customWidth="1"/>
    <col min="5128" max="5376" width="9.140625" style="2"/>
    <col min="5377" max="5377" width="59.42578125" style="2" bestFit="1" customWidth="1"/>
    <col min="5378" max="5378" width="22.7109375" style="2" customWidth="1"/>
    <col min="5379" max="5379" width="5.7109375" style="2" bestFit="1" customWidth="1"/>
    <col min="5380" max="5380" width="22.7109375" style="2" customWidth="1"/>
    <col min="5381" max="5381" width="3.7109375" style="2" customWidth="1"/>
    <col min="5382" max="5382" width="19.42578125" style="2" bestFit="1" customWidth="1"/>
    <col min="5383" max="5383" width="9.85546875" style="2" bestFit="1" customWidth="1"/>
    <col min="5384" max="5632" width="9.140625" style="2"/>
    <col min="5633" max="5633" width="59.42578125" style="2" bestFit="1" customWidth="1"/>
    <col min="5634" max="5634" width="22.7109375" style="2" customWidth="1"/>
    <col min="5635" max="5635" width="5.7109375" style="2" bestFit="1" customWidth="1"/>
    <col min="5636" max="5636" width="22.7109375" style="2" customWidth="1"/>
    <col min="5637" max="5637" width="3.7109375" style="2" customWidth="1"/>
    <col min="5638" max="5638" width="19.42578125" style="2" bestFit="1" customWidth="1"/>
    <col min="5639" max="5639" width="9.85546875" style="2" bestFit="1" customWidth="1"/>
    <col min="5640" max="5888" width="9.140625" style="2"/>
    <col min="5889" max="5889" width="59.42578125" style="2" bestFit="1" customWidth="1"/>
    <col min="5890" max="5890" width="22.7109375" style="2" customWidth="1"/>
    <col min="5891" max="5891" width="5.7109375" style="2" bestFit="1" customWidth="1"/>
    <col min="5892" max="5892" width="22.7109375" style="2" customWidth="1"/>
    <col min="5893" max="5893" width="3.7109375" style="2" customWidth="1"/>
    <col min="5894" max="5894" width="19.42578125" style="2" bestFit="1" customWidth="1"/>
    <col min="5895" max="5895" width="9.85546875" style="2" bestFit="1" customWidth="1"/>
    <col min="5896" max="6144" width="9.140625" style="2"/>
    <col min="6145" max="6145" width="59.42578125" style="2" bestFit="1" customWidth="1"/>
    <col min="6146" max="6146" width="22.7109375" style="2" customWidth="1"/>
    <col min="6147" max="6147" width="5.7109375" style="2" bestFit="1" customWidth="1"/>
    <col min="6148" max="6148" width="22.7109375" style="2" customWidth="1"/>
    <col min="6149" max="6149" width="3.7109375" style="2" customWidth="1"/>
    <col min="6150" max="6150" width="19.42578125" style="2" bestFit="1" customWidth="1"/>
    <col min="6151" max="6151" width="9.85546875" style="2" bestFit="1" customWidth="1"/>
    <col min="6152" max="6400" width="9.140625" style="2"/>
    <col min="6401" max="6401" width="59.42578125" style="2" bestFit="1" customWidth="1"/>
    <col min="6402" max="6402" width="22.7109375" style="2" customWidth="1"/>
    <col min="6403" max="6403" width="5.7109375" style="2" bestFit="1" customWidth="1"/>
    <col min="6404" max="6404" width="22.7109375" style="2" customWidth="1"/>
    <col min="6405" max="6405" width="3.7109375" style="2" customWidth="1"/>
    <col min="6406" max="6406" width="19.42578125" style="2" bestFit="1" customWidth="1"/>
    <col min="6407" max="6407" width="9.85546875" style="2" bestFit="1" customWidth="1"/>
    <col min="6408" max="6656" width="9.140625" style="2"/>
    <col min="6657" max="6657" width="59.42578125" style="2" bestFit="1" customWidth="1"/>
    <col min="6658" max="6658" width="22.7109375" style="2" customWidth="1"/>
    <col min="6659" max="6659" width="5.7109375" style="2" bestFit="1" customWidth="1"/>
    <col min="6660" max="6660" width="22.7109375" style="2" customWidth="1"/>
    <col min="6661" max="6661" width="3.7109375" style="2" customWidth="1"/>
    <col min="6662" max="6662" width="19.42578125" style="2" bestFit="1" customWidth="1"/>
    <col min="6663" max="6663" width="9.85546875" style="2" bestFit="1" customWidth="1"/>
    <col min="6664" max="6912" width="9.140625" style="2"/>
    <col min="6913" max="6913" width="59.42578125" style="2" bestFit="1" customWidth="1"/>
    <col min="6914" max="6914" width="22.7109375" style="2" customWidth="1"/>
    <col min="6915" max="6915" width="5.7109375" style="2" bestFit="1" customWidth="1"/>
    <col min="6916" max="6916" width="22.7109375" style="2" customWidth="1"/>
    <col min="6917" max="6917" width="3.7109375" style="2" customWidth="1"/>
    <col min="6918" max="6918" width="19.42578125" style="2" bestFit="1" customWidth="1"/>
    <col min="6919" max="6919" width="9.85546875" style="2" bestFit="1" customWidth="1"/>
    <col min="6920" max="7168" width="9.140625" style="2"/>
    <col min="7169" max="7169" width="59.42578125" style="2" bestFit="1" customWidth="1"/>
    <col min="7170" max="7170" width="22.7109375" style="2" customWidth="1"/>
    <col min="7171" max="7171" width="5.7109375" style="2" bestFit="1" customWidth="1"/>
    <col min="7172" max="7172" width="22.7109375" style="2" customWidth="1"/>
    <col min="7173" max="7173" width="3.7109375" style="2" customWidth="1"/>
    <col min="7174" max="7174" width="19.42578125" style="2" bestFit="1" customWidth="1"/>
    <col min="7175" max="7175" width="9.85546875" style="2" bestFit="1" customWidth="1"/>
    <col min="7176" max="7424" width="9.140625" style="2"/>
    <col min="7425" max="7425" width="59.42578125" style="2" bestFit="1" customWidth="1"/>
    <col min="7426" max="7426" width="22.7109375" style="2" customWidth="1"/>
    <col min="7427" max="7427" width="5.7109375" style="2" bestFit="1" customWidth="1"/>
    <col min="7428" max="7428" width="22.7109375" style="2" customWidth="1"/>
    <col min="7429" max="7429" width="3.7109375" style="2" customWidth="1"/>
    <col min="7430" max="7430" width="19.42578125" style="2" bestFit="1" customWidth="1"/>
    <col min="7431" max="7431" width="9.85546875" style="2" bestFit="1" customWidth="1"/>
    <col min="7432" max="7680" width="9.140625" style="2"/>
    <col min="7681" max="7681" width="59.42578125" style="2" bestFit="1" customWidth="1"/>
    <col min="7682" max="7682" width="22.7109375" style="2" customWidth="1"/>
    <col min="7683" max="7683" width="5.7109375" style="2" bestFit="1" customWidth="1"/>
    <col min="7684" max="7684" width="22.7109375" style="2" customWidth="1"/>
    <col min="7685" max="7685" width="3.7109375" style="2" customWidth="1"/>
    <col min="7686" max="7686" width="19.42578125" style="2" bestFit="1" customWidth="1"/>
    <col min="7687" max="7687" width="9.85546875" style="2" bestFit="1" customWidth="1"/>
    <col min="7688" max="7936" width="9.140625" style="2"/>
    <col min="7937" max="7937" width="59.42578125" style="2" bestFit="1" customWidth="1"/>
    <col min="7938" max="7938" width="22.7109375" style="2" customWidth="1"/>
    <col min="7939" max="7939" width="5.7109375" style="2" bestFit="1" customWidth="1"/>
    <col min="7940" max="7940" width="22.7109375" style="2" customWidth="1"/>
    <col min="7941" max="7941" width="3.7109375" style="2" customWidth="1"/>
    <col min="7942" max="7942" width="19.42578125" style="2" bestFit="1" customWidth="1"/>
    <col min="7943" max="7943" width="9.85546875" style="2" bestFit="1" customWidth="1"/>
    <col min="7944" max="8192" width="9.140625" style="2"/>
    <col min="8193" max="8193" width="59.42578125" style="2" bestFit="1" customWidth="1"/>
    <col min="8194" max="8194" width="22.7109375" style="2" customWidth="1"/>
    <col min="8195" max="8195" width="5.7109375" style="2" bestFit="1" customWidth="1"/>
    <col min="8196" max="8196" width="22.7109375" style="2" customWidth="1"/>
    <col min="8197" max="8197" width="3.7109375" style="2" customWidth="1"/>
    <col min="8198" max="8198" width="19.42578125" style="2" bestFit="1" customWidth="1"/>
    <col min="8199" max="8199" width="9.85546875" style="2" bestFit="1" customWidth="1"/>
    <col min="8200" max="8448" width="9.140625" style="2"/>
    <col min="8449" max="8449" width="59.42578125" style="2" bestFit="1" customWidth="1"/>
    <col min="8450" max="8450" width="22.7109375" style="2" customWidth="1"/>
    <col min="8451" max="8451" width="5.7109375" style="2" bestFit="1" customWidth="1"/>
    <col min="8452" max="8452" width="22.7109375" style="2" customWidth="1"/>
    <col min="8453" max="8453" width="3.7109375" style="2" customWidth="1"/>
    <col min="8454" max="8454" width="19.42578125" style="2" bestFit="1" customWidth="1"/>
    <col min="8455" max="8455" width="9.85546875" style="2" bestFit="1" customWidth="1"/>
    <col min="8456" max="8704" width="9.140625" style="2"/>
    <col min="8705" max="8705" width="59.42578125" style="2" bestFit="1" customWidth="1"/>
    <col min="8706" max="8706" width="22.7109375" style="2" customWidth="1"/>
    <col min="8707" max="8707" width="5.7109375" style="2" bestFit="1" customWidth="1"/>
    <col min="8708" max="8708" width="22.7109375" style="2" customWidth="1"/>
    <col min="8709" max="8709" width="3.7109375" style="2" customWidth="1"/>
    <col min="8710" max="8710" width="19.42578125" style="2" bestFit="1" customWidth="1"/>
    <col min="8711" max="8711" width="9.85546875" style="2" bestFit="1" customWidth="1"/>
    <col min="8712" max="8960" width="9.140625" style="2"/>
    <col min="8961" max="8961" width="59.42578125" style="2" bestFit="1" customWidth="1"/>
    <col min="8962" max="8962" width="22.7109375" style="2" customWidth="1"/>
    <col min="8963" max="8963" width="5.7109375" style="2" bestFit="1" customWidth="1"/>
    <col min="8964" max="8964" width="22.7109375" style="2" customWidth="1"/>
    <col min="8965" max="8965" width="3.7109375" style="2" customWidth="1"/>
    <col min="8966" max="8966" width="19.42578125" style="2" bestFit="1" customWidth="1"/>
    <col min="8967" max="8967" width="9.85546875" style="2" bestFit="1" customWidth="1"/>
    <col min="8968" max="9216" width="9.140625" style="2"/>
    <col min="9217" max="9217" width="59.42578125" style="2" bestFit="1" customWidth="1"/>
    <col min="9218" max="9218" width="22.7109375" style="2" customWidth="1"/>
    <col min="9219" max="9219" width="5.7109375" style="2" bestFit="1" customWidth="1"/>
    <col min="9220" max="9220" width="22.7109375" style="2" customWidth="1"/>
    <col min="9221" max="9221" width="3.7109375" style="2" customWidth="1"/>
    <col min="9222" max="9222" width="19.42578125" style="2" bestFit="1" customWidth="1"/>
    <col min="9223" max="9223" width="9.85546875" style="2" bestFit="1" customWidth="1"/>
    <col min="9224" max="9472" width="9.140625" style="2"/>
    <col min="9473" max="9473" width="59.42578125" style="2" bestFit="1" customWidth="1"/>
    <col min="9474" max="9474" width="22.7109375" style="2" customWidth="1"/>
    <col min="9475" max="9475" width="5.7109375" style="2" bestFit="1" customWidth="1"/>
    <col min="9476" max="9476" width="22.7109375" style="2" customWidth="1"/>
    <col min="9477" max="9477" width="3.7109375" style="2" customWidth="1"/>
    <col min="9478" max="9478" width="19.42578125" style="2" bestFit="1" customWidth="1"/>
    <col min="9479" max="9479" width="9.85546875" style="2" bestFit="1" customWidth="1"/>
    <col min="9480" max="9728" width="9.140625" style="2"/>
    <col min="9729" max="9729" width="59.42578125" style="2" bestFit="1" customWidth="1"/>
    <col min="9730" max="9730" width="22.7109375" style="2" customWidth="1"/>
    <col min="9731" max="9731" width="5.7109375" style="2" bestFit="1" customWidth="1"/>
    <col min="9732" max="9732" width="22.7109375" style="2" customWidth="1"/>
    <col min="9733" max="9733" width="3.7109375" style="2" customWidth="1"/>
    <col min="9734" max="9734" width="19.42578125" style="2" bestFit="1" customWidth="1"/>
    <col min="9735" max="9735" width="9.85546875" style="2" bestFit="1" customWidth="1"/>
    <col min="9736" max="9984" width="9.140625" style="2"/>
    <col min="9985" max="9985" width="59.42578125" style="2" bestFit="1" customWidth="1"/>
    <col min="9986" max="9986" width="22.7109375" style="2" customWidth="1"/>
    <col min="9987" max="9987" width="5.7109375" style="2" bestFit="1" customWidth="1"/>
    <col min="9988" max="9988" width="22.7109375" style="2" customWidth="1"/>
    <col min="9989" max="9989" width="3.7109375" style="2" customWidth="1"/>
    <col min="9990" max="9990" width="19.42578125" style="2" bestFit="1" customWidth="1"/>
    <col min="9991" max="9991" width="9.85546875" style="2" bestFit="1" customWidth="1"/>
    <col min="9992" max="10240" width="9.140625" style="2"/>
    <col min="10241" max="10241" width="59.42578125" style="2" bestFit="1" customWidth="1"/>
    <col min="10242" max="10242" width="22.7109375" style="2" customWidth="1"/>
    <col min="10243" max="10243" width="5.7109375" style="2" bestFit="1" customWidth="1"/>
    <col min="10244" max="10244" width="22.7109375" style="2" customWidth="1"/>
    <col min="10245" max="10245" width="3.7109375" style="2" customWidth="1"/>
    <col min="10246" max="10246" width="19.42578125" style="2" bestFit="1" customWidth="1"/>
    <col min="10247" max="10247" width="9.85546875" style="2" bestFit="1" customWidth="1"/>
    <col min="10248" max="10496" width="9.140625" style="2"/>
    <col min="10497" max="10497" width="59.42578125" style="2" bestFit="1" customWidth="1"/>
    <col min="10498" max="10498" width="22.7109375" style="2" customWidth="1"/>
    <col min="10499" max="10499" width="5.7109375" style="2" bestFit="1" customWidth="1"/>
    <col min="10500" max="10500" width="22.7109375" style="2" customWidth="1"/>
    <col min="10501" max="10501" width="3.7109375" style="2" customWidth="1"/>
    <col min="10502" max="10502" width="19.42578125" style="2" bestFit="1" customWidth="1"/>
    <col min="10503" max="10503" width="9.85546875" style="2" bestFit="1" customWidth="1"/>
    <col min="10504" max="10752" width="9.140625" style="2"/>
    <col min="10753" max="10753" width="59.42578125" style="2" bestFit="1" customWidth="1"/>
    <col min="10754" max="10754" width="22.7109375" style="2" customWidth="1"/>
    <col min="10755" max="10755" width="5.7109375" style="2" bestFit="1" customWidth="1"/>
    <col min="10756" max="10756" width="22.7109375" style="2" customWidth="1"/>
    <col min="10757" max="10757" width="3.7109375" style="2" customWidth="1"/>
    <col min="10758" max="10758" width="19.42578125" style="2" bestFit="1" customWidth="1"/>
    <col min="10759" max="10759" width="9.85546875" style="2" bestFit="1" customWidth="1"/>
    <col min="10760" max="11008" width="9.140625" style="2"/>
    <col min="11009" max="11009" width="59.42578125" style="2" bestFit="1" customWidth="1"/>
    <col min="11010" max="11010" width="22.7109375" style="2" customWidth="1"/>
    <col min="11011" max="11011" width="5.7109375" style="2" bestFit="1" customWidth="1"/>
    <col min="11012" max="11012" width="22.7109375" style="2" customWidth="1"/>
    <col min="11013" max="11013" width="3.7109375" style="2" customWidth="1"/>
    <col min="11014" max="11014" width="19.42578125" style="2" bestFit="1" customWidth="1"/>
    <col min="11015" max="11015" width="9.85546875" style="2" bestFit="1" customWidth="1"/>
    <col min="11016" max="11264" width="9.140625" style="2"/>
    <col min="11265" max="11265" width="59.42578125" style="2" bestFit="1" customWidth="1"/>
    <col min="11266" max="11266" width="22.7109375" style="2" customWidth="1"/>
    <col min="11267" max="11267" width="5.7109375" style="2" bestFit="1" customWidth="1"/>
    <col min="11268" max="11268" width="22.7109375" style="2" customWidth="1"/>
    <col min="11269" max="11269" width="3.7109375" style="2" customWidth="1"/>
    <col min="11270" max="11270" width="19.42578125" style="2" bestFit="1" customWidth="1"/>
    <col min="11271" max="11271" width="9.85546875" style="2" bestFit="1" customWidth="1"/>
    <col min="11272" max="11520" width="9.140625" style="2"/>
    <col min="11521" max="11521" width="59.42578125" style="2" bestFit="1" customWidth="1"/>
    <col min="11522" max="11522" width="22.7109375" style="2" customWidth="1"/>
    <col min="11523" max="11523" width="5.7109375" style="2" bestFit="1" customWidth="1"/>
    <col min="11524" max="11524" width="22.7109375" style="2" customWidth="1"/>
    <col min="11525" max="11525" width="3.7109375" style="2" customWidth="1"/>
    <col min="11526" max="11526" width="19.42578125" style="2" bestFit="1" customWidth="1"/>
    <col min="11527" max="11527" width="9.85546875" style="2" bestFit="1" customWidth="1"/>
    <col min="11528" max="11776" width="9.140625" style="2"/>
    <col min="11777" max="11777" width="59.42578125" style="2" bestFit="1" customWidth="1"/>
    <col min="11778" max="11778" width="22.7109375" style="2" customWidth="1"/>
    <col min="11779" max="11779" width="5.7109375" style="2" bestFit="1" customWidth="1"/>
    <col min="11780" max="11780" width="22.7109375" style="2" customWidth="1"/>
    <col min="11781" max="11781" width="3.7109375" style="2" customWidth="1"/>
    <col min="11782" max="11782" width="19.42578125" style="2" bestFit="1" customWidth="1"/>
    <col min="11783" max="11783" width="9.85546875" style="2" bestFit="1" customWidth="1"/>
    <col min="11784" max="12032" width="9.140625" style="2"/>
    <col min="12033" max="12033" width="59.42578125" style="2" bestFit="1" customWidth="1"/>
    <col min="12034" max="12034" width="22.7109375" style="2" customWidth="1"/>
    <col min="12035" max="12035" width="5.7109375" style="2" bestFit="1" customWidth="1"/>
    <col min="12036" max="12036" width="22.7109375" style="2" customWidth="1"/>
    <col min="12037" max="12037" width="3.7109375" style="2" customWidth="1"/>
    <col min="12038" max="12038" width="19.42578125" style="2" bestFit="1" customWidth="1"/>
    <col min="12039" max="12039" width="9.85546875" style="2" bestFit="1" customWidth="1"/>
    <col min="12040" max="12288" width="9.140625" style="2"/>
    <col min="12289" max="12289" width="59.42578125" style="2" bestFit="1" customWidth="1"/>
    <col min="12290" max="12290" width="22.7109375" style="2" customWidth="1"/>
    <col min="12291" max="12291" width="5.7109375" style="2" bestFit="1" customWidth="1"/>
    <col min="12292" max="12292" width="22.7109375" style="2" customWidth="1"/>
    <col min="12293" max="12293" width="3.7109375" style="2" customWidth="1"/>
    <col min="12294" max="12294" width="19.42578125" style="2" bestFit="1" customWidth="1"/>
    <col min="12295" max="12295" width="9.85546875" style="2" bestFit="1" customWidth="1"/>
    <col min="12296" max="12544" width="9.140625" style="2"/>
    <col min="12545" max="12545" width="59.42578125" style="2" bestFit="1" customWidth="1"/>
    <col min="12546" max="12546" width="22.7109375" style="2" customWidth="1"/>
    <col min="12547" max="12547" width="5.7109375" style="2" bestFit="1" customWidth="1"/>
    <col min="12548" max="12548" width="22.7109375" style="2" customWidth="1"/>
    <col min="12549" max="12549" width="3.7109375" style="2" customWidth="1"/>
    <col min="12550" max="12550" width="19.42578125" style="2" bestFit="1" customWidth="1"/>
    <col min="12551" max="12551" width="9.85546875" style="2" bestFit="1" customWidth="1"/>
    <col min="12552" max="12800" width="9.140625" style="2"/>
    <col min="12801" max="12801" width="59.42578125" style="2" bestFit="1" customWidth="1"/>
    <col min="12802" max="12802" width="22.7109375" style="2" customWidth="1"/>
    <col min="12803" max="12803" width="5.7109375" style="2" bestFit="1" customWidth="1"/>
    <col min="12804" max="12804" width="22.7109375" style="2" customWidth="1"/>
    <col min="12805" max="12805" width="3.7109375" style="2" customWidth="1"/>
    <col min="12806" max="12806" width="19.42578125" style="2" bestFit="1" customWidth="1"/>
    <col min="12807" max="12807" width="9.85546875" style="2" bestFit="1" customWidth="1"/>
    <col min="12808" max="13056" width="9.140625" style="2"/>
    <col min="13057" max="13057" width="59.42578125" style="2" bestFit="1" customWidth="1"/>
    <col min="13058" max="13058" width="22.7109375" style="2" customWidth="1"/>
    <col min="13059" max="13059" width="5.7109375" style="2" bestFit="1" customWidth="1"/>
    <col min="13060" max="13060" width="22.7109375" style="2" customWidth="1"/>
    <col min="13061" max="13061" width="3.7109375" style="2" customWidth="1"/>
    <col min="13062" max="13062" width="19.42578125" style="2" bestFit="1" customWidth="1"/>
    <col min="13063" max="13063" width="9.85546875" style="2" bestFit="1" customWidth="1"/>
    <col min="13064" max="13312" width="9.140625" style="2"/>
    <col min="13313" max="13313" width="59.42578125" style="2" bestFit="1" customWidth="1"/>
    <col min="13314" max="13314" width="22.7109375" style="2" customWidth="1"/>
    <col min="13315" max="13315" width="5.7109375" style="2" bestFit="1" customWidth="1"/>
    <col min="13316" max="13316" width="22.7109375" style="2" customWidth="1"/>
    <col min="13317" max="13317" width="3.7109375" style="2" customWidth="1"/>
    <col min="13318" max="13318" width="19.42578125" style="2" bestFit="1" customWidth="1"/>
    <col min="13319" max="13319" width="9.85546875" style="2" bestFit="1" customWidth="1"/>
    <col min="13320" max="13568" width="9.140625" style="2"/>
    <col min="13569" max="13569" width="59.42578125" style="2" bestFit="1" customWidth="1"/>
    <col min="13570" max="13570" width="22.7109375" style="2" customWidth="1"/>
    <col min="13571" max="13571" width="5.7109375" style="2" bestFit="1" customWidth="1"/>
    <col min="13572" max="13572" width="22.7109375" style="2" customWidth="1"/>
    <col min="13573" max="13573" width="3.7109375" style="2" customWidth="1"/>
    <col min="13574" max="13574" width="19.42578125" style="2" bestFit="1" customWidth="1"/>
    <col min="13575" max="13575" width="9.85546875" style="2" bestFit="1" customWidth="1"/>
    <col min="13576" max="13824" width="9.140625" style="2"/>
    <col min="13825" max="13825" width="59.42578125" style="2" bestFit="1" customWidth="1"/>
    <col min="13826" max="13826" width="22.7109375" style="2" customWidth="1"/>
    <col min="13827" max="13827" width="5.7109375" style="2" bestFit="1" customWidth="1"/>
    <col min="13828" max="13828" width="22.7109375" style="2" customWidth="1"/>
    <col min="13829" max="13829" width="3.7109375" style="2" customWidth="1"/>
    <col min="13830" max="13830" width="19.42578125" style="2" bestFit="1" customWidth="1"/>
    <col min="13831" max="13831" width="9.85546875" style="2" bestFit="1" customWidth="1"/>
    <col min="13832" max="14080" width="9.140625" style="2"/>
    <col min="14081" max="14081" width="59.42578125" style="2" bestFit="1" customWidth="1"/>
    <col min="14082" max="14082" width="22.7109375" style="2" customWidth="1"/>
    <col min="14083" max="14083" width="5.7109375" style="2" bestFit="1" customWidth="1"/>
    <col min="14084" max="14084" width="22.7109375" style="2" customWidth="1"/>
    <col min="14085" max="14085" width="3.7109375" style="2" customWidth="1"/>
    <col min="14086" max="14086" width="19.42578125" style="2" bestFit="1" customWidth="1"/>
    <col min="14087" max="14087" width="9.85546875" style="2" bestFit="1" customWidth="1"/>
    <col min="14088" max="14336" width="9.140625" style="2"/>
    <col min="14337" max="14337" width="59.42578125" style="2" bestFit="1" customWidth="1"/>
    <col min="14338" max="14338" width="22.7109375" style="2" customWidth="1"/>
    <col min="14339" max="14339" width="5.7109375" style="2" bestFit="1" customWidth="1"/>
    <col min="14340" max="14340" width="22.7109375" style="2" customWidth="1"/>
    <col min="14341" max="14341" width="3.7109375" style="2" customWidth="1"/>
    <col min="14342" max="14342" width="19.42578125" style="2" bestFit="1" customWidth="1"/>
    <col min="14343" max="14343" width="9.85546875" style="2" bestFit="1" customWidth="1"/>
    <col min="14344" max="14592" width="9.140625" style="2"/>
    <col min="14593" max="14593" width="59.42578125" style="2" bestFit="1" customWidth="1"/>
    <col min="14594" max="14594" width="22.7109375" style="2" customWidth="1"/>
    <col min="14595" max="14595" width="5.7109375" style="2" bestFit="1" customWidth="1"/>
    <col min="14596" max="14596" width="22.7109375" style="2" customWidth="1"/>
    <col min="14597" max="14597" width="3.7109375" style="2" customWidth="1"/>
    <col min="14598" max="14598" width="19.42578125" style="2" bestFit="1" customWidth="1"/>
    <col min="14599" max="14599" width="9.85546875" style="2" bestFit="1" customWidth="1"/>
    <col min="14600" max="14848" width="9.140625" style="2"/>
    <col min="14849" max="14849" width="59.42578125" style="2" bestFit="1" customWidth="1"/>
    <col min="14850" max="14850" width="22.7109375" style="2" customWidth="1"/>
    <col min="14851" max="14851" width="5.7109375" style="2" bestFit="1" customWidth="1"/>
    <col min="14852" max="14852" width="22.7109375" style="2" customWidth="1"/>
    <col min="14853" max="14853" width="3.7109375" style="2" customWidth="1"/>
    <col min="14854" max="14854" width="19.42578125" style="2" bestFit="1" customWidth="1"/>
    <col min="14855" max="14855" width="9.85546875" style="2" bestFit="1" customWidth="1"/>
    <col min="14856" max="15104" width="9.140625" style="2"/>
    <col min="15105" max="15105" width="59.42578125" style="2" bestFit="1" customWidth="1"/>
    <col min="15106" max="15106" width="22.7109375" style="2" customWidth="1"/>
    <col min="15107" max="15107" width="5.7109375" style="2" bestFit="1" customWidth="1"/>
    <col min="15108" max="15108" width="22.7109375" style="2" customWidth="1"/>
    <col min="15109" max="15109" width="3.7109375" style="2" customWidth="1"/>
    <col min="15110" max="15110" width="19.42578125" style="2" bestFit="1" customWidth="1"/>
    <col min="15111" max="15111" width="9.85546875" style="2" bestFit="1" customWidth="1"/>
    <col min="15112" max="15360" width="9.140625" style="2"/>
    <col min="15361" max="15361" width="59.42578125" style="2" bestFit="1" customWidth="1"/>
    <col min="15362" max="15362" width="22.7109375" style="2" customWidth="1"/>
    <col min="15363" max="15363" width="5.7109375" style="2" bestFit="1" customWidth="1"/>
    <col min="15364" max="15364" width="22.7109375" style="2" customWidth="1"/>
    <col min="15365" max="15365" width="3.7109375" style="2" customWidth="1"/>
    <col min="15366" max="15366" width="19.42578125" style="2" bestFit="1" customWidth="1"/>
    <col min="15367" max="15367" width="9.85546875" style="2" bestFit="1" customWidth="1"/>
    <col min="15368" max="15616" width="9.140625" style="2"/>
    <col min="15617" max="15617" width="59.42578125" style="2" bestFit="1" customWidth="1"/>
    <col min="15618" max="15618" width="22.7109375" style="2" customWidth="1"/>
    <col min="15619" max="15619" width="5.7109375" style="2" bestFit="1" customWidth="1"/>
    <col min="15620" max="15620" width="22.7109375" style="2" customWidth="1"/>
    <col min="15621" max="15621" width="3.7109375" style="2" customWidth="1"/>
    <col min="15622" max="15622" width="19.42578125" style="2" bestFit="1" customWidth="1"/>
    <col min="15623" max="15623" width="9.85546875" style="2" bestFit="1" customWidth="1"/>
    <col min="15624" max="15872" width="9.140625" style="2"/>
    <col min="15873" max="15873" width="59.42578125" style="2" bestFit="1" customWidth="1"/>
    <col min="15874" max="15874" width="22.7109375" style="2" customWidth="1"/>
    <col min="15875" max="15875" width="5.7109375" style="2" bestFit="1" customWidth="1"/>
    <col min="15876" max="15876" width="22.7109375" style="2" customWidth="1"/>
    <col min="15877" max="15877" width="3.7109375" style="2" customWidth="1"/>
    <col min="15878" max="15878" width="19.42578125" style="2" bestFit="1" customWidth="1"/>
    <col min="15879" max="15879" width="9.85546875" style="2" bestFit="1" customWidth="1"/>
    <col min="15880" max="16128" width="9.140625" style="2"/>
    <col min="16129" max="16129" width="59.42578125" style="2" bestFit="1" customWidth="1"/>
    <col min="16130" max="16130" width="22.7109375" style="2" customWidth="1"/>
    <col min="16131" max="16131" width="5.7109375" style="2" bestFit="1" customWidth="1"/>
    <col min="16132" max="16132" width="22.7109375" style="2" customWidth="1"/>
    <col min="16133" max="16133" width="3.7109375" style="2" customWidth="1"/>
    <col min="16134" max="16134" width="19.42578125" style="2" bestFit="1" customWidth="1"/>
    <col min="16135" max="16135" width="9.85546875" style="2" bestFit="1" customWidth="1"/>
    <col min="16136" max="16384" width="9.140625" style="2"/>
  </cols>
  <sheetData>
    <row r="1" spans="1:9" ht="15.75" x14ac:dyDescent="0.25">
      <c r="A1" s="1" t="s">
        <v>0</v>
      </c>
    </row>
    <row r="2" spans="1:9" ht="15.75" x14ac:dyDescent="0.25">
      <c r="A2" s="3" t="s">
        <v>1</v>
      </c>
    </row>
    <row r="3" spans="1:9" ht="15.75" x14ac:dyDescent="0.25">
      <c r="A3" s="3" t="s">
        <v>28</v>
      </c>
    </row>
    <row r="4" spans="1:9" ht="15.75" x14ac:dyDescent="0.25">
      <c r="A4" s="4" t="s">
        <v>172</v>
      </c>
    </row>
    <row r="7" spans="1:9" s="9" customFormat="1" ht="15.75" x14ac:dyDescent="0.25">
      <c r="A7" s="5" t="str">
        <f>"Revenue Retained - "&amp;A4</f>
        <v>Revenue Retained - August 1, 2018 Through July 31, 2019</v>
      </c>
      <c r="B7" s="6"/>
      <c r="C7" s="7"/>
      <c r="D7" s="6"/>
      <c r="E7" s="7"/>
      <c r="F7" s="7"/>
      <c r="G7" s="8"/>
      <c r="I7" s="10"/>
    </row>
    <row r="8" spans="1:9" s="9" customFormat="1" ht="12.75" x14ac:dyDescent="0.2">
      <c r="B8" s="11"/>
      <c r="D8" s="11"/>
      <c r="G8" s="12"/>
      <c r="I8" s="13"/>
    </row>
    <row r="9" spans="1:9" s="9" customFormat="1" ht="12.75" x14ac:dyDescent="0.2">
      <c r="B9" s="14"/>
      <c r="D9" s="11"/>
      <c r="F9" s="15"/>
      <c r="I9" s="16"/>
    </row>
    <row r="10" spans="1:9" s="17" customFormat="1" ht="13.5" thickBot="1" x14ac:dyDescent="0.25">
      <c r="B10" s="18" t="s">
        <v>2</v>
      </c>
      <c r="D10" s="19" t="str">
        <f>TEXT(D20/$B$20,"00%")&amp;" Passed Back"</f>
        <v>50% Passed Back</v>
      </c>
      <c r="F10" s="20" t="str">
        <f>TEXT(F20/$B$20,"00%")&amp;" Retained"</f>
        <v>50% Retained</v>
      </c>
      <c r="H10" s="21"/>
    </row>
    <row r="11" spans="1:9" s="17" customFormat="1" ht="12.75" x14ac:dyDescent="0.2">
      <c r="A11" s="21" t="s">
        <v>3</v>
      </c>
      <c r="B11" s="246">
        <f>'[1]WUTC_AW of Bellevue_SF'!$O$32*2</f>
        <v>592658.54399999999</v>
      </c>
      <c r="D11" s="163">
        <f>B11/2</f>
        <v>296329.272</v>
      </c>
      <c r="F11" s="163">
        <f>+B11-D11</f>
        <v>296329.272</v>
      </c>
      <c r="H11" s="23"/>
    </row>
    <row r="12" spans="1:9" s="17" customFormat="1" ht="12.75" x14ac:dyDescent="0.2">
      <c r="A12" s="21" t="s">
        <v>4</v>
      </c>
      <c r="B12" s="246">
        <f>'[2]WUTC_AW of Bellevue_MF'!$O$32*2</f>
        <v>44068.752</v>
      </c>
      <c r="D12" s="163">
        <f t="shared" ref="D12:D19" si="0">B12/2</f>
        <v>22034.376</v>
      </c>
      <c r="F12" s="163">
        <f>+B12-D12</f>
        <v>22034.376</v>
      </c>
      <c r="H12" s="24"/>
    </row>
    <row r="13" spans="1:9" s="17" customFormat="1" ht="12.75" x14ac:dyDescent="0.2">
      <c r="B13" s="163"/>
      <c r="D13" s="163"/>
      <c r="F13" s="311"/>
      <c r="H13" s="24"/>
    </row>
    <row r="14" spans="1:9" s="17" customFormat="1" ht="12.75" x14ac:dyDescent="0.2">
      <c r="A14" s="21" t="s">
        <v>5</v>
      </c>
      <c r="B14" s="246">
        <f>[3]WUTC_KENT_SF!$O$32*2</f>
        <v>895824.55200000003</v>
      </c>
      <c r="D14" s="163">
        <f t="shared" si="0"/>
        <v>447912.27600000001</v>
      </c>
      <c r="F14" s="163">
        <f>+B14-D14</f>
        <v>447912.27600000001</v>
      </c>
      <c r="H14" s="24"/>
    </row>
    <row r="15" spans="1:9" s="17" customFormat="1" ht="12.75" x14ac:dyDescent="0.2">
      <c r="A15" s="21" t="s">
        <v>6</v>
      </c>
      <c r="B15" s="246">
        <f>[4]WUTC_KENT_MF!$O$32*2</f>
        <v>5362.1895403619983</v>
      </c>
      <c r="D15" s="163">
        <f t="shared" si="0"/>
        <v>2681.0947701809991</v>
      </c>
      <c r="F15" s="163">
        <f>+B15-D15</f>
        <v>2681.0947701809991</v>
      </c>
      <c r="H15" s="24"/>
    </row>
    <row r="16" spans="1:9" s="17" customFormat="1" ht="12.75" x14ac:dyDescent="0.2">
      <c r="B16" s="163"/>
      <c r="D16" s="163"/>
      <c r="F16" s="311"/>
      <c r="H16" s="24"/>
    </row>
    <row r="17" spans="1:11" s="17" customFormat="1" ht="12.75" x14ac:dyDescent="0.2">
      <c r="A17" s="21" t="s">
        <v>7</v>
      </c>
      <c r="B17" s="246">
        <f>'[5]WUTC_AW of Kent (SeaTac)_SF'!$O$31*2</f>
        <v>192747.67199999999</v>
      </c>
      <c r="D17" s="163">
        <f>B17/2</f>
        <v>96373.835999999996</v>
      </c>
      <c r="F17" s="163">
        <f>+B17-D17</f>
        <v>96373.835999999996</v>
      </c>
      <c r="H17" s="24"/>
    </row>
    <row r="18" spans="1:11" s="17" customFormat="1" ht="12.75" x14ac:dyDescent="0.2">
      <c r="A18" s="21" t="s">
        <v>8</v>
      </c>
      <c r="B18" s="246">
        <f>'[6]WUTC_AW of Kent (SeaTac)_MF'!$O$31*2</f>
        <v>6913.920000000001</v>
      </c>
      <c r="D18" s="163">
        <f>B18/2</f>
        <v>3456.9600000000005</v>
      </c>
      <c r="F18" s="163">
        <f>+B18-D18</f>
        <v>3456.9600000000005</v>
      </c>
      <c r="H18" s="24"/>
    </row>
    <row r="19" spans="1:11" s="17" customFormat="1" ht="12.75" x14ac:dyDescent="0.2">
      <c r="B19" s="22"/>
      <c r="D19" s="163">
        <f t="shared" si="0"/>
        <v>0</v>
      </c>
      <c r="F19" s="25"/>
      <c r="H19" s="24"/>
    </row>
    <row r="20" spans="1:11" s="17" customFormat="1" ht="13.5" thickBot="1" x14ac:dyDescent="0.25">
      <c r="A20" s="26" t="s">
        <v>9</v>
      </c>
      <c r="B20" s="27">
        <f>SUM(B11:B19)</f>
        <v>1737575.6295403619</v>
      </c>
      <c r="D20" s="27">
        <f>SUM(D11:D19)</f>
        <v>868787.81477018096</v>
      </c>
      <c r="E20" s="28"/>
      <c r="F20" s="27">
        <f>SUM(F11:F19)</f>
        <v>868787.81477018096</v>
      </c>
      <c r="H20" s="29"/>
    </row>
    <row r="21" spans="1:11" s="9" customFormat="1" ht="12.75" x14ac:dyDescent="0.2">
      <c r="B21" s="22"/>
      <c r="C21" s="17"/>
      <c r="D21" s="22"/>
      <c r="E21" s="17"/>
      <c r="F21" s="30"/>
      <c r="I21" s="13"/>
    </row>
    <row r="22" spans="1:11" s="9" customFormat="1" ht="12.75" x14ac:dyDescent="0.2">
      <c r="A22" s="31"/>
      <c r="B22" s="32"/>
      <c r="C22" s="31"/>
      <c r="D22" s="32"/>
      <c r="E22" s="31"/>
      <c r="F22" s="31"/>
      <c r="G22" s="33"/>
      <c r="I22" s="13"/>
    </row>
    <row r="23" spans="1:11" s="9" customFormat="1" ht="15.75" x14ac:dyDescent="0.25">
      <c r="A23" s="5" t="str">
        <f>"Program Costs - "&amp;A4</f>
        <v>Program Costs - August 1, 2018 Through July 31, 2019</v>
      </c>
      <c r="B23" s="6"/>
      <c r="C23" s="7"/>
      <c r="D23" s="6"/>
      <c r="E23" s="7"/>
      <c r="F23" s="7"/>
      <c r="G23" s="8"/>
      <c r="I23" s="13"/>
    </row>
    <row r="24" spans="1:11" s="36" customFormat="1" ht="15.75" x14ac:dyDescent="0.25">
      <c r="A24" s="34"/>
      <c r="B24" s="35"/>
      <c r="C24" s="13"/>
      <c r="D24" s="35"/>
      <c r="E24" s="13"/>
      <c r="F24" s="13"/>
      <c r="G24" s="16"/>
      <c r="I24" s="13"/>
    </row>
    <row r="25" spans="1:11" s="36" customFormat="1" ht="12.75" x14ac:dyDescent="0.2">
      <c r="A25" s="37" t="s">
        <v>10</v>
      </c>
      <c r="B25" s="35"/>
      <c r="C25" s="13"/>
      <c r="D25" s="35"/>
      <c r="E25" s="13"/>
      <c r="F25" s="13"/>
      <c r="G25" s="16"/>
      <c r="I25" s="13"/>
    </row>
    <row r="26" spans="1:11" s="36" customFormat="1" ht="12.75" x14ac:dyDescent="0.2">
      <c r="A26" s="38" t="s">
        <v>188</v>
      </c>
      <c r="B26" s="35"/>
      <c r="C26" s="13"/>
      <c r="D26" s="35">
        <v>33000</v>
      </c>
      <c r="E26" s="13"/>
      <c r="F26" s="13"/>
      <c r="G26" s="16"/>
      <c r="I26" s="13"/>
    </row>
    <row r="27" spans="1:11" s="36" customFormat="1" ht="12.75" x14ac:dyDescent="0.2">
      <c r="A27" s="38" t="s">
        <v>189</v>
      </c>
      <c r="B27" s="35"/>
      <c r="C27" s="13"/>
      <c r="D27" s="35">
        <v>10500</v>
      </c>
      <c r="E27" s="13"/>
      <c r="F27" s="13"/>
      <c r="G27" s="16"/>
      <c r="H27" s="39"/>
      <c r="I27" s="13"/>
    </row>
    <row r="28" spans="1:11" s="36" customFormat="1" ht="15.75" x14ac:dyDescent="0.25">
      <c r="A28" s="34"/>
      <c r="B28" s="35"/>
      <c r="C28" s="13"/>
      <c r="D28" s="35"/>
      <c r="E28" s="13"/>
      <c r="F28" s="13"/>
      <c r="G28" s="16"/>
      <c r="I28" s="13"/>
    </row>
    <row r="29" spans="1:11" s="36" customFormat="1" ht="12.75" x14ac:dyDescent="0.2">
      <c r="A29" s="37" t="s">
        <v>11</v>
      </c>
      <c r="B29" s="35"/>
      <c r="C29" s="13"/>
      <c r="D29" s="35"/>
      <c r="E29" s="13"/>
      <c r="F29" s="13"/>
      <c r="G29" s="16"/>
      <c r="I29" s="13"/>
    </row>
    <row r="30" spans="1:11" s="36" customFormat="1" ht="12.75" x14ac:dyDescent="0.2">
      <c r="A30" s="38" t="s">
        <v>12</v>
      </c>
      <c r="B30" s="35"/>
      <c r="C30" s="13"/>
      <c r="D30" s="35">
        <v>11000</v>
      </c>
      <c r="E30" s="13"/>
      <c r="F30" s="13"/>
      <c r="G30" s="16"/>
      <c r="H30" s="39"/>
      <c r="I30" s="13"/>
    </row>
    <row r="31" spans="1:11" s="36" customFormat="1" ht="15.75" x14ac:dyDescent="0.25">
      <c r="A31" s="34"/>
      <c r="B31" s="35"/>
      <c r="C31" s="13"/>
      <c r="D31" s="35"/>
      <c r="E31" s="13"/>
      <c r="F31" s="35"/>
      <c r="G31" s="16"/>
      <c r="I31" s="13"/>
    </row>
    <row r="32" spans="1:11" s="36" customFormat="1" ht="15.75" x14ac:dyDescent="0.25">
      <c r="A32" s="264" t="s">
        <v>179</v>
      </c>
      <c r="B32" s="34"/>
      <c r="C32" s="34"/>
      <c r="D32" s="35"/>
      <c r="E32" s="13"/>
      <c r="F32" s="35"/>
      <c r="G32" s="13"/>
      <c r="H32" s="13"/>
      <c r="I32" s="16"/>
      <c r="K32" s="13"/>
    </row>
    <row r="33" spans="1:11" s="36" customFormat="1" ht="15.75" x14ac:dyDescent="0.25">
      <c r="A33" s="38" t="s">
        <v>180</v>
      </c>
      <c r="B33" s="34"/>
      <c r="C33" s="34"/>
      <c r="D33" s="35">
        <v>4700</v>
      </c>
      <c r="E33" s="13"/>
      <c r="F33" s="35"/>
      <c r="G33" s="13"/>
      <c r="H33" s="40"/>
      <c r="I33" s="16"/>
      <c r="K33" s="13"/>
    </row>
    <row r="34" spans="1:11" s="36" customFormat="1" ht="12.75" x14ac:dyDescent="0.2">
      <c r="A34" s="38"/>
      <c r="B34" s="35"/>
      <c r="C34" s="13"/>
      <c r="D34" s="35"/>
      <c r="E34" s="13"/>
      <c r="F34" s="13"/>
      <c r="G34" s="16"/>
      <c r="I34" s="13"/>
    </row>
    <row r="35" spans="1:11" s="36" customFormat="1" ht="15.75" x14ac:dyDescent="0.25">
      <c r="A35" s="264" t="s">
        <v>181</v>
      </c>
      <c r="B35" s="34"/>
      <c r="C35" s="34"/>
      <c r="D35" s="35"/>
      <c r="E35" s="13"/>
      <c r="F35" s="35"/>
      <c r="G35" s="13"/>
      <c r="H35" s="13"/>
      <c r="I35" s="16"/>
      <c r="K35" s="13"/>
    </row>
    <row r="36" spans="1:11" s="36" customFormat="1" ht="15.75" x14ac:dyDescent="0.25">
      <c r="A36" s="38" t="s">
        <v>182</v>
      </c>
      <c r="B36" s="34"/>
      <c r="C36" s="34"/>
      <c r="D36" s="35">
        <v>85160</v>
      </c>
      <c r="E36" s="13"/>
      <c r="F36" s="35"/>
      <c r="G36" s="13"/>
      <c r="H36" s="40"/>
      <c r="I36" s="16"/>
      <c r="K36" s="13"/>
    </row>
    <row r="37" spans="1:11" x14ac:dyDescent="0.25">
      <c r="A37" s="267"/>
      <c r="B37" s="38"/>
      <c r="C37" s="38"/>
      <c r="D37" s="41"/>
      <c r="E37" s="42"/>
      <c r="F37" s="43"/>
      <c r="H37" s="44"/>
    </row>
    <row r="38" spans="1:11" s="36" customFormat="1" ht="15.75" x14ac:dyDescent="0.25">
      <c r="A38" s="264" t="s">
        <v>183</v>
      </c>
      <c r="B38" s="34"/>
      <c r="C38" s="34"/>
      <c r="D38" s="35"/>
      <c r="E38" s="13"/>
      <c r="F38" s="35"/>
      <c r="G38" s="13"/>
      <c r="H38" s="13"/>
      <c r="I38" s="16"/>
      <c r="K38" s="13"/>
    </row>
    <row r="39" spans="1:11" s="36" customFormat="1" ht="15.75" x14ac:dyDescent="0.25">
      <c r="A39" s="38" t="s">
        <v>184</v>
      </c>
      <c r="B39" s="34"/>
      <c r="C39" s="34"/>
      <c r="D39" s="35">
        <v>15000</v>
      </c>
      <c r="E39" s="13"/>
      <c r="F39" s="35"/>
      <c r="G39" s="13"/>
      <c r="H39" s="40"/>
      <c r="I39" s="16"/>
      <c r="K39" s="13"/>
    </row>
    <row r="40" spans="1:11" x14ac:dyDescent="0.25">
      <c r="A40" s="38"/>
      <c r="B40" s="38"/>
      <c r="C40" s="38"/>
      <c r="D40" s="41"/>
      <c r="E40" s="42"/>
      <c r="F40" s="43"/>
      <c r="H40" s="44"/>
    </row>
    <row r="41" spans="1:11" ht="15.75" thickBot="1" x14ac:dyDescent="0.3">
      <c r="A41" s="37" t="s">
        <v>13</v>
      </c>
      <c r="B41" s="37"/>
      <c r="C41" s="37"/>
      <c r="D41" s="45">
        <f>SUM(D24:D40)</f>
        <v>159360</v>
      </c>
      <c r="E41" s="202"/>
      <c r="F41" s="46"/>
      <c r="G41" s="46"/>
    </row>
    <row r="42" spans="1:11" ht="15.75" thickTop="1" x14ac:dyDescent="0.25">
      <c r="A42" s="46"/>
      <c r="B42" s="46"/>
      <c r="C42" s="46"/>
      <c r="D42" s="47"/>
      <c r="E42" s="42"/>
      <c r="F42" s="46"/>
      <c r="G42" s="46"/>
    </row>
    <row r="43" spans="1:11" x14ac:dyDescent="0.25">
      <c r="A43" s="48" t="s">
        <v>14</v>
      </c>
      <c r="B43" s="48"/>
      <c r="C43" s="48"/>
      <c r="D43" s="12">
        <f>D41*0.05</f>
        <v>7968</v>
      </c>
      <c r="E43" s="49">
        <v>0.05</v>
      </c>
    </row>
    <row r="44" spans="1:11" x14ac:dyDescent="0.25">
      <c r="A44" s="50"/>
      <c r="B44" s="50"/>
      <c r="C44" s="50"/>
      <c r="D44" s="51"/>
      <c r="E44" s="49"/>
    </row>
    <row r="45" spans="1:11" ht="15.75" thickBot="1" x14ac:dyDescent="0.3">
      <c r="A45" s="52" t="s">
        <v>15</v>
      </c>
      <c r="B45" s="52"/>
      <c r="C45" s="52"/>
      <c r="D45" s="45">
        <f>+D43+D41</f>
        <v>167328</v>
      </c>
      <c r="E45" s="167">
        <f>+D45/B20</f>
        <v>9.6299693178974313E-2</v>
      </c>
    </row>
    <row r="46" spans="1:11" ht="15.75" thickTop="1" x14ac:dyDescent="0.25">
      <c r="E46" s="49"/>
    </row>
    <row r="47" spans="1:11" x14ac:dyDescent="0.25">
      <c r="A47" s="2" t="s">
        <v>16</v>
      </c>
      <c r="D47" s="53"/>
      <c r="E47" s="167">
        <f>+D47/B20</f>
        <v>0</v>
      </c>
    </row>
    <row r="49" spans="1:5" x14ac:dyDescent="0.25">
      <c r="A49" s="48"/>
      <c r="B49" s="48"/>
      <c r="C49" s="48"/>
      <c r="D49" s="53"/>
      <c r="E49" s="54"/>
    </row>
    <row r="59" spans="1:5" x14ac:dyDescent="0.25">
      <c r="B59" s="53"/>
    </row>
    <row r="60" spans="1:5" x14ac:dyDescent="0.25">
      <c r="B60" s="55"/>
    </row>
  </sheetData>
  <pageMargins left="0.5" right="0.5" top="0.5" bottom="0.5" header="0.25" footer="0.25"/>
  <pageSetup scale="72" fitToHeight="0" orientation="portrait" r:id="rId1"/>
  <headerFooter alignWithMargins="0">
    <oddFooter>&amp;L&amp;F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O16" activeCellId="3" sqref="L40:O40 L33:O33 L20:O20 L16:O16"/>
    </sheetView>
  </sheetViews>
  <sheetFormatPr defaultRowHeight="12.75" x14ac:dyDescent="0.2"/>
  <cols>
    <col min="2" max="2" width="10.42578125" bestFit="1" customWidth="1"/>
    <col min="3" max="3" width="10.42578125" customWidth="1"/>
  </cols>
  <sheetData>
    <row r="1" spans="1:19" x14ac:dyDescent="0.2">
      <c r="H1" t="s">
        <v>141</v>
      </c>
    </row>
    <row r="2" spans="1:19" x14ac:dyDescent="0.2">
      <c r="D2" t="s">
        <v>84</v>
      </c>
      <c r="E2" t="s">
        <v>136</v>
      </c>
      <c r="F2" t="s">
        <v>144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149</v>
      </c>
    </row>
    <row r="3" spans="1:19" ht="14.25" x14ac:dyDescent="0.2">
      <c r="A3">
        <v>176</v>
      </c>
      <c r="B3" t="s">
        <v>61</v>
      </c>
      <c r="C3" t="s">
        <v>121</v>
      </c>
      <c r="D3" s="137">
        <v>34.046258404684835</v>
      </c>
      <c r="E3" s="137">
        <v>31.444208087183863</v>
      </c>
      <c r="F3" s="137">
        <v>34.47585503228575</v>
      </c>
      <c r="G3" s="137">
        <v>32.043959720678167</v>
      </c>
      <c r="H3" s="137">
        <v>33.427186920787165</v>
      </c>
      <c r="I3" s="137">
        <v>31.65620707987447</v>
      </c>
      <c r="J3" s="137">
        <v>26.280477510710817</v>
      </c>
      <c r="K3" s="137">
        <v>32.940104972160107</v>
      </c>
      <c r="L3" s="209">
        <v>27.593272808805384</v>
      </c>
      <c r="M3" s="209">
        <v>22.148242617147215</v>
      </c>
      <c r="N3" s="209">
        <v>27.155862415793365</v>
      </c>
      <c r="O3" s="209">
        <v>23.905533068986585</v>
      </c>
      <c r="P3" s="113">
        <f>SUM(D3:O3)</f>
        <v>357.11716863909777</v>
      </c>
      <c r="R3" t="s">
        <v>121</v>
      </c>
      <c r="S3" t="s">
        <v>150</v>
      </c>
    </row>
    <row r="4" spans="1:19" x14ac:dyDescent="0.2">
      <c r="A4">
        <v>176</v>
      </c>
      <c r="B4" t="s">
        <v>61</v>
      </c>
      <c r="C4" t="s">
        <v>118</v>
      </c>
      <c r="L4" s="209"/>
      <c r="M4" s="209"/>
      <c r="N4" s="209"/>
      <c r="O4" s="209"/>
      <c r="P4" s="113">
        <f t="shared" ref="P4:P42" si="0">SUM(D4:O4)</f>
        <v>0</v>
      </c>
      <c r="R4" s="113">
        <f>SUM(P3,P15,P19,P32,P39)</f>
        <v>2155.3233445515234</v>
      </c>
      <c r="S4" s="113">
        <f>SUM(P5,P8,P18,P22,P35,P42)</f>
        <v>623.23486191077825</v>
      </c>
    </row>
    <row r="5" spans="1:19" ht="14.25" x14ac:dyDescent="0.2">
      <c r="A5">
        <v>176</v>
      </c>
      <c r="B5" t="s">
        <v>61</v>
      </c>
      <c r="C5" t="s">
        <v>148</v>
      </c>
      <c r="D5" s="137">
        <v>7.4804110229142955</v>
      </c>
      <c r="E5" s="137">
        <v>6.8328203320441174</v>
      </c>
      <c r="F5" s="137">
        <v>7.0062986538884537</v>
      </c>
      <c r="G5" s="137">
        <v>5.8773210205375195</v>
      </c>
      <c r="H5" s="137">
        <v>7.5835601020983026</v>
      </c>
      <c r="I5" s="137">
        <v>6.3385842061543913</v>
      </c>
      <c r="J5" s="137">
        <v>5.4915101446895473</v>
      </c>
      <c r="K5" s="137">
        <v>7.4362378880350519</v>
      </c>
      <c r="L5" s="209">
        <v>4.4542041283060509</v>
      </c>
      <c r="M5" s="209">
        <v>3.7743240785121923</v>
      </c>
      <c r="N5" s="209">
        <v>4.704175373976593</v>
      </c>
      <c r="O5" s="209">
        <v>3.7339068881468584</v>
      </c>
      <c r="P5" s="113">
        <f t="shared" si="0"/>
        <v>70.71335383930338</v>
      </c>
    </row>
    <row r="6" spans="1:19" ht="14.25" x14ac:dyDescent="0.2">
      <c r="A6">
        <v>176</v>
      </c>
      <c r="B6" t="s">
        <v>68</v>
      </c>
      <c r="C6" t="s">
        <v>121</v>
      </c>
      <c r="D6" s="137">
        <v>7.2368684921888882</v>
      </c>
      <c r="E6" s="137">
        <v>5.9618544153585313</v>
      </c>
      <c r="F6" s="137">
        <v>5.7485155648672146</v>
      </c>
      <c r="G6" s="137">
        <v>5.9168863147314728</v>
      </c>
      <c r="H6" s="137">
        <v>6.2888908491380473</v>
      </c>
      <c r="I6" s="137">
        <v>7.0014900480115427</v>
      </c>
      <c r="J6" s="137">
        <v>5.9015850200043865</v>
      </c>
      <c r="K6" s="137">
        <v>5.8255336257606416</v>
      </c>
      <c r="L6" s="209">
        <v>6.672697153798925</v>
      </c>
      <c r="M6" s="209">
        <v>5.2814348188806042</v>
      </c>
      <c r="N6" s="209">
        <v>5.9591318704491929</v>
      </c>
      <c r="O6" s="209">
        <v>6.3013302630633703</v>
      </c>
      <c r="P6" s="113">
        <f t="shared" si="0"/>
        <v>74.096218436252826</v>
      </c>
    </row>
    <row r="7" spans="1:19" x14ac:dyDescent="0.2">
      <c r="B7" t="s">
        <v>68</v>
      </c>
      <c r="C7" t="s">
        <v>118</v>
      </c>
      <c r="L7" s="209"/>
      <c r="M7" s="209"/>
      <c r="N7" s="209"/>
      <c r="O7" s="209"/>
      <c r="P7" s="113">
        <f t="shared" si="0"/>
        <v>0</v>
      </c>
    </row>
    <row r="8" spans="1:19" ht="14.25" x14ac:dyDescent="0.2">
      <c r="B8" t="s">
        <v>68</v>
      </c>
      <c r="C8" t="s">
        <v>148</v>
      </c>
      <c r="D8" s="137">
        <v>2.8101279395433383</v>
      </c>
      <c r="E8" s="137">
        <v>1.7462958282731997</v>
      </c>
      <c r="F8" s="137">
        <v>1.6880223050606094</v>
      </c>
      <c r="G8" s="137">
        <v>1.3899583024156084</v>
      </c>
      <c r="H8" s="137">
        <v>1.4862624800687487</v>
      </c>
      <c r="I8" s="137">
        <v>1.8557749442163041</v>
      </c>
      <c r="J8" s="137">
        <v>2.0095977838889083</v>
      </c>
      <c r="K8" s="137">
        <v>1.4644458649875993</v>
      </c>
      <c r="L8" s="209">
        <v>1.9196809143127302</v>
      </c>
      <c r="M8" s="209">
        <v>1.3430417406315029</v>
      </c>
      <c r="N8" s="209">
        <v>1.9511697242670547</v>
      </c>
      <c r="O8" s="209">
        <v>1.6642350753954087</v>
      </c>
      <c r="P8" s="113">
        <f t="shared" si="0"/>
        <v>21.328612903061014</v>
      </c>
    </row>
    <row r="9" spans="1:19" x14ac:dyDescent="0.2">
      <c r="A9">
        <v>172</v>
      </c>
      <c r="B9" t="s">
        <v>73</v>
      </c>
      <c r="C9" t="s">
        <v>121</v>
      </c>
      <c r="P9" s="113">
        <f t="shared" si="0"/>
        <v>0</v>
      </c>
    </row>
    <row r="10" spans="1:19" x14ac:dyDescent="0.2">
      <c r="B10" t="s">
        <v>73</v>
      </c>
      <c r="C10" t="s">
        <v>118</v>
      </c>
      <c r="P10" s="113">
        <f t="shared" si="0"/>
        <v>0</v>
      </c>
    </row>
    <row r="11" spans="1:19" x14ac:dyDescent="0.2">
      <c r="B11" t="s">
        <v>73</v>
      </c>
      <c r="C11" t="s">
        <v>148</v>
      </c>
      <c r="P11" s="113">
        <f t="shared" si="0"/>
        <v>0</v>
      </c>
    </row>
    <row r="12" spans="1:19" x14ac:dyDescent="0.2">
      <c r="A12">
        <v>172</v>
      </c>
      <c r="B12" t="s">
        <v>145</v>
      </c>
      <c r="C12" t="s">
        <v>121</v>
      </c>
      <c r="P12" s="113">
        <f t="shared" si="0"/>
        <v>0</v>
      </c>
    </row>
    <row r="13" spans="1:19" x14ac:dyDescent="0.2">
      <c r="B13" t="s">
        <v>145</v>
      </c>
      <c r="C13" t="s">
        <v>118</v>
      </c>
      <c r="P13" s="113">
        <f t="shared" si="0"/>
        <v>0</v>
      </c>
    </row>
    <row r="14" spans="1:19" x14ac:dyDescent="0.2">
      <c r="B14" t="s">
        <v>145</v>
      </c>
      <c r="C14" t="s">
        <v>148</v>
      </c>
      <c r="P14" s="113">
        <f t="shared" si="0"/>
        <v>0</v>
      </c>
    </row>
    <row r="15" spans="1:19" ht="14.25" x14ac:dyDescent="0.2">
      <c r="A15">
        <v>172</v>
      </c>
      <c r="B15" t="s">
        <v>61</v>
      </c>
      <c r="C15" t="s">
        <v>121</v>
      </c>
      <c r="D15" s="137">
        <v>29.672407455166166</v>
      </c>
      <c r="E15" s="137">
        <v>30.282416493298427</v>
      </c>
      <c r="F15" s="137">
        <v>29.350350382242809</v>
      </c>
      <c r="G15" s="137">
        <v>30.824815595546998</v>
      </c>
      <c r="H15" s="137">
        <v>32.15235791023364</v>
      </c>
      <c r="I15" s="137">
        <v>32.230933349316309</v>
      </c>
      <c r="J15" s="137">
        <v>29.514967037028168</v>
      </c>
      <c r="K15" s="137">
        <v>31.28179702756108</v>
      </c>
      <c r="L15" s="209">
        <v>41.038300783809724</v>
      </c>
      <c r="M15" s="209">
        <v>37.247169247790445</v>
      </c>
      <c r="N15" s="209">
        <v>43.661545097200005</v>
      </c>
      <c r="O15" s="209">
        <v>37.81</v>
      </c>
      <c r="P15" s="113">
        <f t="shared" si="0"/>
        <v>405.06706037919378</v>
      </c>
    </row>
    <row r="16" spans="1:19" ht="14.25" x14ac:dyDescent="0.2">
      <c r="B16" t="s">
        <v>61</v>
      </c>
      <c r="C16" t="s">
        <v>166</v>
      </c>
      <c r="D16" s="137"/>
      <c r="E16" s="137"/>
      <c r="F16" s="137"/>
      <c r="G16" s="137"/>
      <c r="H16" s="137"/>
      <c r="I16" s="137"/>
      <c r="J16" s="137"/>
      <c r="K16" s="137"/>
      <c r="L16" s="209">
        <v>38.35</v>
      </c>
      <c r="M16" s="209">
        <v>34.18</v>
      </c>
      <c r="N16" s="209">
        <v>32.36</v>
      </c>
      <c r="O16" s="209">
        <v>29.45</v>
      </c>
      <c r="P16" s="113"/>
    </row>
    <row r="17" spans="1:16" x14ac:dyDescent="0.2">
      <c r="B17" t="s">
        <v>61</v>
      </c>
      <c r="C17" t="s">
        <v>118</v>
      </c>
      <c r="L17" s="209"/>
      <c r="M17" s="209"/>
      <c r="N17" s="209"/>
      <c r="O17" s="209"/>
      <c r="P17" s="113">
        <f t="shared" si="0"/>
        <v>0</v>
      </c>
    </row>
    <row r="18" spans="1:16" ht="14.25" x14ac:dyDescent="0.2">
      <c r="B18" t="s">
        <v>61</v>
      </c>
      <c r="C18" t="s">
        <v>148</v>
      </c>
      <c r="D18" s="137">
        <v>16.894236556147781</v>
      </c>
      <c r="E18" s="137">
        <v>15.934787684682975</v>
      </c>
      <c r="F18" s="137">
        <v>14.832803136333608</v>
      </c>
      <c r="G18" s="137">
        <v>18.029418163374803</v>
      </c>
      <c r="H18" s="137">
        <v>19.171750793185893</v>
      </c>
      <c r="I18" s="137">
        <v>18.404375930945573</v>
      </c>
      <c r="J18" s="137">
        <v>17.60258698102745</v>
      </c>
      <c r="K18" s="137">
        <v>21.685867273814441</v>
      </c>
      <c r="L18" s="209">
        <v>22.425788500897678</v>
      </c>
      <c r="M18" s="209">
        <v>20.01703014263483</v>
      </c>
      <c r="N18" s="209">
        <v>20.162812358944645</v>
      </c>
      <c r="O18" s="209">
        <v>20.92</v>
      </c>
      <c r="P18" s="113">
        <f t="shared" si="0"/>
        <v>226.08145752198971</v>
      </c>
    </row>
    <row r="19" spans="1:16" ht="14.25" x14ac:dyDescent="0.2">
      <c r="A19">
        <v>172</v>
      </c>
      <c r="B19" t="s">
        <v>80</v>
      </c>
      <c r="C19" t="s">
        <v>121</v>
      </c>
      <c r="D19" s="137">
        <v>72.073117826685149</v>
      </c>
      <c r="E19" s="137">
        <v>74.172556583215112</v>
      </c>
      <c r="F19" s="137">
        <v>76.203608278418173</v>
      </c>
      <c r="G19" s="137">
        <v>68.648071122210766</v>
      </c>
      <c r="H19" s="137">
        <v>73.511735175598204</v>
      </c>
      <c r="I19" s="137">
        <v>76.840055521884281</v>
      </c>
      <c r="J19" s="137">
        <v>67.607871451604225</v>
      </c>
      <c r="K19" s="137">
        <v>71.170586562709531</v>
      </c>
      <c r="L19" s="209">
        <v>47.901768308502199</v>
      </c>
      <c r="M19" s="209">
        <v>41.923415746265192</v>
      </c>
      <c r="N19" s="209">
        <v>34.406317096702239</v>
      </c>
      <c r="O19" s="209">
        <v>50.51</v>
      </c>
      <c r="P19" s="113">
        <f t="shared" si="0"/>
        <v>754.96910367379496</v>
      </c>
    </row>
    <row r="20" spans="1:16" ht="14.25" x14ac:dyDescent="0.2">
      <c r="B20" t="s">
        <v>80</v>
      </c>
      <c r="C20" t="s">
        <v>167</v>
      </c>
      <c r="D20" s="137"/>
      <c r="E20" s="137"/>
      <c r="F20" s="137"/>
      <c r="G20" s="137"/>
      <c r="H20" s="137"/>
      <c r="I20" s="137"/>
      <c r="J20" s="137"/>
      <c r="K20" s="137"/>
      <c r="L20" s="209">
        <v>16.71</v>
      </c>
      <c r="M20" s="209">
        <v>15.95</v>
      </c>
      <c r="N20" s="209">
        <v>11.99</v>
      </c>
      <c r="O20" s="209">
        <v>15.52</v>
      </c>
      <c r="P20" s="113"/>
    </row>
    <row r="21" spans="1:16" ht="14.25" x14ac:dyDescent="0.2">
      <c r="B21" t="s">
        <v>80</v>
      </c>
      <c r="C21" t="s">
        <v>118</v>
      </c>
      <c r="D21" s="137">
        <v>0.55720014572905385</v>
      </c>
      <c r="E21" s="137">
        <v>0.7171163638804452</v>
      </c>
      <c r="F21" s="137">
        <v>0.44946708439865662</v>
      </c>
      <c r="G21" s="137">
        <v>0.31334936678637143</v>
      </c>
      <c r="H21" s="137">
        <v>0.30423610855205618</v>
      </c>
      <c r="I21" s="137">
        <v>0.41162073560696461</v>
      </c>
      <c r="J21" s="137">
        <v>0.50637609125720906</v>
      </c>
      <c r="K21" s="137">
        <v>0.58624894645945036</v>
      </c>
      <c r="L21" s="209">
        <v>0.39469602093909828</v>
      </c>
      <c r="M21" s="209">
        <v>0.26805925724380636</v>
      </c>
      <c r="N21" s="209">
        <v>0.11435446997954515</v>
      </c>
      <c r="O21" s="209">
        <v>0.45</v>
      </c>
      <c r="P21" s="113">
        <f t="shared" si="0"/>
        <v>5.0727245908326584</v>
      </c>
    </row>
    <row r="22" spans="1:16" ht="14.25" x14ac:dyDescent="0.2">
      <c r="B22" t="s">
        <v>80</v>
      </c>
      <c r="C22" t="s">
        <v>148</v>
      </c>
      <c r="D22" s="137">
        <v>18.205231646162897</v>
      </c>
      <c r="E22" s="137">
        <v>18.722584067145725</v>
      </c>
      <c r="F22" s="137">
        <v>17.840027395280945</v>
      </c>
      <c r="G22" s="137">
        <v>15.721370342674073</v>
      </c>
      <c r="H22" s="137">
        <v>19.460608369559978</v>
      </c>
      <c r="I22" s="137">
        <v>20.449354014905317</v>
      </c>
      <c r="J22" s="137">
        <v>18.998529955977759</v>
      </c>
      <c r="K22" s="137">
        <v>18.695480980034912</v>
      </c>
      <c r="L22" s="209">
        <v>17.966942909272106</v>
      </c>
      <c r="M22" s="209">
        <v>16.751701422505235</v>
      </c>
      <c r="N22" s="209">
        <v>21.129962932280616</v>
      </c>
      <c r="O22" s="209">
        <v>17.829999999999998</v>
      </c>
      <c r="P22" s="113">
        <f t="shared" si="0"/>
        <v>221.77179403579959</v>
      </c>
    </row>
    <row r="23" spans="1:16" x14ac:dyDescent="0.2">
      <c r="A23">
        <v>172</v>
      </c>
      <c r="B23" t="s">
        <v>77</v>
      </c>
      <c r="C23" t="s">
        <v>121</v>
      </c>
      <c r="P23" s="113">
        <f t="shared" si="0"/>
        <v>0</v>
      </c>
    </row>
    <row r="24" spans="1:16" x14ac:dyDescent="0.2">
      <c r="B24" t="s">
        <v>77</v>
      </c>
      <c r="C24" t="s">
        <v>118</v>
      </c>
      <c r="P24" s="113">
        <f t="shared" si="0"/>
        <v>0</v>
      </c>
    </row>
    <row r="25" spans="1:16" x14ac:dyDescent="0.2">
      <c r="B25" t="s">
        <v>77</v>
      </c>
      <c r="C25" t="s">
        <v>148</v>
      </c>
      <c r="P25" s="113">
        <f t="shared" si="0"/>
        <v>0</v>
      </c>
    </row>
    <row r="26" spans="1:16" x14ac:dyDescent="0.2">
      <c r="A26">
        <v>172</v>
      </c>
      <c r="B26" t="s">
        <v>110</v>
      </c>
      <c r="C26" t="s">
        <v>121</v>
      </c>
      <c r="P26" s="113">
        <f t="shared" si="0"/>
        <v>0</v>
      </c>
    </row>
    <row r="27" spans="1:16" x14ac:dyDescent="0.2">
      <c r="B27" t="s">
        <v>110</v>
      </c>
      <c r="C27" t="s">
        <v>118</v>
      </c>
      <c r="P27" s="113">
        <f t="shared" si="0"/>
        <v>0</v>
      </c>
    </row>
    <row r="28" spans="1:16" x14ac:dyDescent="0.2">
      <c r="B28" t="s">
        <v>110</v>
      </c>
      <c r="C28" t="s">
        <v>148</v>
      </c>
      <c r="P28" s="113">
        <f t="shared" si="0"/>
        <v>0</v>
      </c>
    </row>
    <row r="29" spans="1:16" x14ac:dyDescent="0.2">
      <c r="A29">
        <v>172</v>
      </c>
      <c r="B29" t="s">
        <v>146</v>
      </c>
      <c r="C29" t="s">
        <v>121</v>
      </c>
      <c r="P29" s="113">
        <f t="shared" si="0"/>
        <v>0</v>
      </c>
    </row>
    <row r="30" spans="1:16" x14ac:dyDescent="0.2">
      <c r="B30" t="s">
        <v>146</v>
      </c>
      <c r="C30" t="s">
        <v>118</v>
      </c>
      <c r="P30" s="113">
        <f t="shared" si="0"/>
        <v>0</v>
      </c>
    </row>
    <row r="31" spans="1:16" x14ac:dyDescent="0.2">
      <c r="B31" t="s">
        <v>146</v>
      </c>
      <c r="C31" t="s">
        <v>148</v>
      </c>
      <c r="P31" s="113">
        <f t="shared" si="0"/>
        <v>0</v>
      </c>
    </row>
    <row r="32" spans="1:16" ht="14.25" x14ac:dyDescent="0.2">
      <c r="A32">
        <v>183</v>
      </c>
      <c r="B32" t="s">
        <v>147</v>
      </c>
      <c r="C32" t="s">
        <v>121</v>
      </c>
      <c r="D32" s="137">
        <v>51.756522628432492</v>
      </c>
      <c r="E32" s="137">
        <v>50.97447894350767</v>
      </c>
      <c r="F32" s="137">
        <v>47.492385743680686</v>
      </c>
      <c r="G32" s="137">
        <v>45.850747836301785</v>
      </c>
      <c r="H32" s="137">
        <v>56.122011315228875</v>
      </c>
      <c r="I32" s="137">
        <v>63.021602162943182</v>
      </c>
      <c r="J32" s="137">
        <v>56.008003043862445</v>
      </c>
      <c r="K32" s="137">
        <v>54.529168773277668</v>
      </c>
      <c r="L32" s="209">
        <v>45.549736038517594</v>
      </c>
      <c r="M32" s="209">
        <v>35.520219182641448</v>
      </c>
      <c r="N32" s="209">
        <v>38.242091792462951</v>
      </c>
      <c r="O32" s="209">
        <v>42.798842420806317</v>
      </c>
      <c r="P32" s="113">
        <f t="shared" si="0"/>
        <v>587.86580988166315</v>
      </c>
    </row>
    <row r="33" spans="1:16" ht="14.25" x14ac:dyDescent="0.2">
      <c r="B33" t="s">
        <v>147</v>
      </c>
      <c r="C33" t="s">
        <v>167</v>
      </c>
      <c r="D33" s="137"/>
      <c r="E33" s="137"/>
      <c r="F33" s="137"/>
      <c r="G33" s="137"/>
      <c r="H33" s="137"/>
      <c r="I33" s="137"/>
      <c r="J33" s="137"/>
      <c r="K33" s="137"/>
      <c r="L33" s="209">
        <v>6.44</v>
      </c>
      <c r="M33" s="209">
        <v>6.16</v>
      </c>
      <c r="N33" s="209">
        <v>6.59</v>
      </c>
      <c r="O33" s="209">
        <v>5.27</v>
      </c>
      <c r="P33" s="113"/>
    </row>
    <row r="34" spans="1:16" x14ac:dyDescent="0.2">
      <c r="B34" t="s">
        <v>147</v>
      </c>
      <c r="C34" t="s">
        <v>118</v>
      </c>
      <c r="L34" s="209"/>
      <c r="M34" s="209"/>
      <c r="N34" s="209"/>
      <c r="O34" s="209"/>
      <c r="P34" s="113">
        <f t="shared" si="0"/>
        <v>0</v>
      </c>
    </row>
    <row r="35" spans="1:16" ht="14.25" x14ac:dyDescent="0.2">
      <c r="B35" t="s">
        <v>147</v>
      </c>
      <c r="C35" t="s">
        <v>148</v>
      </c>
      <c r="D35" s="137">
        <v>5.6824573220366519</v>
      </c>
      <c r="E35" s="137">
        <v>6.1145940300546329</v>
      </c>
      <c r="F35" s="137">
        <v>2.7446928851526344</v>
      </c>
      <c r="G35" s="137">
        <v>2.8339501471154058</v>
      </c>
      <c r="H35" s="137">
        <v>2.8056351713004242</v>
      </c>
      <c r="I35" s="137">
        <v>2.3943279809870943</v>
      </c>
      <c r="J35" s="137">
        <v>2.2403068512519337</v>
      </c>
      <c r="K35" s="137">
        <v>2.6767529176573999</v>
      </c>
      <c r="L35" s="209">
        <v>10.465022380611462</v>
      </c>
      <c r="M35" s="209">
        <v>9.442563506321715</v>
      </c>
      <c r="N35" s="209">
        <v>10.339834820168255</v>
      </c>
      <c r="O35" s="209">
        <v>8.689311473492852</v>
      </c>
      <c r="P35" s="113">
        <f t="shared" si="0"/>
        <v>66.42944948615046</v>
      </c>
    </row>
    <row r="36" spans="1:16" x14ac:dyDescent="0.2">
      <c r="A36">
        <v>183</v>
      </c>
      <c r="B36" t="s">
        <v>110</v>
      </c>
      <c r="C36" t="s">
        <v>121</v>
      </c>
      <c r="P36" s="113">
        <f t="shared" si="0"/>
        <v>0</v>
      </c>
    </row>
    <row r="37" spans="1:16" x14ac:dyDescent="0.2">
      <c r="B37" t="s">
        <v>110</v>
      </c>
      <c r="C37" t="s">
        <v>118</v>
      </c>
      <c r="P37" s="113">
        <f t="shared" si="0"/>
        <v>0</v>
      </c>
    </row>
    <row r="38" spans="1:16" x14ac:dyDescent="0.2">
      <c r="B38" t="s">
        <v>110</v>
      </c>
      <c r="C38" t="s">
        <v>148</v>
      </c>
      <c r="P38" s="113">
        <f t="shared" si="0"/>
        <v>0</v>
      </c>
    </row>
    <row r="39" spans="1:16" x14ac:dyDescent="0.2">
      <c r="A39">
        <v>183</v>
      </c>
      <c r="B39" t="s">
        <v>114</v>
      </c>
      <c r="C39" t="s">
        <v>121</v>
      </c>
      <c r="L39" s="209">
        <v>13.531378550280426</v>
      </c>
      <c r="M39" s="209">
        <v>10.994588839218556</v>
      </c>
      <c r="N39" s="209">
        <v>12.007642553451774</v>
      </c>
      <c r="O39" s="209">
        <v>13.770592034823071</v>
      </c>
      <c r="P39" s="113">
        <f t="shared" si="0"/>
        <v>50.304201977773829</v>
      </c>
    </row>
    <row r="40" spans="1:16" x14ac:dyDescent="0.2">
      <c r="B40" t="s">
        <v>114</v>
      </c>
      <c r="C40" t="s">
        <v>167</v>
      </c>
      <c r="L40" s="209">
        <v>19.3</v>
      </c>
      <c r="M40" s="209">
        <v>15.28</v>
      </c>
      <c r="N40" s="209">
        <v>15.53</v>
      </c>
      <c r="O40" s="209">
        <v>14.17</v>
      </c>
      <c r="P40" s="113"/>
    </row>
    <row r="41" spans="1:16" x14ac:dyDescent="0.2">
      <c r="B41" t="s">
        <v>114</v>
      </c>
      <c r="C41" t="s">
        <v>118</v>
      </c>
      <c r="L41" s="209"/>
      <c r="M41" s="209"/>
      <c r="N41" s="209"/>
      <c r="O41" s="209"/>
      <c r="P41" s="113">
        <f t="shared" si="0"/>
        <v>0</v>
      </c>
    </row>
    <row r="42" spans="1:16" x14ac:dyDescent="0.2">
      <c r="B42" t="s">
        <v>114</v>
      </c>
      <c r="C42" t="s">
        <v>148</v>
      </c>
      <c r="L42" s="209">
        <v>4.7955223812773768</v>
      </c>
      <c r="M42" s="209">
        <v>3.7433025471637542</v>
      </c>
      <c r="N42" s="209">
        <v>4.6410442742752318</v>
      </c>
      <c r="O42" s="209">
        <v>3.730324921757842</v>
      </c>
      <c r="P42" s="113">
        <f t="shared" si="0"/>
        <v>16.910194124474202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31"/>
  <sheetViews>
    <sheetView workbookViewId="0">
      <selection activeCell="G19" sqref="G19"/>
    </sheetView>
  </sheetViews>
  <sheetFormatPr defaultRowHeight="12.75" x14ac:dyDescent="0.2"/>
  <cols>
    <col min="2" max="2" width="4.5703125" customWidth="1"/>
    <col min="3" max="3" width="60.7109375" customWidth="1"/>
    <col min="5" max="5" width="3.140625" customWidth="1"/>
  </cols>
  <sheetData>
    <row r="1" spans="1:8" x14ac:dyDescent="0.2">
      <c r="A1" s="216"/>
      <c r="C1" s="216"/>
    </row>
    <row r="2" spans="1:8" x14ac:dyDescent="0.2">
      <c r="A2" s="216"/>
      <c r="C2" s="216"/>
      <c r="F2" s="320" t="s">
        <v>165</v>
      </c>
      <c r="G2" s="320"/>
      <c r="H2" s="320"/>
    </row>
    <row r="3" spans="1:8" x14ac:dyDescent="0.2">
      <c r="A3" s="216"/>
      <c r="C3" s="216"/>
      <c r="E3" s="224"/>
      <c r="F3" t="s">
        <v>161</v>
      </c>
    </row>
    <row r="4" spans="1:8" x14ac:dyDescent="0.2">
      <c r="A4" s="216" t="s">
        <v>160</v>
      </c>
      <c r="C4" s="216" t="s">
        <v>159</v>
      </c>
      <c r="E4" s="225"/>
      <c r="F4" t="s">
        <v>162</v>
      </c>
    </row>
    <row r="5" spans="1:8" x14ac:dyDescent="0.2">
      <c r="A5" s="211">
        <v>42125</v>
      </c>
      <c r="B5" s="222"/>
      <c r="C5" s="221" t="s">
        <v>158</v>
      </c>
      <c r="E5" s="218"/>
      <c r="F5" t="s">
        <v>163</v>
      </c>
    </row>
    <row r="6" spans="1:8" x14ac:dyDescent="0.2">
      <c r="A6" s="211">
        <v>42156</v>
      </c>
      <c r="B6" s="222"/>
      <c r="C6" s="221" t="s">
        <v>158</v>
      </c>
      <c r="E6" s="217"/>
      <c r="F6" t="s">
        <v>164</v>
      </c>
    </row>
    <row r="7" spans="1:8" x14ac:dyDescent="0.2">
      <c r="A7" s="211">
        <v>42186</v>
      </c>
      <c r="B7" s="222"/>
      <c r="C7" s="221" t="s">
        <v>155</v>
      </c>
    </row>
    <row r="8" spans="1:8" x14ac:dyDescent="0.2">
      <c r="A8" s="211">
        <v>42217</v>
      </c>
      <c r="B8" s="223"/>
      <c r="C8" s="245" t="s">
        <v>151</v>
      </c>
    </row>
    <row r="9" spans="1:8" x14ac:dyDescent="0.2">
      <c r="A9" s="211">
        <v>42248</v>
      </c>
      <c r="B9" s="223"/>
      <c r="C9" s="245"/>
    </row>
    <row r="10" spans="1:8" x14ac:dyDescent="0.2">
      <c r="A10" s="211">
        <v>42278</v>
      </c>
      <c r="B10" s="223"/>
      <c r="C10" s="245" t="s">
        <v>155</v>
      </c>
    </row>
    <row r="11" spans="1:8" x14ac:dyDescent="0.2">
      <c r="A11" s="211">
        <v>42309</v>
      </c>
      <c r="B11" s="223"/>
      <c r="C11" s="245"/>
    </row>
    <row r="12" spans="1:8" x14ac:dyDescent="0.2">
      <c r="A12" s="211">
        <v>42339</v>
      </c>
      <c r="B12" s="223"/>
      <c r="C12" s="245"/>
    </row>
    <row r="13" spans="1:8" x14ac:dyDescent="0.2">
      <c r="A13" s="211">
        <v>42370</v>
      </c>
      <c r="B13" s="223"/>
      <c r="C13" s="245" t="s">
        <v>155</v>
      </c>
    </row>
    <row r="14" spans="1:8" x14ac:dyDescent="0.2">
      <c r="A14" s="211">
        <v>42401</v>
      </c>
      <c r="B14" s="223"/>
      <c r="C14" s="245"/>
    </row>
    <row r="15" spans="1:8" x14ac:dyDescent="0.2">
      <c r="A15" s="211">
        <v>42430</v>
      </c>
      <c r="B15" s="223"/>
      <c r="C15" s="245"/>
    </row>
    <row r="16" spans="1:8" x14ac:dyDescent="0.2">
      <c r="A16" s="211">
        <v>42461</v>
      </c>
      <c r="B16" s="223"/>
      <c r="C16" s="245" t="s">
        <v>155</v>
      </c>
    </row>
    <row r="17" spans="1:3" x14ac:dyDescent="0.2">
      <c r="A17" s="211">
        <v>42491</v>
      </c>
      <c r="B17" s="219"/>
      <c r="C17" s="140" t="s">
        <v>152</v>
      </c>
    </row>
    <row r="18" spans="1:3" x14ac:dyDescent="0.2">
      <c r="A18" s="211">
        <v>42522</v>
      </c>
      <c r="B18" s="219"/>
      <c r="C18" s="212" t="s">
        <v>153</v>
      </c>
    </row>
    <row r="19" spans="1:3" x14ac:dyDescent="0.2">
      <c r="A19" s="211">
        <v>42552</v>
      </c>
      <c r="B19" s="219"/>
      <c r="C19" t="s">
        <v>155</v>
      </c>
    </row>
    <row r="20" spans="1:3" x14ac:dyDescent="0.2">
      <c r="A20" s="211">
        <v>42583</v>
      </c>
      <c r="B20" s="220"/>
      <c r="C20" t="s">
        <v>154</v>
      </c>
    </row>
    <row r="21" spans="1:3" x14ac:dyDescent="0.2">
      <c r="A21" s="211">
        <v>42614</v>
      </c>
      <c r="B21" s="220"/>
    </row>
    <row r="22" spans="1:3" x14ac:dyDescent="0.2">
      <c r="A22" s="211">
        <v>42644</v>
      </c>
      <c r="B22" s="220"/>
      <c r="C22" t="s">
        <v>155</v>
      </c>
    </row>
    <row r="23" spans="1:3" x14ac:dyDescent="0.2">
      <c r="A23" s="211">
        <v>42675</v>
      </c>
      <c r="B23" s="220"/>
    </row>
    <row r="24" spans="1:3" x14ac:dyDescent="0.2">
      <c r="A24" s="211">
        <v>42705</v>
      </c>
      <c r="B24" s="220"/>
    </row>
    <row r="25" spans="1:3" x14ac:dyDescent="0.2">
      <c r="A25" s="211">
        <v>42736</v>
      </c>
      <c r="B25" s="220"/>
      <c r="C25" t="s">
        <v>155</v>
      </c>
    </row>
    <row r="26" spans="1:3" x14ac:dyDescent="0.2">
      <c r="A26" s="211">
        <v>42767</v>
      </c>
      <c r="B26" s="220"/>
    </row>
    <row r="27" spans="1:3" x14ac:dyDescent="0.2">
      <c r="A27" s="211">
        <v>42795</v>
      </c>
      <c r="B27" s="220"/>
    </row>
    <row r="28" spans="1:3" x14ac:dyDescent="0.2">
      <c r="A28" s="211">
        <v>42826</v>
      </c>
      <c r="B28" s="220"/>
      <c r="C28" t="s">
        <v>155</v>
      </c>
    </row>
    <row r="29" spans="1:3" ht="27.75" customHeight="1" x14ac:dyDescent="0.2">
      <c r="A29" s="215">
        <v>42856</v>
      </c>
      <c r="B29" s="218"/>
      <c r="C29" s="214" t="s">
        <v>156</v>
      </c>
    </row>
    <row r="30" spans="1:3" ht="27.75" customHeight="1" x14ac:dyDescent="0.2">
      <c r="A30" s="215">
        <v>42887</v>
      </c>
      <c r="B30" s="218"/>
      <c r="C30" s="213" t="s">
        <v>157</v>
      </c>
    </row>
    <row r="31" spans="1:3" x14ac:dyDescent="0.2">
      <c r="A31" s="211">
        <v>42917</v>
      </c>
      <c r="B31" s="218"/>
      <c r="C31" t="s">
        <v>155</v>
      </c>
    </row>
  </sheetData>
  <mergeCells count="1">
    <mergeCell ref="F2:H2"/>
  </mergeCells>
  <pageMargins left="0.7" right="0.7" top="0.75" bottom="0.75" header="0.3" footer="0.3"/>
  <pageSetup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126"/>
  <sheetViews>
    <sheetView view="pageBreakPreview" topLeftCell="A21" zoomScale="90" zoomScaleNormal="80" zoomScaleSheetLayoutView="90" workbookViewId="0">
      <selection activeCell="B11" sqref="B11"/>
    </sheetView>
  </sheetViews>
  <sheetFormatPr defaultRowHeight="15" x14ac:dyDescent="0.25"/>
  <cols>
    <col min="1" max="1" width="9.140625" style="56"/>
    <col min="2" max="2" width="17.7109375" style="56" bestFit="1" customWidth="1"/>
    <col min="3" max="8" width="12" style="56" customWidth="1"/>
    <col min="9" max="9" width="19.7109375" style="56" customWidth="1"/>
    <col min="10" max="10" width="11.140625" style="56" bestFit="1" customWidth="1"/>
    <col min="11" max="11" width="19.85546875" style="56" customWidth="1"/>
    <col min="12" max="12" width="35.7109375" style="56" customWidth="1"/>
    <col min="13" max="13" width="32.140625" style="56" customWidth="1"/>
    <col min="14" max="16384" width="9.140625" style="56"/>
  </cols>
  <sheetData>
    <row r="1" spans="2:13" ht="15.75" hidden="1" thickBot="1" x14ac:dyDescent="0.3">
      <c r="B1" s="312" t="s">
        <v>17</v>
      </c>
      <c r="C1" s="312"/>
      <c r="D1" s="312"/>
      <c r="E1" s="312"/>
      <c r="F1" s="312"/>
      <c r="G1" s="312"/>
    </row>
    <row r="2" spans="2:13" ht="15.75" hidden="1" thickBot="1" x14ac:dyDescent="0.3">
      <c r="B2" s="57" t="s">
        <v>18</v>
      </c>
      <c r="C2" s="58" t="s">
        <v>19</v>
      </c>
      <c r="D2" s="58" t="s">
        <v>20</v>
      </c>
      <c r="E2" s="58" t="s">
        <v>21</v>
      </c>
      <c r="F2" s="58" t="s">
        <v>22</v>
      </c>
      <c r="G2" s="58"/>
    </row>
    <row r="3" spans="2:13" hidden="1" x14ac:dyDescent="0.25">
      <c r="B3" s="59">
        <v>41030</v>
      </c>
      <c r="C3" s="61">
        <v>4</v>
      </c>
      <c r="D3" s="61">
        <v>1</v>
      </c>
      <c r="E3" s="61">
        <v>0.5</v>
      </c>
      <c r="F3" s="61">
        <v>40</v>
      </c>
      <c r="G3" s="61"/>
      <c r="J3" s="62"/>
    </row>
    <row r="4" spans="2:13" hidden="1" x14ac:dyDescent="0.25">
      <c r="B4" s="59">
        <v>41061</v>
      </c>
      <c r="C4" s="61">
        <v>4</v>
      </c>
      <c r="D4" s="61">
        <v>1</v>
      </c>
      <c r="E4" s="61">
        <v>0.5</v>
      </c>
      <c r="F4" s="61">
        <v>30</v>
      </c>
      <c r="G4" s="61"/>
      <c r="J4" s="62"/>
    </row>
    <row r="5" spans="2:13" hidden="1" x14ac:dyDescent="0.25">
      <c r="B5" s="59">
        <v>41091</v>
      </c>
      <c r="C5" s="61">
        <v>3</v>
      </c>
      <c r="D5" s="61">
        <v>1</v>
      </c>
      <c r="E5" s="61">
        <v>0.5</v>
      </c>
      <c r="F5" s="61">
        <v>20</v>
      </c>
      <c r="G5" s="61"/>
      <c r="J5" s="62"/>
    </row>
    <row r="6" spans="2:13" hidden="1" x14ac:dyDescent="0.25">
      <c r="B6" s="63">
        <v>41122</v>
      </c>
      <c r="C6" s="64"/>
      <c r="D6" s="64"/>
      <c r="E6" s="64"/>
      <c r="F6" s="64"/>
      <c r="G6" s="64"/>
      <c r="J6" s="62"/>
    </row>
    <row r="7" spans="2:13" hidden="1" x14ac:dyDescent="0.25">
      <c r="B7" s="63">
        <v>41153</v>
      </c>
      <c r="C7" s="64"/>
      <c r="D7" s="64"/>
      <c r="E7" s="64"/>
      <c r="F7" s="64"/>
      <c r="G7" s="64"/>
      <c r="I7" s="62"/>
      <c r="J7" s="62"/>
    </row>
    <row r="8" spans="2:13" hidden="1" x14ac:dyDescent="0.25">
      <c r="B8" s="63">
        <v>41183</v>
      </c>
      <c r="C8" s="64"/>
      <c r="D8" s="64"/>
      <c r="E8" s="64"/>
      <c r="F8" s="64"/>
      <c r="G8" s="64"/>
      <c r="I8" s="62"/>
      <c r="J8" s="62"/>
    </row>
    <row r="9" spans="2:13" hidden="1" x14ac:dyDescent="0.25">
      <c r="B9" s="63">
        <v>41214</v>
      </c>
      <c r="C9" s="64"/>
      <c r="D9" s="64"/>
      <c r="E9" s="64"/>
      <c r="F9" s="64"/>
      <c r="G9" s="64"/>
      <c r="I9" s="62"/>
      <c r="J9" s="62"/>
    </row>
    <row r="10" spans="2:13" hidden="1" x14ac:dyDescent="0.25">
      <c r="B10" s="63">
        <v>41244</v>
      </c>
      <c r="C10" s="64"/>
      <c r="D10" s="64"/>
      <c r="E10" s="64"/>
      <c r="F10" s="64"/>
      <c r="G10" s="64"/>
      <c r="I10" s="62"/>
      <c r="J10" s="62"/>
    </row>
    <row r="11" spans="2:13" hidden="1" x14ac:dyDescent="0.25">
      <c r="B11" s="59">
        <v>41275</v>
      </c>
      <c r="C11" s="61">
        <v>3</v>
      </c>
      <c r="D11" s="61">
        <v>1</v>
      </c>
      <c r="E11" s="61">
        <v>0.5</v>
      </c>
      <c r="F11" s="60">
        <v>0</v>
      </c>
      <c r="G11" s="60"/>
      <c r="I11" s="62"/>
      <c r="J11" s="62"/>
    </row>
    <row r="12" spans="2:13" hidden="1" x14ac:dyDescent="0.25">
      <c r="B12" s="59">
        <v>41306</v>
      </c>
      <c r="C12" s="61">
        <v>4</v>
      </c>
      <c r="D12" s="61">
        <v>1</v>
      </c>
      <c r="E12" s="61">
        <v>0.5</v>
      </c>
      <c r="F12" s="60">
        <v>0</v>
      </c>
      <c r="G12" s="60"/>
      <c r="I12" s="62"/>
      <c r="J12" s="62"/>
    </row>
    <row r="13" spans="2:13" hidden="1" x14ac:dyDescent="0.25">
      <c r="B13" s="59">
        <v>41334</v>
      </c>
      <c r="C13" s="61">
        <v>4</v>
      </c>
      <c r="D13" s="61">
        <v>2</v>
      </c>
      <c r="E13" s="61">
        <v>0.5</v>
      </c>
      <c r="F13" s="60">
        <v>0</v>
      </c>
      <c r="G13" s="60"/>
      <c r="I13" s="62"/>
      <c r="J13" s="62"/>
    </row>
    <row r="14" spans="2:13" hidden="1" x14ac:dyDescent="0.25">
      <c r="B14" s="59">
        <v>41365</v>
      </c>
      <c r="C14" s="61">
        <v>5</v>
      </c>
      <c r="D14" s="61">
        <v>3</v>
      </c>
      <c r="E14" s="61">
        <v>0.5</v>
      </c>
      <c r="F14" s="60">
        <v>0</v>
      </c>
      <c r="G14" s="60"/>
      <c r="I14" s="65"/>
      <c r="J14" s="65"/>
      <c r="K14" s="65"/>
    </row>
    <row r="15" spans="2:13" hidden="1" x14ac:dyDescent="0.25">
      <c r="I15" s="65"/>
      <c r="J15" s="65"/>
      <c r="K15" s="65"/>
    </row>
    <row r="16" spans="2:13" hidden="1" x14ac:dyDescent="0.25">
      <c r="B16" s="66" t="s">
        <v>23</v>
      </c>
      <c r="C16" s="67">
        <f>SUM(C3:C14)*4.33</f>
        <v>116.91</v>
      </c>
      <c r="D16" s="67">
        <f t="shared" ref="D16:F16" si="0">SUM(D3:D14)*4.33</f>
        <v>43.3</v>
      </c>
      <c r="E16" s="67">
        <f t="shared" si="0"/>
        <v>15.155000000000001</v>
      </c>
      <c r="F16" s="67">
        <f t="shared" si="0"/>
        <v>389.7</v>
      </c>
      <c r="G16" s="67"/>
      <c r="I16" s="65"/>
      <c r="J16" s="68"/>
      <c r="K16" s="68"/>
      <c r="L16" s="65"/>
      <c r="M16" s="65"/>
    </row>
    <row r="17" spans="1:14" hidden="1" x14ac:dyDescent="0.25">
      <c r="B17" s="69" t="s">
        <v>24</v>
      </c>
      <c r="C17" s="70">
        <v>50</v>
      </c>
      <c r="D17" s="70">
        <v>50</v>
      </c>
      <c r="E17" s="70">
        <v>50</v>
      </c>
      <c r="F17" s="70">
        <v>50</v>
      </c>
      <c r="G17" s="70"/>
      <c r="I17" s="65"/>
      <c r="J17" s="68"/>
      <c r="K17" s="68"/>
      <c r="L17" s="65"/>
      <c r="M17" s="65"/>
    </row>
    <row r="18" spans="1:14" ht="15.75" hidden="1" thickBot="1" x14ac:dyDescent="0.3">
      <c r="B18" s="72" t="s">
        <v>25</v>
      </c>
      <c r="C18" s="73">
        <f t="shared" ref="C18:F18" si="1">+C16*C17</f>
        <v>5845.5</v>
      </c>
      <c r="D18" s="73">
        <f t="shared" si="1"/>
        <v>2165</v>
      </c>
      <c r="E18" s="73">
        <f t="shared" si="1"/>
        <v>757.75</v>
      </c>
      <c r="F18" s="73">
        <f t="shared" si="1"/>
        <v>19485</v>
      </c>
      <c r="G18" s="73"/>
      <c r="H18" s="74">
        <v>0.3</v>
      </c>
      <c r="I18" s="75" t="s">
        <v>26</v>
      </c>
      <c r="J18" s="68"/>
      <c r="K18" s="68"/>
      <c r="L18" s="65"/>
      <c r="M18" s="65"/>
    </row>
    <row r="19" spans="1:14" ht="15.75" hidden="1" thickBot="1" x14ac:dyDescent="0.3">
      <c r="H19" s="76">
        <f>1-H18</f>
        <v>0.7</v>
      </c>
      <c r="I19" s="77" t="s">
        <v>27</v>
      </c>
      <c r="J19" s="68"/>
      <c r="K19" s="68"/>
      <c r="L19" s="65"/>
      <c r="M19" s="65"/>
    </row>
    <row r="20" spans="1:14" s="71" customFormat="1" hidden="1" x14ac:dyDescent="0.25">
      <c r="H20" s="78"/>
      <c r="J20" s="79"/>
      <c r="K20" s="80"/>
      <c r="L20" s="80"/>
      <c r="M20" s="79"/>
      <c r="N20" s="79"/>
    </row>
    <row r="21" spans="1:14" s="71" customFormat="1" x14ac:dyDescent="0.25">
      <c r="B21" s="313"/>
      <c r="C21" s="313"/>
      <c r="D21" s="313"/>
      <c r="E21" s="313"/>
      <c r="F21" s="313"/>
      <c r="G21" s="313"/>
    </row>
    <row r="22" spans="1:14" s="71" customFormat="1" ht="41.25" customHeight="1" x14ac:dyDescent="0.25">
      <c r="A22" s="229"/>
      <c r="B22" s="315" t="s">
        <v>190</v>
      </c>
      <c r="C22" s="315"/>
      <c r="D22" s="315"/>
      <c r="E22" s="315"/>
      <c r="F22" s="315"/>
      <c r="G22" s="315"/>
      <c r="H22" s="315"/>
    </row>
    <row r="23" spans="1:14" s="71" customFormat="1" ht="36.75" customHeight="1" thickBot="1" x14ac:dyDescent="0.3">
      <c r="A23" s="229"/>
      <c r="B23" s="231" t="s">
        <v>18</v>
      </c>
      <c r="C23" s="290" t="s">
        <v>173</v>
      </c>
      <c r="D23" s="290" t="s">
        <v>174</v>
      </c>
      <c r="E23" s="290" t="s">
        <v>175</v>
      </c>
      <c r="F23" s="290" t="s">
        <v>176</v>
      </c>
      <c r="G23" s="290" t="s">
        <v>177</v>
      </c>
      <c r="H23" s="232" t="s">
        <v>2</v>
      </c>
    </row>
    <row r="24" spans="1:14" s="71" customFormat="1" x14ac:dyDescent="0.25">
      <c r="A24" s="229"/>
      <c r="B24" s="237">
        <v>42856</v>
      </c>
      <c r="C24" s="291">
        <v>3</v>
      </c>
      <c r="D24" s="292">
        <v>0</v>
      </c>
      <c r="E24" s="238">
        <v>2</v>
      </c>
      <c r="F24" s="239">
        <v>0.5</v>
      </c>
      <c r="G24" s="239">
        <v>1.5</v>
      </c>
      <c r="H24" s="240"/>
      <c r="K24" s="295"/>
    </row>
    <row r="25" spans="1:14" s="71" customFormat="1" x14ac:dyDescent="0.25">
      <c r="A25" s="229"/>
      <c r="B25" s="237">
        <v>42887</v>
      </c>
      <c r="C25" s="291">
        <v>3</v>
      </c>
      <c r="D25" s="292">
        <v>0</v>
      </c>
      <c r="E25" s="291">
        <v>2</v>
      </c>
      <c r="F25" s="291">
        <v>0.5</v>
      </c>
      <c r="G25" s="291">
        <v>1.5</v>
      </c>
      <c r="H25" s="293">
        <f t="shared" ref="H25:H38" si="2">SUM(C25:G25)</f>
        <v>7</v>
      </c>
      <c r="J25" s="78"/>
      <c r="K25" s="295"/>
    </row>
    <row r="26" spans="1:14" s="71" customFormat="1" x14ac:dyDescent="0.25">
      <c r="A26" s="229"/>
      <c r="B26" s="237">
        <v>42917</v>
      </c>
      <c r="C26" s="291">
        <v>0.5</v>
      </c>
      <c r="D26" s="292">
        <v>0</v>
      </c>
      <c r="E26" s="291">
        <v>2</v>
      </c>
      <c r="F26" s="291">
        <v>0.5</v>
      </c>
      <c r="G26" s="291">
        <v>0.5</v>
      </c>
      <c r="H26" s="293">
        <f t="shared" si="2"/>
        <v>3.5</v>
      </c>
      <c r="J26" s="249"/>
      <c r="K26" s="295"/>
    </row>
    <row r="27" spans="1:14" s="71" customFormat="1" x14ac:dyDescent="0.25">
      <c r="A27" s="229"/>
      <c r="B27" s="237">
        <v>42948</v>
      </c>
      <c r="C27" s="291">
        <v>0.5</v>
      </c>
      <c r="D27" s="292">
        <v>0</v>
      </c>
      <c r="E27" s="292">
        <v>0.5</v>
      </c>
      <c r="F27" s="292">
        <v>0.5</v>
      </c>
      <c r="G27" s="292">
        <v>0.5</v>
      </c>
      <c r="H27" s="293">
        <f t="shared" si="2"/>
        <v>2</v>
      </c>
      <c r="J27" s="249"/>
      <c r="K27" s="295"/>
    </row>
    <row r="28" spans="1:14" s="71" customFormat="1" x14ac:dyDescent="0.25">
      <c r="A28" s="229"/>
      <c r="B28" s="237">
        <v>42979</v>
      </c>
      <c r="C28" s="291">
        <v>1.5</v>
      </c>
      <c r="D28" s="291">
        <v>0</v>
      </c>
      <c r="E28" s="292">
        <v>0.5</v>
      </c>
      <c r="F28" s="292">
        <v>0.5</v>
      </c>
      <c r="G28" s="292">
        <v>5</v>
      </c>
      <c r="H28" s="293">
        <f t="shared" si="2"/>
        <v>7.5</v>
      </c>
      <c r="K28" s="295"/>
    </row>
    <row r="29" spans="1:14" s="71" customFormat="1" x14ac:dyDescent="0.25">
      <c r="A29" s="229"/>
      <c r="B29" s="237">
        <v>43009</v>
      </c>
      <c r="C29" s="291">
        <v>1.5</v>
      </c>
      <c r="D29" s="291">
        <v>0.5</v>
      </c>
      <c r="E29" s="292">
        <v>0.5</v>
      </c>
      <c r="F29" s="292">
        <v>0.5</v>
      </c>
      <c r="G29" s="292">
        <v>5</v>
      </c>
      <c r="H29" s="293">
        <f t="shared" si="2"/>
        <v>8</v>
      </c>
      <c r="K29" s="295"/>
    </row>
    <row r="30" spans="1:14" s="71" customFormat="1" x14ac:dyDescent="0.25">
      <c r="A30" s="229"/>
      <c r="B30" s="237">
        <v>43040</v>
      </c>
      <c r="C30" s="291">
        <v>0.5</v>
      </c>
      <c r="D30" s="291">
        <v>0.5</v>
      </c>
      <c r="E30" s="292">
        <v>0.5</v>
      </c>
      <c r="F30" s="292">
        <v>0.5</v>
      </c>
      <c r="G30" s="292">
        <v>0.5</v>
      </c>
      <c r="H30" s="293">
        <f t="shared" si="2"/>
        <v>2.5</v>
      </c>
      <c r="K30" s="295"/>
    </row>
    <row r="31" spans="1:14" s="71" customFormat="1" x14ac:dyDescent="0.25">
      <c r="A31" s="229"/>
      <c r="B31" s="237">
        <v>43070</v>
      </c>
      <c r="C31" s="291">
        <v>0.5</v>
      </c>
      <c r="D31" s="291">
        <v>0</v>
      </c>
      <c r="E31" s="292">
        <v>0.5</v>
      </c>
      <c r="F31" s="292">
        <v>0.5</v>
      </c>
      <c r="G31" s="292">
        <v>0.5</v>
      </c>
      <c r="H31" s="293">
        <f t="shared" si="2"/>
        <v>2</v>
      </c>
    </row>
    <row r="32" spans="1:14" s="71" customFormat="1" x14ac:dyDescent="0.25">
      <c r="A32" s="229"/>
      <c r="B32" s="237">
        <v>43101</v>
      </c>
      <c r="C32" s="291">
        <v>0.5</v>
      </c>
      <c r="D32" s="291">
        <v>0.5</v>
      </c>
      <c r="E32" s="292">
        <v>0.5</v>
      </c>
      <c r="F32" s="292">
        <v>0.5</v>
      </c>
      <c r="G32" s="292">
        <v>0.5</v>
      </c>
      <c r="H32" s="293">
        <f t="shared" si="2"/>
        <v>2.5</v>
      </c>
    </row>
    <row r="33" spans="1:15" s="71" customFormat="1" x14ac:dyDescent="0.25">
      <c r="A33" s="230"/>
      <c r="B33" s="237">
        <v>43132</v>
      </c>
      <c r="C33" s="291">
        <v>0.5</v>
      </c>
      <c r="D33" s="291">
        <v>0</v>
      </c>
      <c r="E33" s="292">
        <v>0.5</v>
      </c>
      <c r="F33" s="292">
        <v>0.5</v>
      </c>
      <c r="G33" s="292">
        <v>0.5</v>
      </c>
      <c r="H33" s="293">
        <f t="shared" si="2"/>
        <v>2</v>
      </c>
    </row>
    <row r="34" spans="1:15" s="71" customFormat="1" x14ac:dyDescent="0.25">
      <c r="A34" s="230"/>
      <c r="B34" s="237">
        <v>43160</v>
      </c>
      <c r="C34" s="291">
        <v>0.5</v>
      </c>
      <c r="D34" s="291">
        <v>0</v>
      </c>
      <c r="E34" s="292">
        <v>0.5</v>
      </c>
      <c r="F34" s="292">
        <v>0.5</v>
      </c>
      <c r="G34" s="292">
        <v>0.5</v>
      </c>
      <c r="H34" s="293">
        <f t="shared" si="2"/>
        <v>2</v>
      </c>
    </row>
    <row r="35" spans="1:15" s="71" customFormat="1" x14ac:dyDescent="0.25">
      <c r="A35" s="230"/>
      <c r="B35" s="237">
        <v>43191</v>
      </c>
      <c r="C35" s="291">
        <v>0.5</v>
      </c>
      <c r="D35" s="291">
        <v>0.5</v>
      </c>
      <c r="E35" s="292">
        <v>0.5</v>
      </c>
      <c r="F35" s="292">
        <v>0.5</v>
      </c>
      <c r="G35" s="292">
        <v>0.5</v>
      </c>
      <c r="H35" s="293">
        <f t="shared" si="2"/>
        <v>2.5</v>
      </c>
    </row>
    <row r="36" spans="1:15" s="71" customFormat="1" x14ac:dyDescent="0.25">
      <c r="A36" s="230"/>
      <c r="B36" s="237">
        <v>43221</v>
      </c>
      <c r="C36" s="291">
        <v>3</v>
      </c>
      <c r="D36" s="291">
        <v>0.5</v>
      </c>
      <c r="E36" s="292">
        <v>2</v>
      </c>
      <c r="F36" s="292">
        <v>0.5</v>
      </c>
      <c r="G36" s="291">
        <v>1.5</v>
      </c>
      <c r="H36" s="293">
        <f t="shared" si="2"/>
        <v>7.5</v>
      </c>
      <c r="I36" s="79"/>
      <c r="J36" s="79"/>
      <c r="K36" s="79"/>
    </row>
    <row r="37" spans="1:15" s="71" customFormat="1" x14ac:dyDescent="0.25">
      <c r="A37" s="230"/>
      <c r="B37" s="237">
        <v>43252</v>
      </c>
      <c r="C37" s="291">
        <v>3</v>
      </c>
      <c r="D37" s="291">
        <v>0.5</v>
      </c>
      <c r="E37" s="292">
        <v>2</v>
      </c>
      <c r="F37" s="292">
        <v>0.5</v>
      </c>
      <c r="G37" s="291">
        <v>1.5</v>
      </c>
      <c r="H37" s="293">
        <f t="shared" si="2"/>
        <v>7.5</v>
      </c>
      <c r="I37" s="79"/>
      <c r="J37" s="79"/>
      <c r="K37" s="79"/>
    </row>
    <row r="38" spans="1:15" s="71" customFormat="1" x14ac:dyDescent="0.25">
      <c r="A38" s="230"/>
      <c r="B38" s="237">
        <v>43282</v>
      </c>
      <c r="C38" s="291">
        <v>0.5</v>
      </c>
      <c r="D38" s="291">
        <v>0</v>
      </c>
      <c r="E38" s="292">
        <v>2</v>
      </c>
      <c r="F38" s="292">
        <v>0.5</v>
      </c>
      <c r="G38" s="291">
        <v>0.5</v>
      </c>
      <c r="H38" s="293">
        <f t="shared" si="2"/>
        <v>3.5</v>
      </c>
      <c r="I38" s="79"/>
      <c r="J38" s="80"/>
      <c r="K38" s="80"/>
      <c r="L38" s="79"/>
      <c r="M38" s="79"/>
    </row>
    <row r="39" spans="1:15" s="71" customFormat="1" x14ac:dyDescent="0.25">
      <c r="A39" s="230"/>
      <c r="B39" s="233" t="s">
        <v>23</v>
      </c>
      <c r="C39" s="241">
        <f>SUM(C24:C38)*4</f>
        <v>78</v>
      </c>
      <c r="D39" s="241">
        <f>SUM(D24:D38)*4</f>
        <v>12</v>
      </c>
      <c r="E39" s="241">
        <f>SUM(E24:E38)*4</f>
        <v>66</v>
      </c>
      <c r="F39" s="241">
        <f>SUM(F24:F38)*4</f>
        <v>30</v>
      </c>
      <c r="G39" s="241">
        <f>SUM(G24:G38)*4</f>
        <v>82</v>
      </c>
      <c r="H39" s="241">
        <f>SUM(C39:G39)</f>
        <v>268</v>
      </c>
      <c r="I39" s="79"/>
      <c r="J39" s="80"/>
      <c r="K39" s="80"/>
      <c r="L39" s="79"/>
      <c r="M39" s="79"/>
    </row>
    <row r="40" spans="1:15" s="71" customFormat="1" x14ac:dyDescent="0.25">
      <c r="A40" s="230"/>
      <c r="B40" s="234" t="s">
        <v>24</v>
      </c>
      <c r="C40" s="294">
        <v>70</v>
      </c>
      <c r="D40" s="294">
        <v>70</v>
      </c>
      <c r="E40" s="294">
        <v>70</v>
      </c>
      <c r="F40" s="294">
        <v>70</v>
      </c>
      <c r="G40" s="294">
        <v>70</v>
      </c>
      <c r="H40" s="294">
        <v>70</v>
      </c>
      <c r="I40" s="88"/>
      <c r="J40" s="80"/>
      <c r="K40" s="80"/>
      <c r="L40" s="79"/>
      <c r="M40" s="79"/>
    </row>
    <row r="41" spans="1:15" s="71" customFormat="1" ht="15.75" thickBot="1" x14ac:dyDescent="0.3">
      <c r="A41" s="230"/>
      <c r="B41" s="235" t="s">
        <v>25</v>
      </c>
      <c r="C41" s="236">
        <f t="shared" ref="C41" si="3">C40*C39</f>
        <v>5460</v>
      </c>
      <c r="D41" s="236">
        <f t="shared" ref="D41" si="4">D40*D39</f>
        <v>840</v>
      </c>
      <c r="E41" s="236">
        <f t="shared" ref="E41" si="5">E40*E39</f>
        <v>4620</v>
      </c>
      <c r="F41" s="236">
        <f t="shared" ref="F41" si="6">F40*F39</f>
        <v>2100</v>
      </c>
      <c r="G41" s="236">
        <f>G40*G39</f>
        <v>5740</v>
      </c>
      <c r="H41" s="236">
        <f>SUM(C41:G41)</f>
        <v>18760</v>
      </c>
      <c r="I41" s="90">
        <f>H41*J41</f>
        <v>13132</v>
      </c>
      <c r="J41" s="91">
        <v>0.7</v>
      </c>
      <c r="K41" s="92" t="s">
        <v>29</v>
      </c>
      <c r="L41" s="79"/>
      <c r="M41" s="79"/>
    </row>
    <row r="42" spans="1:15" s="71" customFormat="1" ht="15.75" thickTop="1" x14ac:dyDescent="0.25">
      <c r="H42" s="78"/>
      <c r="I42" s="78">
        <f>H41*J42</f>
        <v>5628</v>
      </c>
      <c r="J42" s="91">
        <v>0.3</v>
      </c>
      <c r="K42" s="93" t="s">
        <v>26</v>
      </c>
      <c r="L42" s="80"/>
      <c r="M42" s="79"/>
      <c r="N42" s="79"/>
    </row>
    <row r="43" spans="1:15" ht="45.75" customHeight="1" x14ac:dyDescent="0.25">
      <c r="B43" s="314"/>
      <c r="C43" s="314"/>
      <c r="D43" s="314"/>
      <c r="E43" s="314"/>
      <c r="F43" s="84"/>
      <c r="G43" s="84"/>
      <c r="H43" s="81"/>
      <c r="I43" s="82"/>
      <c r="K43" s="65"/>
      <c r="L43" s="68"/>
      <c r="M43" s="68"/>
      <c r="N43" s="65"/>
      <c r="O43" s="65"/>
    </row>
    <row r="44" spans="1:15" s="65" customFormat="1" ht="30.75" customHeight="1" x14ac:dyDescent="0.25">
      <c r="A44" s="81"/>
      <c r="B44" s="178"/>
      <c r="C44" s="87"/>
      <c r="D44" s="179"/>
      <c r="E44" s="180"/>
      <c r="F44" s="181"/>
      <c r="G44" s="180"/>
      <c r="H44" s="81"/>
      <c r="I44" s="81"/>
      <c r="J44" s="81"/>
      <c r="K44" s="81"/>
    </row>
    <row r="45" spans="1:15" x14ac:dyDescent="0.25">
      <c r="A45" s="81"/>
      <c r="B45" s="182"/>
      <c r="C45" s="183"/>
      <c r="D45" s="184"/>
      <c r="E45" s="185"/>
      <c r="F45" s="186"/>
      <c r="G45" s="186"/>
      <c r="H45" s="81"/>
      <c r="I45" s="81"/>
      <c r="J45" s="81"/>
      <c r="K45" s="81"/>
    </row>
    <row r="46" spans="1:15" x14ac:dyDescent="0.25">
      <c r="A46" s="81"/>
      <c r="B46" s="182"/>
      <c r="C46" s="183"/>
      <c r="D46" s="184"/>
      <c r="E46" s="185"/>
      <c r="F46" s="186"/>
      <c r="G46" s="186"/>
      <c r="H46" s="81"/>
      <c r="I46" s="81"/>
      <c r="J46" s="81"/>
      <c r="K46" s="81"/>
    </row>
    <row r="47" spans="1:15" x14ac:dyDescent="0.25">
      <c r="A47" s="81"/>
      <c r="B47" s="182"/>
      <c r="C47" s="183"/>
      <c r="D47" s="184"/>
      <c r="E47" s="185"/>
      <c r="F47" s="186"/>
      <c r="G47" s="186"/>
      <c r="H47" s="81"/>
      <c r="I47" s="81"/>
      <c r="J47" s="81"/>
      <c r="K47" s="81"/>
    </row>
    <row r="48" spans="1:15" x14ac:dyDescent="0.25">
      <c r="A48" s="81"/>
      <c r="B48" s="182"/>
      <c r="C48" s="183"/>
      <c r="D48" s="184"/>
      <c r="E48" s="185"/>
      <c r="F48" s="186"/>
      <c r="G48" s="186"/>
      <c r="H48" s="81"/>
      <c r="I48" s="81"/>
      <c r="J48" s="81"/>
      <c r="K48" s="81"/>
    </row>
    <row r="49" spans="1:11" x14ac:dyDescent="0.25">
      <c r="A49" s="81"/>
      <c r="B49" s="182"/>
      <c r="C49" s="183"/>
      <c r="D49" s="184"/>
      <c r="E49" s="185"/>
      <c r="F49" s="186"/>
      <c r="G49" s="186"/>
      <c r="H49" s="81"/>
      <c r="I49" s="81"/>
      <c r="J49" s="81"/>
      <c r="K49" s="81"/>
    </row>
    <row r="50" spans="1:11" x14ac:dyDescent="0.25">
      <c r="A50" s="81"/>
      <c r="B50" s="182"/>
      <c r="C50" s="183"/>
      <c r="D50" s="184"/>
      <c r="E50" s="185"/>
      <c r="F50" s="186"/>
      <c r="G50" s="186"/>
      <c r="H50" s="81"/>
      <c r="I50" s="81"/>
      <c r="J50" s="81"/>
      <c r="K50" s="81"/>
    </row>
    <row r="51" spans="1:11" x14ac:dyDescent="0.25">
      <c r="A51" s="81"/>
      <c r="B51" s="182"/>
      <c r="C51" s="183"/>
      <c r="D51" s="184"/>
      <c r="E51" s="185"/>
      <c r="F51" s="186"/>
      <c r="G51" s="186"/>
      <c r="H51" s="81"/>
      <c r="I51" s="81"/>
      <c r="J51" s="81"/>
      <c r="K51" s="81"/>
    </row>
    <row r="52" spans="1:11" x14ac:dyDescent="0.25">
      <c r="A52" s="81"/>
      <c r="B52" s="182"/>
      <c r="C52" s="183"/>
      <c r="D52" s="184"/>
      <c r="E52" s="185"/>
      <c r="F52" s="186"/>
      <c r="G52" s="186"/>
      <c r="H52" s="81"/>
      <c r="I52" s="81"/>
      <c r="J52" s="81"/>
      <c r="K52" s="81"/>
    </row>
    <row r="53" spans="1:11" x14ac:dyDescent="0.25">
      <c r="A53" s="81"/>
      <c r="B53" s="182"/>
      <c r="C53" s="183"/>
      <c r="D53" s="184"/>
      <c r="E53" s="185"/>
      <c r="F53" s="186"/>
      <c r="G53" s="186"/>
      <c r="H53" s="81"/>
      <c r="I53" s="81"/>
      <c r="J53" s="81"/>
      <c r="K53" s="81"/>
    </row>
    <row r="54" spans="1:11" x14ac:dyDescent="0.25">
      <c r="A54" s="81"/>
      <c r="B54" s="182"/>
      <c r="C54" s="183"/>
      <c r="D54" s="184"/>
      <c r="E54" s="185"/>
      <c r="F54" s="186"/>
      <c r="G54" s="186"/>
      <c r="H54" s="81"/>
      <c r="I54" s="81"/>
      <c r="J54" s="81"/>
      <c r="K54" s="81"/>
    </row>
    <row r="55" spans="1:11" x14ac:dyDescent="0.25">
      <c r="A55" s="81"/>
      <c r="B55" s="182"/>
      <c r="C55" s="183"/>
      <c r="D55" s="184"/>
      <c r="E55" s="185"/>
      <c r="F55" s="186"/>
      <c r="G55" s="186"/>
      <c r="H55" s="81"/>
      <c r="I55" s="81"/>
      <c r="J55" s="81"/>
      <c r="K55" s="81"/>
    </row>
    <row r="56" spans="1:11" x14ac:dyDescent="0.25">
      <c r="A56" s="81"/>
      <c r="B56" s="182"/>
      <c r="C56" s="183"/>
      <c r="D56" s="184"/>
      <c r="E56" s="185"/>
      <c r="F56" s="186"/>
      <c r="G56" s="186"/>
      <c r="H56" s="81"/>
      <c r="I56" s="81"/>
      <c r="J56" s="81"/>
      <c r="K56" s="81"/>
    </row>
    <row r="57" spans="1:11" x14ac:dyDescent="0.25">
      <c r="A57" s="81"/>
      <c r="B57" s="187"/>
      <c r="C57" s="188"/>
      <c r="D57" s="189"/>
      <c r="E57" s="185"/>
      <c r="F57" s="190"/>
      <c r="G57" s="190"/>
      <c r="H57" s="81"/>
      <c r="I57" s="81"/>
      <c r="J57" s="81"/>
      <c r="K57" s="81"/>
    </row>
    <row r="58" spans="1:11" x14ac:dyDescent="0.25">
      <c r="A58" s="81"/>
      <c r="B58" s="85"/>
      <c r="C58" s="86"/>
      <c r="D58" s="177"/>
      <c r="E58" s="86"/>
      <c r="F58" s="86"/>
      <c r="G58" s="86"/>
      <c r="H58" s="81"/>
      <c r="I58" s="81"/>
      <c r="J58" s="81"/>
      <c r="K58" s="81"/>
    </row>
    <row r="59" spans="1:11" x14ac:dyDescent="0.25">
      <c r="A59" s="81"/>
      <c r="B59" s="179"/>
      <c r="C59" s="179"/>
      <c r="D59" s="179"/>
      <c r="E59" s="179"/>
      <c r="F59" s="179"/>
      <c r="G59" s="179"/>
      <c r="H59" s="81"/>
      <c r="I59" s="81"/>
      <c r="J59" s="81"/>
      <c r="K59" s="81"/>
    </row>
    <row r="60" spans="1:11" x14ac:dyDescent="0.25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</row>
    <row r="61" spans="1:11" x14ac:dyDescent="0.25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</row>
    <row r="62" spans="1:11" x14ac:dyDescent="0.25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</row>
    <row r="63" spans="1:11" x14ac:dyDescent="0.25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</row>
    <row r="64" spans="1:11" x14ac:dyDescent="0.25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</row>
    <row r="65" spans="1:11" x14ac:dyDescent="0.25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</row>
    <row r="66" spans="1:11" x14ac:dyDescent="0.25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</row>
    <row r="67" spans="1:11" x14ac:dyDescent="0.25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</row>
    <row r="68" spans="1:11" x14ac:dyDescent="0.25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</row>
    <row r="69" spans="1:11" x14ac:dyDescent="0.25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</row>
    <row r="70" spans="1:11" x14ac:dyDescent="0.25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</row>
    <row r="71" spans="1:11" x14ac:dyDescent="0.25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</row>
    <row r="72" spans="1:11" x14ac:dyDescent="0.25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</row>
    <row r="73" spans="1:11" x14ac:dyDescent="0.25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</row>
    <row r="74" spans="1:11" x14ac:dyDescent="0.25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</row>
    <row r="75" spans="1:11" x14ac:dyDescent="0.25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</row>
    <row r="76" spans="1:11" x14ac:dyDescent="0.25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</row>
    <row r="77" spans="1:11" x14ac:dyDescent="0.25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</row>
    <row r="78" spans="1:11" x14ac:dyDescent="0.25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</row>
    <row r="79" spans="1:11" x14ac:dyDescent="0.25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</row>
    <row r="80" spans="1:11" x14ac:dyDescent="0.25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</row>
    <row r="81" spans="1:11" x14ac:dyDescent="0.25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</row>
    <row r="82" spans="1:11" ht="15" customHeight="1" x14ac:dyDescent="0.25">
      <c r="A82" s="81"/>
      <c r="B82" s="191"/>
      <c r="C82" s="191"/>
      <c r="D82" s="191"/>
      <c r="E82" s="81"/>
      <c r="F82" s="81"/>
      <c r="G82" s="81"/>
      <c r="H82" s="81"/>
      <c r="I82" s="81"/>
      <c r="J82" s="81"/>
      <c r="K82" s="81"/>
    </row>
    <row r="83" spans="1:11" x14ac:dyDescent="0.25">
      <c r="A83" s="81"/>
      <c r="B83" s="192"/>
      <c r="C83" s="193"/>
      <c r="D83" s="194"/>
      <c r="E83" s="81"/>
      <c r="F83" s="83"/>
      <c r="G83" s="83"/>
      <c r="H83" s="81"/>
      <c r="I83" s="81"/>
      <c r="J83" s="81"/>
      <c r="K83" s="81"/>
    </row>
    <row r="84" spans="1:11" x14ac:dyDescent="0.25">
      <c r="A84" s="81"/>
      <c r="B84" s="195"/>
      <c r="C84" s="196"/>
      <c r="D84" s="192"/>
      <c r="E84" s="81"/>
      <c r="F84" s="81"/>
      <c r="G84" s="81"/>
      <c r="H84" s="81"/>
      <c r="I84" s="81"/>
      <c r="J84" s="81"/>
      <c r="K84" s="81"/>
    </row>
    <row r="85" spans="1:11" x14ac:dyDescent="0.25">
      <c r="A85" s="81"/>
      <c r="B85" s="195"/>
      <c r="C85" s="196"/>
      <c r="D85" s="192"/>
      <c r="E85" s="81"/>
      <c r="F85" s="81"/>
      <c r="G85" s="81"/>
      <c r="H85" s="81"/>
      <c r="I85" s="81"/>
      <c r="J85" s="81"/>
      <c r="K85" s="81"/>
    </row>
    <row r="86" spans="1:11" x14ac:dyDescent="0.25">
      <c r="A86" s="81"/>
      <c r="B86" s="195"/>
      <c r="C86" s="196"/>
      <c r="D86" s="192"/>
      <c r="E86" s="81"/>
      <c r="F86" s="81"/>
      <c r="G86" s="81"/>
      <c r="H86" s="81"/>
      <c r="I86" s="81"/>
      <c r="J86" s="81"/>
      <c r="K86" s="81"/>
    </row>
    <row r="87" spans="1:11" x14ac:dyDescent="0.25">
      <c r="A87" s="81"/>
      <c r="B87" s="182"/>
      <c r="C87" s="196"/>
      <c r="D87" s="192"/>
      <c r="E87" s="81"/>
      <c r="F87" s="81"/>
      <c r="G87" s="81"/>
      <c r="H87" s="81"/>
      <c r="I87" s="81"/>
      <c r="J87" s="81"/>
      <c r="K87" s="81"/>
    </row>
    <row r="88" spans="1:11" x14ac:dyDescent="0.25">
      <c r="A88" s="81"/>
      <c r="B88" s="182"/>
      <c r="C88" s="196"/>
      <c r="D88" s="192"/>
      <c r="E88" s="81"/>
      <c r="F88" s="81"/>
      <c r="G88" s="81"/>
      <c r="H88" s="81"/>
      <c r="I88" s="81"/>
      <c r="J88" s="81"/>
      <c r="K88" s="81"/>
    </row>
    <row r="89" spans="1:11" x14ac:dyDescent="0.25">
      <c r="A89" s="81"/>
      <c r="B89" s="182"/>
      <c r="C89" s="196"/>
      <c r="D89" s="192"/>
      <c r="E89" s="81"/>
      <c r="F89" s="81"/>
      <c r="G89" s="81"/>
      <c r="H89" s="81"/>
      <c r="I89" s="81"/>
      <c r="J89" s="81"/>
      <c r="K89" s="81"/>
    </row>
    <row r="90" spans="1:11" x14ac:dyDescent="0.25">
      <c r="A90" s="81"/>
      <c r="B90" s="182"/>
      <c r="C90" s="196"/>
      <c r="D90" s="192"/>
      <c r="E90" s="81"/>
      <c r="F90" s="81"/>
      <c r="G90" s="81"/>
      <c r="H90" s="81"/>
      <c r="I90" s="81"/>
      <c r="J90" s="81"/>
      <c r="K90" s="81"/>
    </row>
    <row r="91" spans="1:11" x14ac:dyDescent="0.25">
      <c r="A91" s="81"/>
      <c r="B91" s="182"/>
      <c r="C91" s="196"/>
      <c r="D91" s="192"/>
      <c r="E91" s="81"/>
      <c r="F91" s="81"/>
      <c r="G91" s="81"/>
      <c r="H91" s="81"/>
      <c r="I91" s="81"/>
      <c r="J91" s="81"/>
      <c r="K91" s="81"/>
    </row>
    <row r="92" spans="1:11" x14ac:dyDescent="0.25">
      <c r="A92" s="81"/>
      <c r="B92" s="195"/>
      <c r="C92" s="196"/>
      <c r="D92" s="192"/>
      <c r="E92" s="81"/>
      <c r="F92" s="81"/>
      <c r="G92" s="81"/>
      <c r="H92" s="81"/>
      <c r="I92" s="81"/>
      <c r="J92" s="81"/>
      <c r="K92" s="81"/>
    </row>
    <row r="93" spans="1:11" x14ac:dyDescent="0.25">
      <c r="A93" s="81"/>
      <c r="B93" s="195"/>
      <c r="C93" s="196"/>
      <c r="D93" s="192"/>
      <c r="E93" s="81"/>
      <c r="F93" s="81"/>
      <c r="G93" s="81"/>
      <c r="H93" s="81"/>
      <c r="I93" s="81"/>
      <c r="J93" s="81"/>
      <c r="K93" s="81"/>
    </row>
    <row r="94" spans="1:11" x14ac:dyDescent="0.25">
      <c r="A94" s="81"/>
      <c r="B94" s="195"/>
      <c r="C94" s="197"/>
      <c r="D94" s="198"/>
      <c r="E94" s="81"/>
      <c r="F94" s="81"/>
      <c r="G94" s="81"/>
      <c r="H94" s="81"/>
      <c r="I94" s="81"/>
      <c r="J94" s="81"/>
      <c r="K94" s="81"/>
    </row>
    <row r="95" spans="1:11" x14ac:dyDescent="0.25">
      <c r="A95" s="81"/>
      <c r="B95" s="182"/>
      <c r="C95" s="186"/>
      <c r="D95" s="178"/>
      <c r="E95" s="81"/>
      <c r="F95" s="81"/>
      <c r="G95" s="81"/>
      <c r="H95" s="81"/>
      <c r="I95" s="81"/>
      <c r="J95" s="81"/>
      <c r="K95" s="81"/>
    </row>
    <row r="96" spans="1:11" x14ac:dyDescent="0.25">
      <c r="A96" s="81"/>
      <c r="B96" s="199"/>
      <c r="C96" s="190"/>
      <c r="D96" s="200"/>
      <c r="E96" s="81"/>
      <c r="F96" s="81"/>
      <c r="G96" s="81"/>
      <c r="H96" s="81"/>
      <c r="I96" s="81"/>
      <c r="J96" s="81"/>
      <c r="K96" s="81"/>
    </row>
    <row r="97" spans="1:11" x14ac:dyDescent="0.25">
      <c r="A97" s="81"/>
      <c r="B97" s="179"/>
      <c r="C97" s="179"/>
      <c r="D97" s="179"/>
      <c r="E97" s="81"/>
      <c r="F97" s="81"/>
      <c r="G97" s="81"/>
      <c r="H97" s="81"/>
      <c r="I97" s="81"/>
      <c r="J97" s="81"/>
      <c r="K97" s="81"/>
    </row>
    <row r="98" spans="1:11" ht="15" customHeight="1" x14ac:dyDescent="0.25">
      <c r="A98" s="81"/>
      <c r="B98" s="201"/>
      <c r="C98" s="201"/>
      <c r="D98" s="201"/>
      <c r="E98" s="81"/>
      <c r="F98" s="81"/>
      <c r="G98" s="81"/>
      <c r="H98" s="81"/>
      <c r="I98" s="81"/>
      <c r="J98" s="81"/>
      <c r="K98" s="81"/>
    </row>
    <row r="99" spans="1:11" x14ac:dyDescent="0.25">
      <c r="A99" s="81"/>
      <c r="B99" s="178"/>
      <c r="C99" s="87"/>
      <c r="D99" s="179"/>
      <c r="E99" s="81"/>
      <c r="F99" s="81"/>
      <c r="G99" s="81"/>
      <c r="H99" s="81"/>
      <c r="I99" s="81"/>
      <c r="J99" s="81"/>
      <c r="K99" s="81"/>
    </row>
    <row r="100" spans="1:11" x14ac:dyDescent="0.25">
      <c r="A100" s="81"/>
      <c r="B100" s="182"/>
      <c r="C100" s="186"/>
      <c r="D100" s="178"/>
      <c r="E100" s="81"/>
      <c r="F100" s="81"/>
      <c r="G100" s="81"/>
      <c r="H100" s="81"/>
      <c r="I100" s="81"/>
      <c r="J100" s="81"/>
      <c r="K100" s="81"/>
    </row>
    <row r="101" spans="1:11" x14ac:dyDescent="0.25">
      <c r="A101" s="81"/>
      <c r="B101" s="182"/>
      <c r="C101" s="186"/>
      <c r="D101" s="178"/>
      <c r="E101" s="81"/>
      <c r="F101" s="81"/>
      <c r="G101" s="81"/>
      <c r="H101" s="81"/>
      <c r="I101" s="81"/>
      <c r="J101" s="81"/>
      <c r="K101" s="81"/>
    </row>
    <row r="102" spans="1:11" x14ac:dyDescent="0.25">
      <c r="A102" s="81"/>
      <c r="B102" s="182"/>
      <c r="C102" s="186"/>
      <c r="D102" s="178"/>
      <c r="E102" s="81"/>
      <c r="F102" s="81"/>
      <c r="G102" s="81"/>
      <c r="H102" s="81"/>
      <c r="I102" s="81"/>
      <c r="J102" s="81"/>
      <c r="K102" s="81"/>
    </row>
    <row r="103" spans="1:11" x14ac:dyDescent="0.25">
      <c r="A103" s="81"/>
      <c r="B103" s="182"/>
      <c r="C103" s="186"/>
      <c r="D103" s="178"/>
      <c r="E103" s="81"/>
      <c r="F103" s="81"/>
      <c r="G103" s="81"/>
      <c r="H103" s="81"/>
      <c r="I103" s="81"/>
      <c r="J103" s="81"/>
      <c r="K103" s="81"/>
    </row>
    <row r="104" spans="1:11" x14ac:dyDescent="0.25">
      <c r="A104" s="81"/>
      <c r="B104" s="182"/>
      <c r="C104" s="186"/>
      <c r="D104" s="178"/>
      <c r="E104" s="81"/>
      <c r="F104" s="81"/>
      <c r="G104" s="81"/>
      <c r="H104" s="81"/>
      <c r="I104" s="81"/>
      <c r="J104" s="81"/>
      <c r="K104" s="81"/>
    </row>
    <row r="105" spans="1:11" x14ac:dyDescent="0.25">
      <c r="A105" s="81"/>
      <c r="B105" s="182"/>
      <c r="C105" s="186"/>
      <c r="D105" s="178"/>
      <c r="E105" s="81"/>
      <c r="F105" s="81"/>
      <c r="G105" s="81"/>
      <c r="H105" s="81"/>
      <c r="I105" s="81"/>
      <c r="J105" s="81"/>
      <c r="K105" s="81"/>
    </row>
    <row r="106" spans="1:11" x14ac:dyDescent="0.25">
      <c r="A106" s="81"/>
      <c r="B106" s="182"/>
      <c r="C106" s="186"/>
      <c r="D106" s="178"/>
      <c r="E106" s="81"/>
      <c r="F106" s="81"/>
      <c r="G106" s="81"/>
      <c r="H106" s="81"/>
      <c r="I106" s="81"/>
      <c r="J106" s="81"/>
      <c r="K106" s="81"/>
    </row>
    <row r="107" spans="1:11" x14ac:dyDescent="0.25">
      <c r="A107" s="81"/>
      <c r="B107" s="182"/>
      <c r="C107" s="186"/>
      <c r="D107" s="178"/>
      <c r="E107" s="81"/>
      <c r="F107" s="81"/>
      <c r="G107" s="81"/>
      <c r="H107" s="81"/>
      <c r="I107" s="81"/>
      <c r="J107" s="81"/>
      <c r="K107" s="81"/>
    </row>
    <row r="108" spans="1:11" x14ac:dyDescent="0.25">
      <c r="A108" s="81"/>
      <c r="B108" s="182"/>
      <c r="C108" s="186"/>
      <c r="D108" s="178"/>
      <c r="E108" s="81"/>
      <c r="F108" s="81"/>
      <c r="G108" s="81"/>
      <c r="H108" s="81"/>
      <c r="I108" s="81"/>
      <c r="J108" s="81"/>
      <c r="K108" s="81"/>
    </row>
    <row r="109" spans="1:11" x14ac:dyDescent="0.25">
      <c r="A109" s="81"/>
      <c r="B109" s="182"/>
      <c r="C109" s="186"/>
      <c r="D109" s="178"/>
      <c r="E109" s="81"/>
      <c r="F109" s="81"/>
      <c r="G109" s="81"/>
      <c r="H109" s="81"/>
      <c r="I109" s="81"/>
      <c r="J109" s="81"/>
      <c r="K109" s="81"/>
    </row>
    <row r="110" spans="1:11" x14ac:dyDescent="0.25">
      <c r="A110" s="81"/>
      <c r="B110" s="182"/>
      <c r="C110" s="186"/>
      <c r="D110" s="178"/>
      <c r="E110" s="81"/>
      <c r="F110" s="81"/>
      <c r="G110" s="81"/>
      <c r="H110" s="81"/>
      <c r="I110" s="81"/>
      <c r="J110" s="81"/>
      <c r="K110" s="81"/>
    </row>
    <row r="111" spans="1:11" x14ac:dyDescent="0.25">
      <c r="A111" s="81"/>
      <c r="B111" s="182"/>
      <c r="C111" s="186"/>
      <c r="D111" s="178"/>
      <c r="E111" s="81"/>
      <c r="F111" s="81"/>
      <c r="G111" s="81"/>
      <c r="H111" s="81"/>
      <c r="I111" s="81"/>
      <c r="J111" s="81"/>
      <c r="K111" s="81"/>
    </row>
    <row r="112" spans="1:11" x14ac:dyDescent="0.25">
      <c r="A112" s="81"/>
      <c r="B112" s="199"/>
      <c r="C112" s="190"/>
      <c r="D112" s="200"/>
      <c r="E112" s="81"/>
      <c r="F112" s="81"/>
      <c r="G112" s="81"/>
      <c r="H112" s="81"/>
      <c r="I112" s="81"/>
      <c r="J112" s="81"/>
      <c r="K112" s="81"/>
    </row>
    <row r="113" spans="2:5" x14ac:dyDescent="0.25">
      <c r="B113" s="84"/>
      <c r="C113" s="84"/>
      <c r="D113" s="84"/>
      <c r="E113" s="65"/>
    </row>
    <row r="114" spans="2:5" x14ac:dyDescent="0.25">
      <c r="E114" s="65"/>
    </row>
    <row r="115" spans="2:5" x14ac:dyDescent="0.25">
      <c r="E115" s="65"/>
    </row>
    <row r="116" spans="2:5" x14ac:dyDescent="0.25">
      <c r="E116" s="65"/>
    </row>
    <row r="117" spans="2:5" x14ac:dyDescent="0.25">
      <c r="E117" s="65"/>
    </row>
    <row r="118" spans="2:5" x14ac:dyDescent="0.25">
      <c r="E118" s="65"/>
    </row>
    <row r="119" spans="2:5" x14ac:dyDescent="0.25">
      <c r="E119" s="65"/>
    </row>
    <row r="120" spans="2:5" x14ac:dyDescent="0.25">
      <c r="E120" s="65"/>
    </row>
    <row r="121" spans="2:5" x14ac:dyDescent="0.25">
      <c r="E121" s="65"/>
    </row>
    <row r="122" spans="2:5" x14ac:dyDescent="0.25">
      <c r="E122" s="65"/>
    </row>
    <row r="123" spans="2:5" x14ac:dyDescent="0.25">
      <c r="E123" s="65"/>
    </row>
    <row r="124" spans="2:5" x14ac:dyDescent="0.25">
      <c r="E124" s="65"/>
    </row>
    <row r="125" spans="2:5" x14ac:dyDescent="0.25">
      <c r="E125" s="65"/>
    </row>
    <row r="126" spans="2:5" x14ac:dyDescent="0.25">
      <c r="E126" s="65"/>
    </row>
  </sheetData>
  <mergeCells count="4">
    <mergeCell ref="B1:G1"/>
    <mergeCell ref="B21:G21"/>
    <mergeCell ref="B43:E43"/>
    <mergeCell ref="B22:H22"/>
  </mergeCells>
  <pageMargins left="0.25" right="0.25" top="0.75" bottom="0.75" header="0.3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56"/>
  <sheetViews>
    <sheetView workbookViewId="0">
      <selection activeCell="B11" sqref="B11"/>
    </sheetView>
  </sheetViews>
  <sheetFormatPr defaultRowHeight="12.75" outlineLevelRow="1" x14ac:dyDescent="0.2"/>
  <cols>
    <col min="1" max="1" width="6" customWidth="1"/>
    <col min="2" max="2" width="26.85546875" customWidth="1"/>
    <col min="3" max="10" width="16.140625" customWidth="1"/>
    <col min="12" max="12" width="9.28515625" bestFit="1" customWidth="1"/>
    <col min="257" max="257" width="3.28515625" bestFit="1" customWidth="1"/>
    <col min="258" max="258" width="19.28515625" bestFit="1" customWidth="1"/>
    <col min="259" max="266" width="12.7109375" customWidth="1"/>
    <col min="268" max="268" width="9.28515625" bestFit="1" customWidth="1"/>
    <col min="513" max="513" width="3.28515625" bestFit="1" customWidth="1"/>
    <col min="514" max="514" width="19.28515625" bestFit="1" customWidth="1"/>
    <col min="515" max="522" width="12.7109375" customWidth="1"/>
    <col min="524" max="524" width="9.28515625" bestFit="1" customWidth="1"/>
    <col min="769" max="769" width="3.28515625" bestFit="1" customWidth="1"/>
    <col min="770" max="770" width="19.28515625" bestFit="1" customWidth="1"/>
    <col min="771" max="778" width="12.7109375" customWidth="1"/>
    <col min="780" max="780" width="9.28515625" bestFit="1" customWidth="1"/>
    <col min="1025" max="1025" width="3.28515625" bestFit="1" customWidth="1"/>
    <col min="1026" max="1026" width="19.28515625" bestFit="1" customWidth="1"/>
    <col min="1027" max="1034" width="12.7109375" customWidth="1"/>
    <col min="1036" max="1036" width="9.28515625" bestFit="1" customWidth="1"/>
    <col min="1281" max="1281" width="3.28515625" bestFit="1" customWidth="1"/>
    <col min="1282" max="1282" width="19.28515625" bestFit="1" customWidth="1"/>
    <col min="1283" max="1290" width="12.7109375" customWidth="1"/>
    <col min="1292" max="1292" width="9.28515625" bestFit="1" customWidth="1"/>
    <col min="1537" max="1537" width="3.28515625" bestFit="1" customWidth="1"/>
    <col min="1538" max="1538" width="19.28515625" bestFit="1" customWidth="1"/>
    <col min="1539" max="1546" width="12.7109375" customWidth="1"/>
    <col min="1548" max="1548" width="9.28515625" bestFit="1" customWidth="1"/>
    <col min="1793" max="1793" width="3.28515625" bestFit="1" customWidth="1"/>
    <col min="1794" max="1794" width="19.28515625" bestFit="1" customWidth="1"/>
    <col min="1795" max="1802" width="12.7109375" customWidth="1"/>
    <col min="1804" max="1804" width="9.28515625" bestFit="1" customWidth="1"/>
    <col min="2049" max="2049" width="3.28515625" bestFit="1" customWidth="1"/>
    <col min="2050" max="2050" width="19.28515625" bestFit="1" customWidth="1"/>
    <col min="2051" max="2058" width="12.7109375" customWidth="1"/>
    <col min="2060" max="2060" width="9.28515625" bestFit="1" customWidth="1"/>
    <col min="2305" max="2305" width="3.28515625" bestFit="1" customWidth="1"/>
    <col min="2306" max="2306" width="19.28515625" bestFit="1" customWidth="1"/>
    <col min="2307" max="2314" width="12.7109375" customWidth="1"/>
    <col min="2316" max="2316" width="9.28515625" bestFit="1" customWidth="1"/>
    <col min="2561" max="2561" width="3.28515625" bestFit="1" customWidth="1"/>
    <col min="2562" max="2562" width="19.28515625" bestFit="1" customWidth="1"/>
    <col min="2563" max="2570" width="12.7109375" customWidth="1"/>
    <col min="2572" max="2572" width="9.28515625" bestFit="1" customWidth="1"/>
    <col min="2817" max="2817" width="3.28515625" bestFit="1" customWidth="1"/>
    <col min="2818" max="2818" width="19.28515625" bestFit="1" customWidth="1"/>
    <col min="2819" max="2826" width="12.7109375" customWidth="1"/>
    <col min="2828" max="2828" width="9.28515625" bestFit="1" customWidth="1"/>
    <col min="3073" max="3073" width="3.28515625" bestFit="1" customWidth="1"/>
    <col min="3074" max="3074" width="19.28515625" bestFit="1" customWidth="1"/>
    <col min="3075" max="3082" width="12.7109375" customWidth="1"/>
    <col min="3084" max="3084" width="9.28515625" bestFit="1" customWidth="1"/>
    <col min="3329" max="3329" width="3.28515625" bestFit="1" customWidth="1"/>
    <col min="3330" max="3330" width="19.28515625" bestFit="1" customWidth="1"/>
    <col min="3331" max="3338" width="12.7109375" customWidth="1"/>
    <col min="3340" max="3340" width="9.28515625" bestFit="1" customWidth="1"/>
    <col min="3585" max="3585" width="3.28515625" bestFit="1" customWidth="1"/>
    <col min="3586" max="3586" width="19.28515625" bestFit="1" customWidth="1"/>
    <col min="3587" max="3594" width="12.7109375" customWidth="1"/>
    <col min="3596" max="3596" width="9.28515625" bestFit="1" customWidth="1"/>
    <col min="3841" max="3841" width="3.28515625" bestFit="1" customWidth="1"/>
    <col min="3842" max="3842" width="19.28515625" bestFit="1" customWidth="1"/>
    <col min="3843" max="3850" width="12.7109375" customWidth="1"/>
    <col min="3852" max="3852" width="9.28515625" bestFit="1" customWidth="1"/>
    <col min="4097" max="4097" width="3.28515625" bestFit="1" customWidth="1"/>
    <col min="4098" max="4098" width="19.28515625" bestFit="1" customWidth="1"/>
    <col min="4099" max="4106" width="12.7109375" customWidth="1"/>
    <col min="4108" max="4108" width="9.28515625" bestFit="1" customWidth="1"/>
    <col min="4353" max="4353" width="3.28515625" bestFit="1" customWidth="1"/>
    <col min="4354" max="4354" width="19.28515625" bestFit="1" customWidth="1"/>
    <col min="4355" max="4362" width="12.7109375" customWidth="1"/>
    <col min="4364" max="4364" width="9.28515625" bestFit="1" customWidth="1"/>
    <col min="4609" max="4609" width="3.28515625" bestFit="1" customWidth="1"/>
    <col min="4610" max="4610" width="19.28515625" bestFit="1" customWidth="1"/>
    <col min="4611" max="4618" width="12.7109375" customWidth="1"/>
    <col min="4620" max="4620" width="9.28515625" bestFit="1" customWidth="1"/>
    <col min="4865" max="4865" width="3.28515625" bestFit="1" customWidth="1"/>
    <col min="4866" max="4866" width="19.28515625" bestFit="1" customWidth="1"/>
    <col min="4867" max="4874" width="12.7109375" customWidth="1"/>
    <col min="4876" max="4876" width="9.28515625" bestFit="1" customWidth="1"/>
    <col min="5121" max="5121" width="3.28515625" bestFit="1" customWidth="1"/>
    <col min="5122" max="5122" width="19.28515625" bestFit="1" customWidth="1"/>
    <col min="5123" max="5130" width="12.7109375" customWidth="1"/>
    <col min="5132" max="5132" width="9.28515625" bestFit="1" customWidth="1"/>
    <col min="5377" max="5377" width="3.28515625" bestFit="1" customWidth="1"/>
    <col min="5378" max="5378" width="19.28515625" bestFit="1" customWidth="1"/>
    <col min="5379" max="5386" width="12.7109375" customWidth="1"/>
    <col min="5388" max="5388" width="9.28515625" bestFit="1" customWidth="1"/>
    <col min="5633" max="5633" width="3.28515625" bestFit="1" customWidth="1"/>
    <col min="5634" max="5634" width="19.28515625" bestFit="1" customWidth="1"/>
    <col min="5635" max="5642" width="12.7109375" customWidth="1"/>
    <col min="5644" max="5644" width="9.28515625" bestFit="1" customWidth="1"/>
    <col min="5889" max="5889" width="3.28515625" bestFit="1" customWidth="1"/>
    <col min="5890" max="5890" width="19.28515625" bestFit="1" customWidth="1"/>
    <col min="5891" max="5898" width="12.7109375" customWidth="1"/>
    <col min="5900" max="5900" width="9.28515625" bestFit="1" customWidth="1"/>
    <col min="6145" max="6145" width="3.28515625" bestFit="1" customWidth="1"/>
    <col min="6146" max="6146" width="19.28515625" bestFit="1" customWidth="1"/>
    <col min="6147" max="6154" width="12.7109375" customWidth="1"/>
    <col min="6156" max="6156" width="9.28515625" bestFit="1" customWidth="1"/>
    <col min="6401" max="6401" width="3.28515625" bestFit="1" customWidth="1"/>
    <col min="6402" max="6402" width="19.28515625" bestFit="1" customWidth="1"/>
    <col min="6403" max="6410" width="12.7109375" customWidth="1"/>
    <col min="6412" max="6412" width="9.28515625" bestFit="1" customWidth="1"/>
    <col min="6657" max="6657" width="3.28515625" bestFit="1" customWidth="1"/>
    <col min="6658" max="6658" width="19.28515625" bestFit="1" customWidth="1"/>
    <col min="6659" max="6666" width="12.7109375" customWidth="1"/>
    <col min="6668" max="6668" width="9.28515625" bestFit="1" customWidth="1"/>
    <col min="6913" max="6913" width="3.28515625" bestFit="1" customWidth="1"/>
    <col min="6914" max="6914" width="19.28515625" bestFit="1" customWidth="1"/>
    <col min="6915" max="6922" width="12.7109375" customWidth="1"/>
    <col min="6924" max="6924" width="9.28515625" bestFit="1" customWidth="1"/>
    <col min="7169" max="7169" width="3.28515625" bestFit="1" customWidth="1"/>
    <col min="7170" max="7170" width="19.28515625" bestFit="1" customWidth="1"/>
    <col min="7171" max="7178" width="12.7109375" customWidth="1"/>
    <col min="7180" max="7180" width="9.28515625" bestFit="1" customWidth="1"/>
    <col min="7425" max="7425" width="3.28515625" bestFit="1" customWidth="1"/>
    <col min="7426" max="7426" width="19.28515625" bestFit="1" customWidth="1"/>
    <col min="7427" max="7434" width="12.7109375" customWidth="1"/>
    <col min="7436" max="7436" width="9.28515625" bestFit="1" customWidth="1"/>
    <col min="7681" max="7681" width="3.28515625" bestFit="1" customWidth="1"/>
    <col min="7682" max="7682" width="19.28515625" bestFit="1" customWidth="1"/>
    <col min="7683" max="7690" width="12.7109375" customWidth="1"/>
    <col min="7692" max="7692" width="9.28515625" bestFit="1" customWidth="1"/>
    <col min="7937" max="7937" width="3.28515625" bestFit="1" customWidth="1"/>
    <col min="7938" max="7938" width="19.28515625" bestFit="1" customWidth="1"/>
    <col min="7939" max="7946" width="12.7109375" customWidth="1"/>
    <col min="7948" max="7948" width="9.28515625" bestFit="1" customWidth="1"/>
    <col min="8193" max="8193" width="3.28515625" bestFit="1" customWidth="1"/>
    <col min="8194" max="8194" width="19.28515625" bestFit="1" customWidth="1"/>
    <col min="8195" max="8202" width="12.7109375" customWidth="1"/>
    <col min="8204" max="8204" width="9.28515625" bestFit="1" customWidth="1"/>
    <col min="8449" max="8449" width="3.28515625" bestFit="1" customWidth="1"/>
    <col min="8450" max="8450" width="19.28515625" bestFit="1" customWidth="1"/>
    <col min="8451" max="8458" width="12.7109375" customWidth="1"/>
    <col min="8460" max="8460" width="9.28515625" bestFit="1" customWidth="1"/>
    <col min="8705" max="8705" width="3.28515625" bestFit="1" customWidth="1"/>
    <col min="8706" max="8706" width="19.28515625" bestFit="1" customWidth="1"/>
    <col min="8707" max="8714" width="12.7109375" customWidth="1"/>
    <col min="8716" max="8716" width="9.28515625" bestFit="1" customWidth="1"/>
    <col min="8961" max="8961" width="3.28515625" bestFit="1" customWidth="1"/>
    <col min="8962" max="8962" width="19.28515625" bestFit="1" customWidth="1"/>
    <col min="8963" max="8970" width="12.7109375" customWidth="1"/>
    <col min="8972" max="8972" width="9.28515625" bestFit="1" customWidth="1"/>
    <col min="9217" max="9217" width="3.28515625" bestFit="1" customWidth="1"/>
    <col min="9218" max="9218" width="19.28515625" bestFit="1" customWidth="1"/>
    <col min="9219" max="9226" width="12.7109375" customWidth="1"/>
    <col min="9228" max="9228" width="9.28515625" bestFit="1" customWidth="1"/>
    <col min="9473" max="9473" width="3.28515625" bestFit="1" customWidth="1"/>
    <col min="9474" max="9474" width="19.28515625" bestFit="1" customWidth="1"/>
    <col min="9475" max="9482" width="12.7109375" customWidth="1"/>
    <col min="9484" max="9484" width="9.28515625" bestFit="1" customWidth="1"/>
    <col min="9729" max="9729" width="3.28515625" bestFit="1" customWidth="1"/>
    <col min="9730" max="9730" width="19.28515625" bestFit="1" customWidth="1"/>
    <col min="9731" max="9738" width="12.7109375" customWidth="1"/>
    <col min="9740" max="9740" width="9.28515625" bestFit="1" customWidth="1"/>
    <col min="9985" max="9985" width="3.28515625" bestFit="1" customWidth="1"/>
    <col min="9986" max="9986" width="19.28515625" bestFit="1" customWidth="1"/>
    <col min="9987" max="9994" width="12.7109375" customWidth="1"/>
    <col min="9996" max="9996" width="9.28515625" bestFit="1" customWidth="1"/>
    <col min="10241" max="10241" width="3.28515625" bestFit="1" customWidth="1"/>
    <col min="10242" max="10242" width="19.28515625" bestFit="1" customWidth="1"/>
    <col min="10243" max="10250" width="12.7109375" customWidth="1"/>
    <col min="10252" max="10252" width="9.28515625" bestFit="1" customWidth="1"/>
    <col min="10497" max="10497" width="3.28515625" bestFit="1" customWidth="1"/>
    <col min="10498" max="10498" width="19.28515625" bestFit="1" customWidth="1"/>
    <col min="10499" max="10506" width="12.7109375" customWidth="1"/>
    <col min="10508" max="10508" width="9.28515625" bestFit="1" customWidth="1"/>
    <col min="10753" max="10753" width="3.28515625" bestFit="1" customWidth="1"/>
    <col min="10754" max="10754" width="19.28515625" bestFit="1" customWidth="1"/>
    <col min="10755" max="10762" width="12.7109375" customWidth="1"/>
    <col min="10764" max="10764" width="9.28515625" bestFit="1" customWidth="1"/>
    <col min="11009" max="11009" width="3.28515625" bestFit="1" customWidth="1"/>
    <col min="11010" max="11010" width="19.28515625" bestFit="1" customWidth="1"/>
    <col min="11011" max="11018" width="12.7109375" customWidth="1"/>
    <col min="11020" max="11020" width="9.28515625" bestFit="1" customWidth="1"/>
    <col min="11265" max="11265" width="3.28515625" bestFit="1" customWidth="1"/>
    <col min="11266" max="11266" width="19.28515625" bestFit="1" customWidth="1"/>
    <col min="11267" max="11274" width="12.7109375" customWidth="1"/>
    <col min="11276" max="11276" width="9.28515625" bestFit="1" customWidth="1"/>
    <col min="11521" max="11521" width="3.28515625" bestFit="1" customWidth="1"/>
    <col min="11522" max="11522" width="19.28515625" bestFit="1" customWidth="1"/>
    <col min="11523" max="11530" width="12.7109375" customWidth="1"/>
    <col min="11532" max="11532" width="9.28515625" bestFit="1" customWidth="1"/>
    <col min="11777" max="11777" width="3.28515625" bestFit="1" customWidth="1"/>
    <col min="11778" max="11778" width="19.28515625" bestFit="1" customWidth="1"/>
    <col min="11779" max="11786" width="12.7109375" customWidth="1"/>
    <col min="11788" max="11788" width="9.28515625" bestFit="1" customWidth="1"/>
    <col min="12033" max="12033" width="3.28515625" bestFit="1" customWidth="1"/>
    <col min="12034" max="12034" width="19.28515625" bestFit="1" customWidth="1"/>
    <col min="12035" max="12042" width="12.7109375" customWidth="1"/>
    <col min="12044" max="12044" width="9.28515625" bestFit="1" customWidth="1"/>
    <col min="12289" max="12289" width="3.28515625" bestFit="1" customWidth="1"/>
    <col min="12290" max="12290" width="19.28515625" bestFit="1" customWidth="1"/>
    <col min="12291" max="12298" width="12.7109375" customWidth="1"/>
    <col min="12300" max="12300" width="9.28515625" bestFit="1" customWidth="1"/>
    <col min="12545" max="12545" width="3.28515625" bestFit="1" customWidth="1"/>
    <col min="12546" max="12546" width="19.28515625" bestFit="1" customWidth="1"/>
    <col min="12547" max="12554" width="12.7109375" customWidth="1"/>
    <col min="12556" max="12556" width="9.28515625" bestFit="1" customWidth="1"/>
    <col min="12801" max="12801" width="3.28515625" bestFit="1" customWidth="1"/>
    <col min="12802" max="12802" width="19.28515625" bestFit="1" customWidth="1"/>
    <col min="12803" max="12810" width="12.7109375" customWidth="1"/>
    <col min="12812" max="12812" width="9.28515625" bestFit="1" customWidth="1"/>
    <col min="13057" max="13057" width="3.28515625" bestFit="1" customWidth="1"/>
    <col min="13058" max="13058" width="19.28515625" bestFit="1" customWidth="1"/>
    <col min="13059" max="13066" width="12.7109375" customWidth="1"/>
    <col min="13068" max="13068" width="9.28515625" bestFit="1" customWidth="1"/>
    <col min="13313" max="13313" width="3.28515625" bestFit="1" customWidth="1"/>
    <col min="13314" max="13314" width="19.28515625" bestFit="1" customWidth="1"/>
    <col min="13315" max="13322" width="12.7109375" customWidth="1"/>
    <col min="13324" max="13324" width="9.28515625" bestFit="1" customWidth="1"/>
    <col min="13569" max="13569" width="3.28515625" bestFit="1" customWidth="1"/>
    <col min="13570" max="13570" width="19.28515625" bestFit="1" customWidth="1"/>
    <col min="13571" max="13578" width="12.7109375" customWidth="1"/>
    <col min="13580" max="13580" width="9.28515625" bestFit="1" customWidth="1"/>
    <col min="13825" max="13825" width="3.28515625" bestFit="1" customWidth="1"/>
    <col min="13826" max="13826" width="19.28515625" bestFit="1" customWidth="1"/>
    <col min="13827" max="13834" width="12.7109375" customWidth="1"/>
    <col min="13836" max="13836" width="9.28515625" bestFit="1" customWidth="1"/>
    <col min="14081" max="14081" width="3.28515625" bestFit="1" customWidth="1"/>
    <col min="14082" max="14082" width="19.28515625" bestFit="1" customWidth="1"/>
    <col min="14083" max="14090" width="12.7109375" customWidth="1"/>
    <col min="14092" max="14092" width="9.28515625" bestFit="1" customWidth="1"/>
    <col min="14337" max="14337" width="3.28515625" bestFit="1" customWidth="1"/>
    <col min="14338" max="14338" width="19.28515625" bestFit="1" customWidth="1"/>
    <col min="14339" max="14346" width="12.7109375" customWidth="1"/>
    <col min="14348" max="14348" width="9.28515625" bestFit="1" customWidth="1"/>
    <col min="14593" max="14593" width="3.28515625" bestFit="1" customWidth="1"/>
    <col min="14594" max="14594" width="19.28515625" bestFit="1" customWidth="1"/>
    <col min="14595" max="14602" width="12.7109375" customWidth="1"/>
    <col min="14604" max="14604" width="9.28515625" bestFit="1" customWidth="1"/>
    <col min="14849" max="14849" width="3.28515625" bestFit="1" customWidth="1"/>
    <col min="14850" max="14850" width="19.28515625" bestFit="1" customWidth="1"/>
    <col min="14851" max="14858" width="12.7109375" customWidth="1"/>
    <col min="14860" max="14860" width="9.28515625" bestFit="1" customWidth="1"/>
    <col min="15105" max="15105" width="3.28515625" bestFit="1" customWidth="1"/>
    <col min="15106" max="15106" width="19.28515625" bestFit="1" customWidth="1"/>
    <col min="15107" max="15114" width="12.7109375" customWidth="1"/>
    <col min="15116" max="15116" width="9.28515625" bestFit="1" customWidth="1"/>
    <col min="15361" max="15361" width="3.28515625" bestFit="1" customWidth="1"/>
    <col min="15362" max="15362" width="19.28515625" bestFit="1" customWidth="1"/>
    <col min="15363" max="15370" width="12.7109375" customWidth="1"/>
    <col min="15372" max="15372" width="9.28515625" bestFit="1" customWidth="1"/>
    <col min="15617" max="15617" width="3.28515625" bestFit="1" customWidth="1"/>
    <col min="15618" max="15618" width="19.28515625" bestFit="1" customWidth="1"/>
    <col min="15619" max="15626" width="12.7109375" customWidth="1"/>
    <col min="15628" max="15628" width="9.28515625" bestFit="1" customWidth="1"/>
    <col min="15873" max="15873" width="3.28515625" bestFit="1" customWidth="1"/>
    <col min="15874" max="15874" width="19.28515625" bestFit="1" customWidth="1"/>
    <col min="15875" max="15882" width="12.7109375" customWidth="1"/>
    <col min="15884" max="15884" width="9.28515625" bestFit="1" customWidth="1"/>
    <col min="16129" max="16129" width="3.28515625" bestFit="1" customWidth="1"/>
    <col min="16130" max="16130" width="19.28515625" bestFit="1" customWidth="1"/>
    <col min="16131" max="16138" width="12.7109375" customWidth="1"/>
    <col min="16140" max="16140" width="9.28515625" bestFit="1" customWidth="1"/>
  </cols>
  <sheetData>
    <row r="1" spans="1:12" s="17" customFormat="1" ht="15.75" x14ac:dyDescent="0.25">
      <c r="A1" s="1" t="s">
        <v>0</v>
      </c>
      <c r="B1" s="94"/>
      <c r="C1" s="95"/>
      <c r="D1" s="94"/>
      <c r="E1" s="95"/>
      <c r="F1" s="96"/>
      <c r="G1" s="95"/>
    </row>
    <row r="2" spans="1:12" s="17" customFormat="1" ht="15" x14ac:dyDescent="0.2">
      <c r="A2" s="3" t="s">
        <v>1</v>
      </c>
      <c r="B2" s="97"/>
      <c r="C2" s="98"/>
      <c r="D2" s="97"/>
      <c r="E2" s="98"/>
      <c r="F2" s="99"/>
      <c r="G2" s="98"/>
    </row>
    <row r="3" spans="1:12" s="17" customFormat="1" ht="15" x14ac:dyDescent="0.2">
      <c r="A3" s="3" t="s">
        <v>30</v>
      </c>
      <c r="B3" s="97"/>
      <c r="C3" s="98"/>
      <c r="D3" s="97"/>
      <c r="E3" s="98"/>
      <c r="F3" s="99"/>
      <c r="G3" s="98"/>
    </row>
    <row r="4" spans="1:12" s="17" customFormat="1" ht="15" x14ac:dyDescent="0.2">
      <c r="A4" s="4" t="s">
        <v>191</v>
      </c>
      <c r="B4" s="100"/>
      <c r="C4" s="101"/>
      <c r="D4" s="102"/>
      <c r="E4" s="101"/>
      <c r="F4" s="103"/>
      <c r="G4" s="101"/>
    </row>
    <row r="5" spans="1:12" x14ac:dyDescent="0.2">
      <c r="A5" s="169"/>
      <c r="B5" s="105"/>
      <c r="C5" s="101"/>
      <c r="D5" s="102"/>
      <c r="E5" s="101"/>
      <c r="F5" s="103"/>
      <c r="G5" s="101"/>
    </row>
    <row r="6" spans="1:12" ht="25.5" x14ac:dyDescent="0.2">
      <c r="A6" s="106"/>
      <c r="B6" s="106" t="s">
        <v>31</v>
      </c>
      <c r="C6" s="107" t="s">
        <v>32</v>
      </c>
      <c r="D6" s="107" t="s">
        <v>33</v>
      </c>
      <c r="E6" s="107" t="s">
        <v>34</v>
      </c>
      <c r="F6" s="107" t="s">
        <v>35</v>
      </c>
      <c r="G6" s="107" t="s">
        <v>36</v>
      </c>
      <c r="H6" s="107" t="s">
        <v>37</v>
      </c>
      <c r="I6" s="107" t="s">
        <v>38</v>
      </c>
      <c r="J6" s="107" t="s">
        <v>39</v>
      </c>
    </row>
    <row r="7" spans="1:12" ht="12.75" hidden="1" customHeight="1" outlineLevel="1" x14ac:dyDescent="0.2">
      <c r="A7" s="316" t="s">
        <v>40</v>
      </c>
      <c r="B7" s="108" t="s">
        <v>41</v>
      </c>
      <c r="C7" s="109">
        <v>18395.061999999998</v>
      </c>
      <c r="D7" s="109">
        <v>17847.489999999998</v>
      </c>
      <c r="E7" s="109">
        <v>42398.600000000006</v>
      </c>
      <c r="F7" s="110">
        <v>58685.333333333328</v>
      </c>
      <c r="G7" s="109">
        <f t="shared" ref="G7:G9" si="0">+C7*2000/F7</f>
        <v>626.90491661743988</v>
      </c>
      <c r="H7" s="109">
        <f t="shared" ref="H7:H9" si="1">+D7*2000/F7</f>
        <v>608.24362702776386</v>
      </c>
      <c r="I7" s="111">
        <f t="shared" ref="I7:I9" si="2">+G7+H7</f>
        <v>1235.1485436452037</v>
      </c>
      <c r="J7" s="112">
        <f t="shared" ref="J7:J9" si="3">SUM(C7:D7)/SUM(C7:E7)</f>
        <v>0.46085988160498964</v>
      </c>
      <c r="L7" s="113"/>
    </row>
    <row r="8" spans="1:12" hidden="1" outlineLevel="1" x14ac:dyDescent="0.2">
      <c r="A8" s="317"/>
      <c r="B8" s="108" t="s">
        <v>42</v>
      </c>
      <c r="C8" s="109">
        <v>19028.528490398661</v>
      </c>
      <c r="D8" s="109">
        <v>19039.16049982265</v>
      </c>
      <c r="E8" s="109">
        <v>45511.781400868713</v>
      </c>
      <c r="F8" s="110">
        <v>58195.666666666672</v>
      </c>
      <c r="G8" s="109">
        <f t="shared" si="0"/>
        <v>653.95001313037028</v>
      </c>
      <c r="H8" s="109">
        <f t="shared" si="1"/>
        <v>654.31540148427939</v>
      </c>
      <c r="I8" s="111">
        <f t="shared" si="2"/>
        <v>1308.2654146146497</v>
      </c>
      <c r="J8" s="112">
        <f t="shared" si="3"/>
        <v>0.45546698025355653</v>
      </c>
      <c r="L8" s="113"/>
    </row>
    <row r="9" spans="1:12" hidden="1" outlineLevel="1" x14ac:dyDescent="0.2">
      <c r="A9" s="317"/>
      <c r="B9" s="108" t="s">
        <v>43</v>
      </c>
      <c r="C9" s="109">
        <v>16726.580000000002</v>
      </c>
      <c r="D9" s="109">
        <v>16083.54</v>
      </c>
      <c r="E9" s="109">
        <v>38262.910000000003</v>
      </c>
      <c r="F9" s="110">
        <v>50579.988095238092</v>
      </c>
      <c r="G9" s="109">
        <f t="shared" si="0"/>
        <v>661.39121932987348</v>
      </c>
      <c r="H9" s="109">
        <f t="shared" si="1"/>
        <v>635.96456249518974</v>
      </c>
      <c r="I9" s="111">
        <f t="shared" si="2"/>
        <v>1297.3557818250633</v>
      </c>
      <c r="J9" s="112">
        <f t="shared" si="3"/>
        <v>0.4616395276801904</v>
      </c>
      <c r="L9" s="113"/>
    </row>
    <row r="10" spans="1:12" collapsed="1" x14ac:dyDescent="0.2">
      <c r="A10" s="317"/>
      <c r="B10" s="108" t="s">
        <v>115</v>
      </c>
      <c r="C10" s="303">
        <v>10167.370000000001</v>
      </c>
      <c r="D10" s="303">
        <v>9756.7000000000007</v>
      </c>
      <c r="E10" s="303">
        <v>21560.05</v>
      </c>
      <c r="F10" s="303">
        <v>43716</v>
      </c>
      <c r="G10" s="303">
        <f>+C10*2000/F10</f>
        <v>465.15554945557693</v>
      </c>
      <c r="H10" s="303">
        <f>+D10*2000/F10</f>
        <v>446.36746271388051</v>
      </c>
      <c r="I10" s="303">
        <f>+G10+H10</f>
        <v>911.52301216945739</v>
      </c>
      <c r="J10" s="112">
        <f>SUM(C10:D10)/SUM(C10:E10)</f>
        <v>0.48028185242931515</v>
      </c>
      <c r="L10" s="113"/>
    </row>
    <row r="11" spans="1:12" x14ac:dyDescent="0.2">
      <c r="A11" s="317"/>
      <c r="B11" s="129" t="s">
        <v>116</v>
      </c>
      <c r="C11" s="304">
        <f>+'[7]Adj King Co. WUTC'!$N$30-C25</f>
        <v>12699.722718204195</v>
      </c>
      <c r="D11" s="303">
        <f>+'[7]Adj King Co. WUTC'!$N$29</f>
        <v>14130.858971878377</v>
      </c>
      <c r="E11" s="303">
        <f>+'[7]Adj King Co. WUTC'!$N$28-E25</f>
        <v>27379.728177115067</v>
      </c>
      <c r="F11" s="303">
        <v>38049</v>
      </c>
      <c r="G11" s="303">
        <f>+C11*2000/F11</f>
        <v>667.54567627029326</v>
      </c>
      <c r="H11" s="303">
        <f>+D11*2000/F11</f>
        <v>742.77163509571221</v>
      </c>
      <c r="I11" s="303">
        <f>+G11+H11</f>
        <v>1410.3173113660055</v>
      </c>
      <c r="J11" s="132">
        <f>SUM(C11:D11)/SUM(C11:E11)</f>
        <v>0.4949350364499136</v>
      </c>
      <c r="L11" s="113"/>
    </row>
    <row r="12" spans="1:12" x14ac:dyDescent="0.2">
      <c r="A12" s="317"/>
      <c r="B12" s="129" t="s">
        <v>117</v>
      </c>
      <c r="C12" s="305">
        <f ca="1">'SF 13-14 (2)'!R164</f>
        <v>11884.940543423603</v>
      </c>
      <c r="D12" s="303">
        <f>'SF 13-14 (2)'!S164</f>
        <v>12131.026008510386</v>
      </c>
      <c r="E12" s="303">
        <f>'SF 13-14 (2)'!T164</f>
        <v>24249.781925852778</v>
      </c>
      <c r="F12" s="303">
        <f>'SF 13-14 (2)'!U164</f>
        <v>34089</v>
      </c>
      <c r="G12" s="303">
        <f ca="1">(C12*2000)/F12</f>
        <v>697.28889339221462</v>
      </c>
      <c r="H12" s="303">
        <f>(D12*2000)/F12</f>
        <v>711.7267158620308</v>
      </c>
      <c r="I12" s="303">
        <f ca="1">SUM(G12:H12)</f>
        <v>1409.0156092542454</v>
      </c>
      <c r="J12" s="151">
        <f ca="1">SUM(C12:D12)/SUM(C12:E12)</f>
        <v>0.49757783333634209</v>
      </c>
      <c r="L12" s="113"/>
    </row>
    <row r="13" spans="1:12" x14ac:dyDescent="0.2">
      <c r="A13" s="317"/>
      <c r="B13" s="242" t="s">
        <v>53</v>
      </c>
      <c r="C13" s="306">
        <f>'SF 13-14 (2)'!R3</f>
        <v>12328.033482246014</v>
      </c>
      <c r="D13" s="303">
        <f>'SF 13-14 (2)'!S3</f>
        <v>13014.552590310834</v>
      </c>
      <c r="E13" s="303">
        <f>'SF 13-14 (2)'!T3</f>
        <v>24402.588436574672</v>
      </c>
      <c r="F13" s="303">
        <f>'SF 13-14 (2)'!U4</f>
        <v>34224</v>
      </c>
      <c r="G13" s="303">
        <f>(C13*2000)/F13</f>
        <v>720.4320641798746</v>
      </c>
      <c r="H13" s="303" t="s">
        <v>48</v>
      </c>
      <c r="I13" s="303">
        <f>SUM(G13)</f>
        <v>720.4320641798746</v>
      </c>
      <c r="J13" s="243">
        <f>SUM(C13)/SUM(C13,E13)</f>
        <v>0.33563367125916149</v>
      </c>
      <c r="L13" s="113"/>
    </row>
    <row r="14" spans="1:12" x14ac:dyDescent="0.2">
      <c r="A14" s="317"/>
      <c r="B14" s="21" t="s">
        <v>139</v>
      </c>
      <c r="C14" s="250">
        <f>'SF 14-15'!S6</f>
        <v>12434.358237913162</v>
      </c>
      <c r="D14" s="303">
        <v>13532</v>
      </c>
      <c r="E14" s="303">
        <v>24491</v>
      </c>
      <c r="F14" s="303">
        <v>35489</v>
      </c>
      <c r="G14" s="303">
        <f>(C14*2000)/F14</f>
        <v>700.7443567253606</v>
      </c>
      <c r="H14" s="303">
        <f>(D14*2000)/F14</f>
        <v>762.60249654822621</v>
      </c>
      <c r="I14" s="303">
        <f>SUM(G14:H14)</f>
        <v>1463.3468532735869</v>
      </c>
      <c r="J14" s="251">
        <f>SUM(C14,D14)/SUM(C14,E14,D14)</f>
        <v>0.51461985218247708</v>
      </c>
      <c r="L14" s="113"/>
    </row>
    <row r="15" spans="1:12" x14ac:dyDescent="0.2">
      <c r="A15" s="317"/>
      <c r="B15" s="21" t="s">
        <v>168</v>
      </c>
      <c r="C15" s="250">
        <v>12869.811172397594</v>
      </c>
      <c r="D15" s="303">
        <v>13695.768447853252</v>
      </c>
      <c r="E15" s="303">
        <v>24784.717801179195</v>
      </c>
      <c r="F15" s="303">
        <v>35425</v>
      </c>
      <c r="G15" s="303">
        <v>726.59484388977251</v>
      </c>
      <c r="H15" s="303">
        <v>773.22616501641505</v>
      </c>
      <c r="I15" s="303">
        <v>1499.8210089061877</v>
      </c>
      <c r="J15" s="251">
        <v>0.5173403262346874</v>
      </c>
      <c r="L15" s="113"/>
    </row>
    <row r="16" spans="1:12" x14ac:dyDescent="0.2">
      <c r="A16" s="317"/>
      <c r="B16" s="152" t="s">
        <v>138</v>
      </c>
      <c r="C16" s="307" t="s">
        <v>46</v>
      </c>
      <c r="D16" s="307" t="s">
        <v>46</v>
      </c>
      <c r="E16" s="307" t="s">
        <v>46</v>
      </c>
      <c r="F16" s="307" t="s">
        <v>46</v>
      </c>
      <c r="G16" s="307" t="s">
        <v>46</v>
      </c>
      <c r="H16" s="307" t="s">
        <v>46</v>
      </c>
      <c r="I16" s="307" t="s">
        <v>46</v>
      </c>
      <c r="J16" s="159" t="s">
        <v>46</v>
      </c>
      <c r="L16" s="113"/>
    </row>
    <row r="17" spans="1:11" x14ac:dyDescent="0.2">
      <c r="A17" s="318"/>
      <c r="B17" s="157" t="s">
        <v>169</v>
      </c>
      <c r="C17" s="208">
        <v>12505.18</v>
      </c>
      <c r="D17" s="208">
        <v>13098.06</v>
      </c>
      <c r="E17" s="208">
        <v>25681.08</v>
      </c>
      <c r="F17" s="308">
        <v>35839</v>
      </c>
      <c r="G17" s="208">
        <f>(C17*2000)/F17</f>
        <v>697.85317670693939</v>
      </c>
      <c r="H17" s="208">
        <f>(D17*2000)/F17</f>
        <v>730.93892128686628</v>
      </c>
      <c r="I17" s="309">
        <f>SUM(G17:H17)</f>
        <v>1428.7920979938058</v>
      </c>
      <c r="J17" s="226">
        <f>SUM(C17,D17)/SUM(C17,E17,D17)</f>
        <v>0.49924109357402024</v>
      </c>
      <c r="K17" s="175"/>
    </row>
    <row r="18" spans="1:11" x14ac:dyDescent="0.2">
      <c r="B18" s="157" t="s">
        <v>187</v>
      </c>
      <c r="C18" s="208">
        <v>12915.82</v>
      </c>
      <c r="D18" s="208">
        <v>13919.01</v>
      </c>
      <c r="E18" s="208">
        <v>25921.91</v>
      </c>
      <c r="F18" s="308">
        <v>36479</v>
      </c>
      <c r="G18" s="208">
        <f>(C18*2000)/F18</f>
        <v>708.12357794895695</v>
      </c>
      <c r="H18" s="208">
        <f>(D18*2000)/F18</f>
        <v>763.12453740508238</v>
      </c>
      <c r="I18" s="309">
        <f>SUM(G18:H18)</f>
        <v>1471.2481153540393</v>
      </c>
      <c r="J18" s="226">
        <f>SUM(C18,D18)/SUM(C18,E18,D18)</f>
        <v>0.50865216463337204</v>
      </c>
    </row>
    <row r="19" spans="1:11" x14ac:dyDescent="0.2">
      <c r="F19" s="111"/>
    </row>
    <row r="20" spans="1:11" x14ac:dyDescent="0.2">
      <c r="A20" s="119"/>
      <c r="B20" s="119"/>
      <c r="C20" s="107" t="s">
        <v>32</v>
      </c>
      <c r="D20" s="107" t="s">
        <v>33</v>
      </c>
      <c r="E20" s="107" t="s">
        <v>34</v>
      </c>
      <c r="F20" s="107"/>
      <c r="G20" s="107"/>
      <c r="H20" s="107"/>
      <c r="I20" s="107"/>
      <c r="J20" s="107" t="s">
        <v>39</v>
      </c>
    </row>
    <row r="21" spans="1:11" hidden="1" outlineLevel="1" x14ac:dyDescent="0.2">
      <c r="A21" s="317" t="s">
        <v>47</v>
      </c>
      <c r="B21" t="str">
        <f t="shared" ref="B21:B26" si="4">B7</f>
        <v>1/1/2009 - 12/31/2009</v>
      </c>
      <c r="C21" s="109">
        <v>863.84999999999991</v>
      </c>
      <c r="D21" s="120" t="s">
        <v>48</v>
      </c>
      <c r="E21" s="109">
        <v>6020.82</v>
      </c>
      <c r="F21" s="110"/>
      <c r="G21" s="109"/>
      <c r="H21" s="109"/>
      <c r="I21" s="111"/>
      <c r="J21" s="112">
        <f t="shared" ref="J21:J23" si="5">SUM(C21:D21)/SUM(C21:E21)</f>
        <v>0.1254744236107177</v>
      </c>
    </row>
    <row r="22" spans="1:11" hidden="1" outlineLevel="1" x14ac:dyDescent="0.2">
      <c r="A22" s="317"/>
      <c r="B22" t="str">
        <f t="shared" si="4"/>
        <v>1/1/2010 - 12/31/2010</v>
      </c>
      <c r="C22" s="109">
        <v>897.15000000000009</v>
      </c>
      <c r="D22" s="120" t="s">
        <v>48</v>
      </c>
      <c r="E22" s="109">
        <v>6027.816831147723</v>
      </c>
      <c r="F22" s="110"/>
      <c r="G22" s="109"/>
      <c r="H22" s="109"/>
      <c r="I22" s="111"/>
      <c r="J22" s="112">
        <f t="shared" si="5"/>
        <v>0.12955296709360686</v>
      </c>
    </row>
    <row r="23" spans="1:11" hidden="1" outlineLevel="1" x14ac:dyDescent="0.2">
      <c r="A23" s="317"/>
      <c r="B23" t="str">
        <f t="shared" si="4"/>
        <v>1/1/2011 - 12/31/2011</v>
      </c>
      <c r="C23" s="109">
        <v>869.02</v>
      </c>
      <c r="D23" s="120" t="s">
        <v>48</v>
      </c>
      <c r="E23" s="109">
        <v>4807.16</v>
      </c>
      <c r="F23" s="110"/>
      <c r="G23" s="109"/>
      <c r="H23" s="109"/>
      <c r="I23" s="111"/>
      <c r="J23" s="112">
        <f t="shared" si="5"/>
        <v>0.15309944363991274</v>
      </c>
    </row>
    <row r="24" spans="1:11" collapsed="1" x14ac:dyDescent="0.2">
      <c r="A24" s="317"/>
      <c r="B24" t="str">
        <f t="shared" si="4"/>
        <v xml:space="preserve">1/1/2012 - 07/31/2012 </v>
      </c>
      <c r="C24" s="303">
        <v>401.52</v>
      </c>
      <c r="D24" s="310" t="s">
        <v>48</v>
      </c>
      <c r="E24" s="303">
        <v>1638.79</v>
      </c>
      <c r="F24" s="110"/>
      <c r="G24" s="109"/>
      <c r="H24" s="109"/>
      <c r="I24" s="111"/>
      <c r="J24" s="112">
        <f>SUM(C24:D24)/SUM(C24:E24)</f>
        <v>0.19679362449823801</v>
      </c>
    </row>
    <row r="25" spans="1:11" x14ac:dyDescent="0.2">
      <c r="A25" s="317"/>
      <c r="B25" s="146" t="str">
        <f t="shared" si="4"/>
        <v>5/1/2011 - 4/30/2012</v>
      </c>
      <c r="C25" s="303">
        <f>SUM('[7]172'!$D$74:$M$74,'[7]172'!$D$98:$M$98,'[7]176'!$B$48:$M$48,'[7]176'!$I$64,'[7]183'!$B$44:$M$44)</f>
        <v>723.88732397041849</v>
      </c>
      <c r="D25" s="310" t="s">
        <v>48</v>
      </c>
      <c r="E25" s="303">
        <f>SUM('[7]172'!$D$50:$M$50,'[7]172'!$D$86:$M$86,'[7]176'!$B$32:$M$32,'[7]176'!$B$53:$M$53,'[7]183'!$B$29:$M$29,'[7]183'!$B$51:$M$51)</f>
        <v>3104.2265404051163</v>
      </c>
      <c r="F25" s="149"/>
      <c r="G25" s="147"/>
      <c r="H25" s="147"/>
      <c r="I25" s="150"/>
      <c r="J25" s="151">
        <f>SUM(C25:D25)/SUM(C25:E25)</f>
        <v>0.1890976469396381</v>
      </c>
    </row>
    <row r="26" spans="1:11" x14ac:dyDescent="0.2">
      <c r="A26" s="317"/>
      <c r="B26" s="146" t="str">
        <f t="shared" si="4"/>
        <v>5/1/2012 - 4/30/2013</v>
      </c>
      <c r="C26" s="303">
        <v>738.8</v>
      </c>
      <c r="D26" s="310" t="s">
        <v>48</v>
      </c>
      <c r="E26" s="303">
        <f>SUM('[7]172'!$N$48:$Y$49,'[7]172'!$N$84:$Y$85,'[7]176'!$N$32:$Y$32,'[7]176'!$N$53:$Y$53,'[7]183'!$N$29:$Y$29,'[7]183'!$N$51:$Y$51)</f>
        <v>3546.5301239622213</v>
      </c>
      <c r="F26" s="146"/>
      <c r="G26" s="146"/>
      <c r="H26" s="146"/>
      <c r="I26" s="146"/>
      <c r="J26" s="151">
        <f>SUM(C26:D26)/SUM(C26:E26)</f>
        <v>0.17240212040348121</v>
      </c>
    </row>
    <row r="27" spans="1:11" x14ac:dyDescent="0.2">
      <c r="A27" s="317"/>
      <c r="B27" s="21" t="s">
        <v>53</v>
      </c>
      <c r="C27" s="303">
        <v>633.08000000000004</v>
      </c>
      <c r="D27" s="310" t="s">
        <v>48</v>
      </c>
      <c r="E27" s="303">
        <v>3135.2</v>
      </c>
      <c r="F27" s="21"/>
      <c r="G27" s="21"/>
      <c r="H27" s="21"/>
      <c r="I27" s="21"/>
      <c r="J27" s="132">
        <f>SUM(C27)/SUM(C27,E27)</f>
        <v>0.1680023777426306</v>
      </c>
    </row>
    <row r="28" spans="1:11" x14ac:dyDescent="0.2">
      <c r="A28" s="317"/>
      <c r="B28" s="21" t="s">
        <v>140</v>
      </c>
      <c r="C28" s="303">
        <v>623.17999999999995</v>
      </c>
      <c r="D28" s="310" t="s">
        <v>48</v>
      </c>
      <c r="E28" s="303">
        <v>3089.9</v>
      </c>
      <c r="F28" s="21"/>
      <c r="G28" s="21"/>
      <c r="H28" s="21"/>
      <c r="I28" s="21"/>
      <c r="J28" s="132">
        <f>SUM(C28)/SUM(C28,E28)</f>
        <v>0.16783371217425963</v>
      </c>
    </row>
    <row r="29" spans="1:11" x14ac:dyDescent="0.2">
      <c r="A29" s="317"/>
      <c r="B29" s="21" t="s">
        <v>168</v>
      </c>
      <c r="C29" s="303">
        <v>803.75641597035656</v>
      </c>
      <c r="D29" s="303">
        <v>5.7188518684803213</v>
      </c>
      <c r="E29" s="303">
        <v>2873.5399783481612</v>
      </c>
      <c r="F29" s="21"/>
      <c r="G29" s="21"/>
      <c r="H29" s="21"/>
      <c r="I29" s="21"/>
      <c r="J29" s="132">
        <v>0.21978602143362871</v>
      </c>
    </row>
    <row r="30" spans="1:11" x14ac:dyDescent="0.2">
      <c r="A30" s="317"/>
      <c r="B30" s="115" t="str">
        <f>B16</f>
        <v>For Reporting Period Incentive:</v>
      </c>
      <c r="C30" s="116" t="s">
        <v>46</v>
      </c>
      <c r="D30" s="116" t="s">
        <v>46</v>
      </c>
      <c r="E30" s="116" t="s">
        <v>46</v>
      </c>
      <c r="F30" s="121"/>
      <c r="G30" s="117"/>
      <c r="H30" s="117"/>
      <c r="I30" s="118"/>
      <c r="J30" s="116" t="s">
        <v>46</v>
      </c>
    </row>
    <row r="31" spans="1:11" x14ac:dyDescent="0.2">
      <c r="A31" s="318"/>
      <c r="B31" s="157" t="s">
        <v>169</v>
      </c>
      <c r="C31" s="164">
        <v>431.25</v>
      </c>
      <c r="D31" s="244">
        <v>6.9</v>
      </c>
      <c r="E31" s="227">
        <v>2069.56</v>
      </c>
      <c r="F31" s="157"/>
      <c r="G31" s="157"/>
      <c r="H31" s="157"/>
      <c r="I31" s="157"/>
      <c r="J31" s="156">
        <f>(SUM(C31:D31))/(SUM(C31:E31))</f>
        <v>0.1747211599427366</v>
      </c>
    </row>
    <row r="32" spans="1:11" x14ac:dyDescent="0.2">
      <c r="B32" s="157" t="s">
        <v>187</v>
      </c>
      <c r="C32" s="164">
        <v>454.75</v>
      </c>
      <c r="D32" s="244">
        <v>10.119999999999999</v>
      </c>
      <c r="E32" s="227">
        <v>2109.4299999999998</v>
      </c>
      <c r="F32" s="157"/>
      <c r="G32" s="157"/>
      <c r="H32" s="157"/>
      <c r="I32" s="157"/>
      <c r="J32" s="156">
        <f>(SUM(C32:D32))/(SUM(C32:E32))</f>
        <v>0.18058112885056135</v>
      </c>
    </row>
    <row r="33" spans="1:11" x14ac:dyDescent="0.2">
      <c r="C33" s="118"/>
      <c r="D33" s="123"/>
      <c r="E33" s="117"/>
    </row>
    <row r="35" spans="1:11" x14ac:dyDescent="0.2">
      <c r="A35" s="119"/>
      <c r="B35" s="119"/>
      <c r="C35" s="107" t="s">
        <v>32</v>
      </c>
      <c r="D35" s="107" t="s">
        <v>33</v>
      </c>
      <c r="E35" s="107" t="s">
        <v>34</v>
      </c>
      <c r="F35" s="107"/>
      <c r="G35" s="107"/>
      <c r="H35" s="107"/>
      <c r="I35" s="107"/>
      <c r="J35" s="107" t="s">
        <v>39</v>
      </c>
    </row>
    <row r="36" spans="1:11" hidden="1" outlineLevel="1" x14ac:dyDescent="0.2">
      <c r="A36" s="317" t="s">
        <v>49</v>
      </c>
      <c r="B36" t="str">
        <f t="shared" ref="B36:B41" si="6">B21</f>
        <v>1/1/2009 - 12/31/2009</v>
      </c>
      <c r="C36" s="109">
        <v>19258.911999999997</v>
      </c>
      <c r="D36" s="109">
        <v>17847.489999999998</v>
      </c>
      <c r="E36" s="109">
        <v>48419.420000000006</v>
      </c>
      <c r="F36" s="110"/>
      <c r="G36" s="109"/>
      <c r="H36" s="109"/>
      <c r="I36" s="111"/>
      <c r="J36" s="112">
        <f t="shared" ref="J36:J38" si="7">SUM(C36:D36)/SUM(C36:E36)</f>
        <v>0.43386197445725799</v>
      </c>
    </row>
    <row r="37" spans="1:11" hidden="1" outlineLevel="1" x14ac:dyDescent="0.2">
      <c r="A37" s="317"/>
      <c r="B37" t="str">
        <f t="shared" si="6"/>
        <v>1/1/2010 - 12/31/2010</v>
      </c>
      <c r="C37" s="109">
        <v>19925.678490398663</v>
      </c>
      <c r="D37" s="109">
        <v>19039.16049982265</v>
      </c>
      <c r="E37" s="109">
        <v>51539.598232016433</v>
      </c>
      <c r="F37" s="110"/>
      <c r="G37" s="109"/>
      <c r="H37" s="109"/>
      <c r="I37" s="111"/>
      <c r="J37" s="112">
        <f t="shared" si="7"/>
        <v>0.43052959817363851</v>
      </c>
    </row>
    <row r="38" spans="1:11" hidden="1" outlineLevel="1" x14ac:dyDescent="0.2">
      <c r="A38" s="317"/>
      <c r="B38" t="str">
        <f t="shared" si="6"/>
        <v>1/1/2011 - 12/31/2011</v>
      </c>
      <c r="C38" s="109">
        <v>17595.600000000002</v>
      </c>
      <c r="D38" s="109">
        <v>16083.54</v>
      </c>
      <c r="E38" s="109">
        <v>43070.070000000007</v>
      </c>
      <c r="F38" s="110"/>
      <c r="G38" s="109"/>
      <c r="H38" s="109"/>
      <c r="I38" s="111"/>
      <c r="J38" s="112">
        <f t="shared" si="7"/>
        <v>0.43882067320302054</v>
      </c>
    </row>
    <row r="39" spans="1:11" collapsed="1" x14ac:dyDescent="0.2">
      <c r="A39" s="317"/>
      <c r="B39" t="str">
        <f t="shared" si="6"/>
        <v xml:space="preserve">1/1/2012 - 07/31/2012 </v>
      </c>
      <c r="C39" s="303">
        <v>10568.890000000001</v>
      </c>
      <c r="D39" s="303">
        <v>9756.7000000000007</v>
      </c>
      <c r="E39" s="303">
        <v>23198.84</v>
      </c>
      <c r="F39" s="110"/>
      <c r="G39" s="109"/>
      <c r="H39" s="109"/>
      <c r="I39" s="111"/>
      <c r="J39" s="112">
        <f>SUM(C39:D39)/SUM(C39:E39)</f>
        <v>0.46699267514818688</v>
      </c>
    </row>
    <row r="40" spans="1:11" x14ac:dyDescent="0.2">
      <c r="A40" s="317"/>
      <c r="B40" s="129" t="str">
        <f t="shared" si="6"/>
        <v>5/1/2011 - 4/30/2012</v>
      </c>
      <c r="C40" s="303">
        <f>+C11+C25</f>
        <v>13423.610042174614</v>
      </c>
      <c r="D40" s="303">
        <v>13689.835929078374</v>
      </c>
      <c r="E40" s="303">
        <f>+E11+E25</f>
        <v>30483.954717520184</v>
      </c>
      <c r="F40" s="145"/>
      <c r="G40" s="130"/>
      <c r="H40" s="130"/>
      <c r="I40" s="131"/>
      <c r="J40" s="132">
        <f>SUM(C40:D40)/SUM(C40:E40)</f>
        <v>0.47074079119924445</v>
      </c>
    </row>
    <row r="41" spans="1:11" x14ac:dyDescent="0.2">
      <c r="A41" s="317"/>
      <c r="B41" s="129" t="str">
        <f t="shared" si="6"/>
        <v>5/1/2012 - 4/30/2013</v>
      </c>
      <c r="C41" s="303">
        <f ca="1">+C12+C26</f>
        <v>12623.740543423603</v>
      </c>
      <c r="D41" s="303">
        <v>12688.060838603629</v>
      </c>
      <c r="E41" s="303">
        <f>+E12+E26</f>
        <v>27796.312049814998</v>
      </c>
      <c r="F41" s="145"/>
      <c r="G41" s="130"/>
      <c r="H41" s="130"/>
      <c r="I41" s="131"/>
      <c r="J41" s="132">
        <f ca="1">SUM(C41:D41)/SUM(C41:E41)</f>
        <v>0.47660893498903584</v>
      </c>
    </row>
    <row r="42" spans="1:11" x14ac:dyDescent="0.2">
      <c r="A42" s="317"/>
      <c r="B42" s="129" t="s">
        <v>122</v>
      </c>
      <c r="C42" s="303">
        <f>+C13+C27</f>
        <v>12961.113482246014</v>
      </c>
      <c r="D42" s="303" t="s">
        <v>48</v>
      </c>
      <c r="E42" s="303">
        <f>+E13+E27</f>
        <v>27537.788436574672</v>
      </c>
      <c r="F42" s="145"/>
      <c r="G42" s="130"/>
      <c r="H42" s="130"/>
      <c r="I42" s="131"/>
      <c r="J42" s="132">
        <f>SUM(C42)/SUM(C42,E42)</f>
        <v>0.32003617056645955</v>
      </c>
    </row>
    <row r="43" spans="1:11" x14ac:dyDescent="0.2">
      <c r="A43" s="317"/>
      <c r="B43" s="129" t="s">
        <v>139</v>
      </c>
      <c r="C43" s="303">
        <f>+C14+C28</f>
        <v>13057.538237913162</v>
      </c>
      <c r="D43" s="303">
        <f>D14</f>
        <v>13532</v>
      </c>
      <c r="E43" s="303">
        <f>+E14+E28</f>
        <v>27580.9</v>
      </c>
      <c r="F43" s="129"/>
      <c r="G43" s="129"/>
      <c r="H43" s="129"/>
      <c r="I43" s="129"/>
      <c r="J43" s="132">
        <f>SUM(C43,D43)/SUM(C43,D43,E43)</f>
        <v>0.49084960548285728</v>
      </c>
      <c r="K43" s="129"/>
    </row>
    <row r="44" spans="1:11" x14ac:dyDescent="0.2">
      <c r="A44" s="317"/>
      <c r="B44" s="129" t="s">
        <v>168</v>
      </c>
      <c r="C44" s="130">
        <v>13673.6</v>
      </c>
      <c r="D44" s="130">
        <v>13701.5</v>
      </c>
      <c r="E44" s="130">
        <v>27658.3</v>
      </c>
      <c r="F44" s="129"/>
      <c r="G44" s="129"/>
      <c r="H44" s="129"/>
      <c r="I44" s="129"/>
      <c r="J44" s="132">
        <f>SUM(C44,D44)/SUM(C44,D44,E44)</f>
        <v>0.49742701704782916</v>
      </c>
      <c r="K44" s="129"/>
    </row>
    <row r="45" spans="1:11" x14ac:dyDescent="0.2">
      <c r="A45" s="317"/>
      <c r="B45" s="152" t="str">
        <f>B30</f>
        <v>For Reporting Period Incentive:</v>
      </c>
      <c r="C45" s="159" t="s">
        <v>46</v>
      </c>
      <c r="D45" s="159" t="s">
        <v>46</v>
      </c>
      <c r="E45" s="159" t="s">
        <v>46</v>
      </c>
      <c r="F45" s="135"/>
      <c r="G45" s="155"/>
      <c r="H45" s="155"/>
      <c r="I45" s="153"/>
      <c r="J45" s="159" t="s">
        <v>46</v>
      </c>
    </row>
    <row r="46" spans="1:11" x14ac:dyDescent="0.2">
      <c r="A46" s="318"/>
      <c r="B46" s="157" t="s">
        <v>169</v>
      </c>
      <c r="C46" s="155">
        <f t="shared" ref="C46:E47" si="8">SUM(C31,C17)</f>
        <v>12936.43</v>
      </c>
      <c r="D46" s="155">
        <f t="shared" si="8"/>
        <v>13104.96</v>
      </c>
      <c r="E46" s="155">
        <f t="shared" si="8"/>
        <v>27750.640000000003</v>
      </c>
      <c r="J46" s="228">
        <f>SUM(C46,D46)/SUM(C46,D46,E46)</f>
        <v>0.48411242334598636</v>
      </c>
    </row>
    <row r="47" spans="1:11" x14ac:dyDescent="0.2">
      <c r="B47" s="157" t="s">
        <v>187</v>
      </c>
      <c r="C47" s="155">
        <f t="shared" si="8"/>
        <v>13370.57</v>
      </c>
      <c r="D47" s="155">
        <f t="shared" si="8"/>
        <v>13929.130000000001</v>
      </c>
      <c r="E47" s="155">
        <f t="shared" si="8"/>
        <v>28031.34</v>
      </c>
      <c r="J47" s="228">
        <f>SUM(C47,D47)/SUM(C47,D47,E47)</f>
        <v>0.49338852116280485</v>
      </c>
    </row>
    <row r="49" spans="2:6" x14ac:dyDescent="0.2">
      <c r="E49" s="89"/>
    </row>
    <row r="50" spans="2:6" x14ac:dyDescent="0.2">
      <c r="C50" s="89"/>
      <c r="D50" s="125"/>
      <c r="E50" s="160"/>
      <c r="F50" s="124"/>
    </row>
    <row r="51" spans="2:6" x14ac:dyDescent="0.2">
      <c r="C51" s="89"/>
      <c r="D51" s="133"/>
      <c r="E51" s="169"/>
    </row>
    <row r="52" spans="2:6" x14ac:dyDescent="0.2">
      <c r="C52" s="126"/>
      <c r="D52" s="134"/>
    </row>
    <row r="53" spans="2:6" x14ac:dyDescent="0.2">
      <c r="B53" s="166"/>
      <c r="C53" s="126"/>
      <c r="D53" s="134"/>
    </row>
    <row r="54" spans="2:6" x14ac:dyDescent="0.2">
      <c r="B54" s="166"/>
    </row>
    <row r="55" spans="2:6" x14ac:dyDescent="0.2">
      <c r="B55" s="128"/>
    </row>
    <row r="56" spans="2:6" x14ac:dyDescent="0.2">
      <c r="B56" s="128"/>
    </row>
  </sheetData>
  <mergeCells count="3">
    <mergeCell ref="A7:A17"/>
    <mergeCell ref="A21:A31"/>
    <mergeCell ref="A36:A46"/>
  </mergeCells>
  <pageMargins left="0.7" right="0.7" top="0.75" bottom="0.75" header="0.3" footer="0.3"/>
  <pageSetup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50"/>
  <sheetViews>
    <sheetView topLeftCell="A7" workbookViewId="0">
      <selection activeCell="E26" sqref="E26"/>
    </sheetView>
  </sheetViews>
  <sheetFormatPr defaultRowHeight="12.75" x14ac:dyDescent="0.2"/>
  <cols>
    <col min="1" max="1" width="6" customWidth="1"/>
    <col min="2" max="2" width="26.85546875" customWidth="1"/>
    <col min="3" max="10" width="16.140625" customWidth="1"/>
    <col min="12" max="12" width="9.28515625" bestFit="1" customWidth="1"/>
    <col min="257" max="257" width="3.28515625" bestFit="1" customWidth="1"/>
    <col min="258" max="258" width="19.28515625" bestFit="1" customWidth="1"/>
    <col min="259" max="266" width="12.7109375" customWidth="1"/>
    <col min="268" max="268" width="9.28515625" bestFit="1" customWidth="1"/>
    <col min="513" max="513" width="3.28515625" bestFit="1" customWidth="1"/>
    <col min="514" max="514" width="19.28515625" bestFit="1" customWidth="1"/>
    <col min="515" max="522" width="12.7109375" customWidth="1"/>
    <col min="524" max="524" width="9.28515625" bestFit="1" customWidth="1"/>
    <col min="769" max="769" width="3.28515625" bestFit="1" customWidth="1"/>
    <col min="770" max="770" width="19.28515625" bestFit="1" customWidth="1"/>
    <col min="771" max="778" width="12.7109375" customWidth="1"/>
    <col min="780" max="780" width="9.28515625" bestFit="1" customWidth="1"/>
    <col min="1025" max="1025" width="3.28515625" bestFit="1" customWidth="1"/>
    <col min="1026" max="1026" width="19.28515625" bestFit="1" customWidth="1"/>
    <col min="1027" max="1034" width="12.7109375" customWidth="1"/>
    <col min="1036" max="1036" width="9.28515625" bestFit="1" customWidth="1"/>
    <col min="1281" max="1281" width="3.28515625" bestFit="1" customWidth="1"/>
    <col min="1282" max="1282" width="19.28515625" bestFit="1" customWidth="1"/>
    <col min="1283" max="1290" width="12.7109375" customWidth="1"/>
    <col min="1292" max="1292" width="9.28515625" bestFit="1" customWidth="1"/>
    <col min="1537" max="1537" width="3.28515625" bestFit="1" customWidth="1"/>
    <col min="1538" max="1538" width="19.28515625" bestFit="1" customWidth="1"/>
    <col min="1539" max="1546" width="12.7109375" customWidth="1"/>
    <col min="1548" max="1548" width="9.28515625" bestFit="1" customWidth="1"/>
    <col min="1793" max="1793" width="3.28515625" bestFit="1" customWidth="1"/>
    <col min="1794" max="1794" width="19.28515625" bestFit="1" customWidth="1"/>
    <col min="1795" max="1802" width="12.7109375" customWidth="1"/>
    <col min="1804" max="1804" width="9.28515625" bestFit="1" customWidth="1"/>
    <col min="2049" max="2049" width="3.28515625" bestFit="1" customWidth="1"/>
    <col min="2050" max="2050" width="19.28515625" bestFit="1" customWidth="1"/>
    <col min="2051" max="2058" width="12.7109375" customWidth="1"/>
    <col min="2060" max="2060" width="9.28515625" bestFit="1" customWidth="1"/>
    <col min="2305" max="2305" width="3.28515625" bestFit="1" customWidth="1"/>
    <col min="2306" max="2306" width="19.28515625" bestFit="1" customWidth="1"/>
    <col min="2307" max="2314" width="12.7109375" customWidth="1"/>
    <col min="2316" max="2316" width="9.28515625" bestFit="1" customWidth="1"/>
    <col min="2561" max="2561" width="3.28515625" bestFit="1" customWidth="1"/>
    <col min="2562" max="2562" width="19.28515625" bestFit="1" customWidth="1"/>
    <col min="2563" max="2570" width="12.7109375" customWidth="1"/>
    <col min="2572" max="2572" width="9.28515625" bestFit="1" customWidth="1"/>
    <col min="2817" max="2817" width="3.28515625" bestFit="1" customWidth="1"/>
    <col min="2818" max="2818" width="19.28515625" bestFit="1" customWidth="1"/>
    <col min="2819" max="2826" width="12.7109375" customWidth="1"/>
    <col min="2828" max="2828" width="9.28515625" bestFit="1" customWidth="1"/>
    <col min="3073" max="3073" width="3.28515625" bestFit="1" customWidth="1"/>
    <col min="3074" max="3074" width="19.28515625" bestFit="1" customWidth="1"/>
    <col min="3075" max="3082" width="12.7109375" customWidth="1"/>
    <col min="3084" max="3084" width="9.28515625" bestFit="1" customWidth="1"/>
    <col min="3329" max="3329" width="3.28515625" bestFit="1" customWidth="1"/>
    <col min="3330" max="3330" width="19.28515625" bestFit="1" customWidth="1"/>
    <col min="3331" max="3338" width="12.7109375" customWidth="1"/>
    <col min="3340" max="3340" width="9.28515625" bestFit="1" customWidth="1"/>
    <col min="3585" max="3585" width="3.28515625" bestFit="1" customWidth="1"/>
    <col min="3586" max="3586" width="19.28515625" bestFit="1" customWidth="1"/>
    <col min="3587" max="3594" width="12.7109375" customWidth="1"/>
    <col min="3596" max="3596" width="9.28515625" bestFit="1" customWidth="1"/>
    <col min="3841" max="3841" width="3.28515625" bestFit="1" customWidth="1"/>
    <col min="3842" max="3842" width="19.28515625" bestFit="1" customWidth="1"/>
    <col min="3843" max="3850" width="12.7109375" customWidth="1"/>
    <col min="3852" max="3852" width="9.28515625" bestFit="1" customWidth="1"/>
    <col min="4097" max="4097" width="3.28515625" bestFit="1" customWidth="1"/>
    <col min="4098" max="4098" width="19.28515625" bestFit="1" customWidth="1"/>
    <col min="4099" max="4106" width="12.7109375" customWidth="1"/>
    <col min="4108" max="4108" width="9.28515625" bestFit="1" customWidth="1"/>
    <col min="4353" max="4353" width="3.28515625" bestFit="1" customWidth="1"/>
    <col min="4354" max="4354" width="19.28515625" bestFit="1" customWidth="1"/>
    <col min="4355" max="4362" width="12.7109375" customWidth="1"/>
    <col min="4364" max="4364" width="9.28515625" bestFit="1" customWidth="1"/>
    <col min="4609" max="4609" width="3.28515625" bestFit="1" customWidth="1"/>
    <col min="4610" max="4610" width="19.28515625" bestFit="1" customWidth="1"/>
    <col min="4611" max="4618" width="12.7109375" customWidth="1"/>
    <col min="4620" max="4620" width="9.28515625" bestFit="1" customWidth="1"/>
    <col min="4865" max="4865" width="3.28515625" bestFit="1" customWidth="1"/>
    <col min="4866" max="4866" width="19.28515625" bestFit="1" customWidth="1"/>
    <col min="4867" max="4874" width="12.7109375" customWidth="1"/>
    <col min="4876" max="4876" width="9.28515625" bestFit="1" customWidth="1"/>
    <col min="5121" max="5121" width="3.28515625" bestFit="1" customWidth="1"/>
    <col min="5122" max="5122" width="19.28515625" bestFit="1" customWidth="1"/>
    <col min="5123" max="5130" width="12.7109375" customWidth="1"/>
    <col min="5132" max="5132" width="9.28515625" bestFit="1" customWidth="1"/>
    <col min="5377" max="5377" width="3.28515625" bestFit="1" customWidth="1"/>
    <col min="5378" max="5378" width="19.28515625" bestFit="1" customWidth="1"/>
    <col min="5379" max="5386" width="12.7109375" customWidth="1"/>
    <col min="5388" max="5388" width="9.28515625" bestFit="1" customWidth="1"/>
    <col min="5633" max="5633" width="3.28515625" bestFit="1" customWidth="1"/>
    <col min="5634" max="5634" width="19.28515625" bestFit="1" customWidth="1"/>
    <col min="5635" max="5642" width="12.7109375" customWidth="1"/>
    <col min="5644" max="5644" width="9.28515625" bestFit="1" customWidth="1"/>
    <col min="5889" max="5889" width="3.28515625" bestFit="1" customWidth="1"/>
    <col min="5890" max="5890" width="19.28515625" bestFit="1" customWidth="1"/>
    <col min="5891" max="5898" width="12.7109375" customWidth="1"/>
    <col min="5900" max="5900" width="9.28515625" bestFit="1" customWidth="1"/>
    <col min="6145" max="6145" width="3.28515625" bestFit="1" customWidth="1"/>
    <col min="6146" max="6146" width="19.28515625" bestFit="1" customWidth="1"/>
    <col min="6147" max="6154" width="12.7109375" customWidth="1"/>
    <col min="6156" max="6156" width="9.28515625" bestFit="1" customWidth="1"/>
    <col min="6401" max="6401" width="3.28515625" bestFit="1" customWidth="1"/>
    <col min="6402" max="6402" width="19.28515625" bestFit="1" customWidth="1"/>
    <col min="6403" max="6410" width="12.7109375" customWidth="1"/>
    <col min="6412" max="6412" width="9.28515625" bestFit="1" customWidth="1"/>
    <col min="6657" max="6657" width="3.28515625" bestFit="1" customWidth="1"/>
    <col min="6658" max="6658" width="19.28515625" bestFit="1" customWidth="1"/>
    <col min="6659" max="6666" width="12.7109375" customWidth="1"/>
    <col min="6668" max="6668" width="9.28515625" bestFit="1" customWidth="1"/>
    <col min="6913" max="6913" width="3.28515625" bestFit="1" customWidth="1"/>
    <col min="6914" max="6914" width="19.28515625" bestFit="1" customWidth="1"/>
    <col min="6915" max="6922" width="12.7109375" customWidth="1"/>
    <col min="6924" max="6924" width="9.28515625" bestFit="1" customWidth="1"/>
    <col min="7169" max="7169" width="3.28515625" bestFit="1" customWidth="1"/>
    <col min="7170" max="7170" width="19.28515625" bestFit="1" customWidth="1"/>
    <col min="7171" max="7178" width="12.7109375" customWidth="1"/>
    <col min="7180" max="7180" width="9.28515625" bestFit="1" customWidth="1"/>
    <col min="7425" max="7425" width="3.28515625" bestFit="1" customWidth="1"/>
    <col min="7426" max="7426" width="19.28515625" bestFit="1" customWidth="1"/>
    <col min="7427" max="7434" width="12.7109375" customWidth="1"/>
    <col min="7436" max="7436" width="9.28515625" bestFit="1" customWidth="1"/>
    <col min="7681" max="7681" width="3.28515625" bestFit="1" customWidth="1"/>
    <col min="7682" max="7682" width="19.28515625" bestFit="1" customWidth="1"/>
    <col min="7683" max="7690" width="12.7109375" customWidth="1"/>
    <col min="7692" max="7692" width="9.28515625" bestFit="1" customWidth="1"/>
    <col min="7937" max="7937" width="3.28515625" bestFit="1" customWidth="1"/>
    <col min="7938" max="7938" width="19.28515625" bestFit="1" customWidth="1"/>
    <col min="7939" max="7946" width="12.7109375" customWidth="1"/>
    <col min="7948" max="7948" width="9.28515625" bestFit="1" customWidth="1"/>
    <col min="8193" max="8193" width="3.28515625" bestFit="1" customWidth="1"/>
    <col min="8194" max="8194" width="19.28515625" bestFit="1" customWidth="1"/>
    <col min="8195" max="8202" width="12.7109375" customWidth="1"/>
    <col min="8204" max="8204" width="9.28515625" bestFit="1" customWidth="1"/>
    <col min="8449" max="8449" width="3.28515625" bestFit="1" customWidth="1"/>
    <col min="8450" max="8450" width="19.28515625" bestFit="1" customWidth="1"/>
    <col min="8451" max="8458" width="12.7109375" customWidth="1"/>
    <col min="8460" max="8460" width="9.28515625" bestFit="1" customWidth="1"/>
    <col min="8705" max="8705" width="3.28515625" bestFit="1" customWidth="1"/>
    <col min="8706" max="8706" width="19.28515625" bestFit="1" customWidth="1"/>
    <col min="8707" max="8714" width="12.7109375" customWidth="1"/>
    <col min="8716" max="8716" width="9.28515625" bestFit="1" customWidth="1"/>
    <col min="8961" max="8961" width="3.28515625" bestFit="1" customWidth="1"/>
    <col min="8962" max="8962" width="19.28515625" bestFit="1" customWidth="1"/>
    <col min="8963" max="8970" width="12.7109375" customWidth="1"/>
    <col min="8972" max="8972" width="9.28515625" bestFit="1" customWidth="1"/>
    <col min="9217" max="9217" width="3.28515625" bestFit="1" customWidth="1"/>
    <col min="9218" max="9218" width="19.28515625" bestFit="1" customWidth="1"/>
    <col min="9219" max="9226" width="12.7109375" customWidth="1"/>
    <col min="9228" max="9228" width="9.28515625" bestFit="1" customWidth="1"/>
    <col min="9473" max="9473" width="3.28515625" bestFit="1" customWidth="1"/>
    <col min="9474" max="9474" width="19.28515625" bestFit="1" customWidth="1"/>
    <col min="9475" max="9482" width="12.7109375" customWidth="1"/>
    <col min="9484" max="9484" width="9.28515625" bestFit="1" customWidth="1"/>
    <col min="9729" max="9729" width="3.28515625" bestFit="1" customWidth="1"/>
    <col min="9730" max="9730" width="19.28515625" bestFit="1" customWidth="1"/>
    <col min="9731" max="9738" width="12.7109375" customWidth="1"/>
    <col min="9740" max="9740" width="9.28515625" bestFit="1" customWidth="1"/>
    <col min="9985" max="9985" width="3.28515625" bestFit="1" customWidth="1"/>
    <col min="9986" max="9986" width="19.28515625" bestFit="1" customWidth="1"/>
    <col min="9987" max="9994" width="12.7109375" customWidth="1"/>
    <col min="9996" max="9996" width="9.28515625" bestFit="1" customWidth="1"/>
    <col min="10241" max="10241" width="3.28515625" bestFit="1" customWidth="1"/>
    <col min="10242" max="10242" width="19.28515625" bestFit="1" customWidth="1"/>
    <col min="10243" max="10250" width="12.7109375" customWidth="1"/>
    <col min="10252" max="10252" width="9.28515625" bestFit="1" customWidth="1"/>
    <col min="10497" max="10497" width="3.28515625" bestFit="1" customWidth="1"/>
    <col min="10498" max="10498" width="19.28515625" bestFit="1" customWidth="1"/>
    <col min="10499" max="10506" width="12.7109375" customWidth="1"/>
    <col min="10508" max="10508" width="9.28515625" bestFit="1" customWidth="1"/>
    <col min="10753" max="10753" width="3.28515625" bestFit="1" customWidth="1"/>
    <col min="10754" max="10754" width="19.28515625" bestFit="1" customWidth="1"/>
    <col min="10755" max="10762" width="12.7109375" customWidth="1"/>
    <col min="10764" max="10764" width="9.28515625" bestFit="1" customWidth="1"/>
    <col min="11009" max="11009" width="3.28515625" bestFit="1" customWidth="1"/>
    <col min="11010" max="11010" width="19.28515625" bestFit="1" customWidth="1"/>
    <col min="11011" max="11018" width="12.7109375" customWidth="1"/>
    <col min="11020" max="11020" width="9.28515625" bestFit="1" customWidth="1"/>
    <col min="11265" max="11265" width="3.28515625" bestFit="1" customWidth="1"/>
    <col min="11266" max="11266" width="19.28515625" bestFit="1" customWidth="1"/>
    <col min="11267" max="11274" width="12.7109375" customWidth="1"/>
    <col min="11276" max="11276" width="9.28515625" bestFit="1" customWidth="1"/>
    <col min="11521" max="11521" width="3.28515625" bestFit="1" customWidth="1"/>
    <col min="11522" max="11522" width="19.28515625" bestFit="1" customWidth="1"/>
    <col min="11523" max="11530" width="12.7109375" customWidth="1"/>
    <col min="11532" max="11532" width="9.28515625" bestFit="1" customWidth="1"/>
    <col min="11777" max="11777" width="3.28515625" bestFit="1" customWidth="1"/>
    <col min="11778" max="11778" width="19.28515625" bestFit="1" customWidth="1"/>
    <col min="11779" max="11786" width="12.7109375" customWidth="1"/>
    <col min="11788" max="11788" width="9.28515625" bestFit="1" customWidth="1"/>
    <col min="12033" max="12033" width="3.28515625" bestFit="1" customWidth="1"/>
    <col min="12034" max="12034" width="19.28515625" bestFit="1" customWidth="1"/>
    <col min="12035" max="12042" width="12.7109375" customWidth="1"/>
    <col min="12044" max="12044" width="9.28515625" bestFit="1" customWidth="1"/>
    <col min="12289" max="12289" width="3.28515625" bestFit="1" customWidth="1"/>
    <col min="12290" max="12290" width="19.28515625" bestFit="1" customWidth="1"/>
    <col min="12291" max="12298" width="12.7109375" customWidth="1"/>
    <col min="12300" max="12300" width="9.28515625" bestFit="1" customWidth="1"/>
    <col min="12545" max="12545" width="3.28515625" bestFit="1" customWidth="1"/>
    <col min="12546" max="12546" width="19.28515625" bestFit="1" customWidth="1"/>
    <col min="12547" max="12554" width="12.7109375" customWidth="1"/>
    <col min="12556" max="12556" width="9.28515625" bestFit="1" customWidth="1"/>
    <col min="12801" max="12801" width="3.28515625" bestFit="1" customWidth="1"/>
    <col min="12802" max="12802" width="19.28515625" bestFit="1" customWidth="1"/>
    <col min="12803" max="12810" width="12.7109375" customWidth="1"/>
    <col min="12812" max="12812" width="9.28515625" bestFit="1" customWidth="1"/>
    <col min="13057" max="13057" width="3.28515625" bestFit="1" customWidth="1"/>
    <col min="13058" max="13058" width="19.28515625" bestFit="1" customWidth="1"/>
    <col min="13059" max="13066" width="12.7109375" customWidth="1"/>
    <col min="13068" max="13068" width="9.28515625" bestFit="1" customWidth="1"/>
    <col min="13313" max="13313" width="3.28515625" bestFit="1" customWidth="1"/>
    <col min="13314" max="13314" width="19.28515625" bestFit="1" customWidth="1"/>
    <col min="13315" max="13322" width="12.7109375" customWidth="1"/>
    <col min="13324" max="13324" width="9.28515625" bestFit="1" customWidth="1"/>
    <col min="13569" max="13569" width="3.28515625" bestFit="1" customWidth="1"/>
    <col min="13570" max="13570" width="19.28515625" bestFit="1" customWidth="1"/>
    <col min="13571" max="13578" width="12.7109375" customWidth="1"/>
    <col min="13580" max="13580" width="9.28515625" bestFit="1" customWidth="1"/>
    <col min="13825" max="13825" width="3.28515625" bestFit="1" customWidth="1"/>
    <col min="13826" max="13826" width="19.28515625" bestFit="1" customWidth="1"/>
    <col min="13827" max="13834" width="12.7109375" customWidth="1"/>
    <col min="13836" max="13836" width="9.28515625" bestFit="1" customWidth="1"/>
    <col min="14081" max="14081" width="3.28515625" bestFit="1" customWidth="1"/>
    <col min="14082" max="14082" width="19.28515625" bestFit="1" customWidth="1"/>
    <col min="14083" max="14090" width="12.7109375" customWidth="1"/>
    <col min="14092" max="14092" width="9.28515625" bestFit="1" customWidth="1"/>
    <col min="14337" max="14337" width="3.28515625" bestFit="1" customWidth="1"/>
    <col min="14338" max="14338" width="19.28515625" bestFit="1" customWidth="1"/>
    <col min="14339" max="14346" width="12.7109375" customWidth="1"/>
    <col min="14348" max="14348" width="9.28515625" bestFit="1" customWidth="1"/>
    <col min="14593" max="14593" width="3.28515625" bestFit="1" customWidth="1"/>
    <col min="14594" max="14594" width="19.28515625" bestFit="1" customWidth="1"/>
    <col min="14595" max="14602" width="12.7109375" customWidth="1"/>
    <col min="14604" max="14604" width="9.28515625" bestFit="1" customWidth="1"/>
    <col min="14849" max="14849" width="3.28515625" bestFit="1" customWidth="1"/>
    <col min="14850" max="14850" width="19.28515625" bestFit="1" customWidth="1"/>
    <col min="14851" max="14858" width="12.7109375" customWidth="1"/>
    <col min="14860" max="14860" width="9.28515625" bestFit="1" customWidth="1"/>
    <col min="15105" max="15105" width="3.28515625" bestFit="1" customWidth="1"/>
    <col min="15106" max="15106" width="19.28515625" bestFit="1" customWidth="1"/>
    <col min="15107" max="15114" width="12.7109375" customWidth="1"/>
    <col min="15116" max="15116" width="9.28515625" bestFit="1" customWidth="1"/>
    <col min="15361" max="15361" width="3.28515625" bestFit="1" customWidth="1"/>
    <col min="15362" max="15362" width="19.28515625" bestFit="1" customWidth="1"/>
    <col min="15363" max="15370" width="12.7109375" customWidth="1"/>
    <col min="15372" max="15372" width="9.28515625" bestFit="1" customWidth="1"/>
    <col min="15617" max="15617" width="3.28515625" bestFit="1" customWidth="1"/>
    <col min="15618" max="15618" width="19.28515625" bestFit="1" customWidth="1"/>
    <col min="15619" max="15626" width="12.7109375" customWidth="1"/>
    <col min="15628" max="15628" width="9.28515625" bestFit="1" customWidth="1"/>
    <col min="15873" max="15873" width="3.28515625" bestFit="1" customWidth="1"/>
    <col min="15874" max="15874" width="19.28515625" bestFit="1" customWidth="1"/>
    <col min="15875" max="15882" width="12.7109375" customWidth="1"/>
    <col min="15884" max="15884" width="9.28515625" bestFit="1" customWidth="1"/>
    <col min="16129" max="16129" width="3.28515625" bestFit="1" customWidth="1"/>
    <col min="16130" max="16130" width="19.28515625" bestFit="1" customWidth="1"/>
    <col min="16131" max="16138" width="12.7109375" customWidth="1"/>
    <col min="16140" max="16140" width="9.28515625" bestFit="1" customWidth="1"/>
  </cols>
  <sheetData>
    <row r="1" spans="1:12" s="17" customFormat="1" ht="15.75" x14ac:dyDescent="0.25">
      <c r="A1" s="1" t="s">
        <v>0</v>
      </c>
      <c r="B1" s="94"/>
      <c r="C1" s="95"/>
      <c r="D1" s="94"/>
      <c r="E1" s="95"/>
      <c r="F1" s="96"/>
      <c r="G1" s="95"/>
    </row>
    <row r="2" spans="1:12" s="17" customFormat="1" ht="15" x14ac:dyDescent="0.2">
      <c r="A2" s="3" t="s">
        <v>1</v>
      </c>
      <c r="B2" s="97"/>
      <c r="C2" s="98"/>
      <c r="D2" s="97"/>
      <c r="E2" s="98"/>
      <c r="F2" s="99"/>
      <c r="G2" s="98"/>
    </row>
    <row r="3" spans="1:12" s="17" customFormat="1" ht="15" x14ac:dyDescent="0.2">
      <c r="A3" s="3" t="s">
        <v>30</v>
      </c>
      <c r="B3" s="97"/>
      <c r="C3" s="98"/>
      <c r="D3" s="97"/>
      <c r="E3" s="98"/>
      <c r="F3" s="99"/>
      <c r="G3" s="98"/>
    </row>
    <row r="4" spans="1:12" s="17" customFormat="1" ht="15" x14ac:dyDescent="0.2">
      <c r="A4" s="4" t="s">
        <v>123</v>
      </c>
      <c r="B4" s="100"/>
      <c r="C4" s="101"/>
      <c r="D4" s="102"/>
      <c r="E4" s="101"/>
      <c r="F4" s="103"/>
      <c r="G4" s="101"/>
    </row>
    <row r="5" spans="1:12" x14ac:dyDescent="0.2">
      <c r="A5" s="104"/>
      <c r="B5" s="105"/>
      <c r="C5" s="101"/>
      <c r="D5" s="102"/>
      <c r="E5" s="101"/>
      <c r="F5" s="103"/>
      <c r="G5" s="101"/>
    </row>
    <row r="6" spans="1:12" ht="25.5" x14ac:dyDescent="0.2">
      <c r="A6" s="106"/>
      <c r="B6" s="106" t="s">
        <v>31</v>
      </c>
      <c r="C6" s="107" t="s">
        <v>32</v>
      </c>
      <c r="D6" s="107" t="s">
        <v>33</v>
      </c>
      <c r="E6" s="107" t="s">
        <v>34</v>
      </c>
      <c r="F6" s="107" t="s">
        <v>35</v>
      </c>
      <c r="G6" s="107" t="s">
        <v>36</v>
      </c>
      <c r="H6" s="107" t="s">
        <v>37</v>
      </c>
      <c r="I6" s="107" t="s">
        <v>38</v>
      </c>
      <c r="J6" s="107" t="s">
        <v>39</v>
      </c>
    </row>
    <row r="7" spans="1:12" ht="12.75" customHeight="1" x14ac:dyDescent="0.2">
      <c r="A7" s="316" t="s">
        <v>40</v>
      </c>
      <c r="B7" s="108" t="s">
        <v>41</v>
      </c>
      <c r="C7" s="109">
        <v>18395.061999999998</v>
      </c>
      <c r="D7" s="109">
        <v>17847.489999999998</v>
      </c>
      <c r="E7" s="109">
        <v>42398.600000000006</v>
      </c>
      <c r="F7" s="110">
        <v>58685.333333333328</v>
      </c>
      <c r="G7" s="109">
        <f t="shared" ref="G7:G11" si="0">+C7*2000/F7</f>
        <v>626.90491661743988</v>
      </c>
      <c r="H7" s="109">
        <f t="shared" ref="H7:H11" si="1">+D7*2000/F7</f>
        <v>608.24362702776386</v>
      </c>
      <c r="I7" s="111">
        <f t="shared" ref="I7:I11" si="2">+G7+H7</f>
        <v>1235.1485436452037</v>
      </c>
      <c r="J7" s="112">
        <f t="shared" ref="J7:J9" si="3">SUM(C7:D7)/SUM(C7:E7)</f>
        <v>0.46085988160498964</v>
      </c>
      <c r="L7" s="113"/>
    </row>
    <row r="8" spans="1:12" x14ac:dyDescent="0.2">
      <c r="A8" s="317"/>
      <c r="B8" s="108" t="s">
        <v>42</v>
      </c>
      <c r="C8" s="109">
        <v>19028.528490398661</v>
      </c>
      <c r="D8" s="109">
        <v>19039.16049982265</v>
      </c>
      <c r="E8" s="109">
        <v>45511.781400868713</v>
      </c>
      <c r="F8" s="110">
        <v>58195.666666666672</v>
      </c>
      <c r="G8" s="109">
        <f t="shared" si="0"/>
        <v>653.95001313037028</v>
      </c>
      <c r="H8" s="109">
        <f t="shared" si="1"/>
        <v>654.31540148427939</v>
      </c>
      <c r="I8" s="111">
        <f t="shared" si="2"/>
        <v>1308.2654146146497</v>
      </c>
      <c r="J8" s="112">
        <f t="shared" si="3"/>
        <v>0.45546698025355653</v>
      </c>
      <c r="L8" s="113"/>
    </row>
    <row r="9" spans="1:12" x14ac:dyDescent="0.2">
      <c r="A9" s="317"/>
      <c r="B9" s="108" t="s">
        <v>43</v>
      </c>
      <c r="C9" s="109">
        <v>16726.580000000002</v>
      </c>
      <c r="D9" s="109">
        <v>16083.54</v>
      </c>
      <c r="E9" s="109">
        <v>38262.910000000003</v>
      </c>
      <c r="F9" s="110">
        <v>50579.988095238092</v>
      </c>
      <c r="G9" s="109">
        <f t="shared" si="0"/>
        <v>661.39121932987348</v>
      </c>
      <c r="H9" s="109">
        <f t="shared" si="1"/>
        <v>635.96456249518974</v>
      </c>
      <c r="I9" s="111">
        <f t="shared" si="2"/>
        <v>1297.3557818250633</v>
      </c>
      <c r="J9" s="112">
        <f t="shared" si="3"/>
        <v>0.4616395276801904</v>
      </c>
      <c r="L9" s="113"/>
    </row>
    <row r="10" spans="1:12" x14ac:dyDescent="0.2">
      <c r="A10" s="317"/>
      <c r="B10" s="108" t="s">
        <v>44</v>
      </c>
      <c r="C10" s="109">
        <v>13025.55</v>
      </c>
      <c r="D10" s="109">
        <v>13877.18</v>
      </c>
      <c r="E10" s="109">
        <v>26370.41</v>
      </c>
      <c r="F10" s="114">
        <v>43710</v>
      </c>
      <c r="G10" s="109">
        <f t="shared" si="0"/>
        <v>595.9986273164036</v>
      </c>
      <c r="H10" s="109">
        <f t="shared" si="1"/>
        <v>634.96591169068859</v>
      </c>
      <c r="I10" s="111">
        <f t="shared" si="2"/>
        <v>1230.9645390070923</v>
      </c>
      <c r="J10" s="112">
        <f t="shared" ref="J10" si="4">SUM(C10:D10)/SUM(C10:E10)</f>
        <v>0.50499613876711602</v>
      </c>
      <c r="L10" s="113"/>
    </row>
    <row r="11" spans="1:12" x14ac:dyDescent="0.2">
      <c r="A11" s="317"/>
      <c r="B11" s="108" t="s">
        <v>115</v>
      </c>
      <c r="C11" s="109">
        <v>10167.370000000001</v>
      </c>
      <c r="D11" s="109">
        <v>9756.7000000000007</v>
      </c>
      <c r="E11" s="109">
        <v>21560.05</v>
      </c>
      <c r="F11" s="114">
        <v>43716</v>
      </c>
      <c r="G11" s="109">
        <f t="shared" si="0"/>
        <v>465.15554945557693</v>
      </c>
      <c r="H11" s="109">
        <f t="shared" si="1"/>
        <v>446.36746271388051</v>
      </c>
      <c r="I11" s="111">
        <f t="shared" si="2"/>
        <v>911.52301216945739</v>
      </c>
      <c r="J11" s="112">
        <f>SUM(C11:D11)/SUM(C11:E11)</f>
        <v>0.48028185242931515</v>
      </c>
      <c r="L11" s="113"/>
    </row>
    <row r="12" spans="1:12" x14ac:dyDescent="0.2">
      <c r="A12" s="317"/>
      <c r="B12" s="129" t="s">
        <v>116</v>
      </c>
      <c r="C12" s="130">
        <f>+'[7]Adj King Co. WUTC'!$N$30-C24</f>
        <v>12699.722718204195</v>
      </c>
      <c r="D12" s="130">
        <f>+'[7]Adj King Co. WUTC'!$N$29</f>
        <v>14130.858971878377</v>
      </c>
      <c r="E12" s="130">
        <f>+'[7]Adj King Co. WUTC'!$N$28-E24</f>
        <v>27379.728177115067</v>
      </c>
      <c r="F12" s="145">
        <v>38049</v>
      </c>
      <c r="G12" s="130">
        <f>+C12*2000/F12</f>
        <v>667.54567627029326</v>
      </c>
      <c r="H12" s="130">
        <f>+D12*2000/F12</f>
        <v>742.77163509571221</v>
      </c>
      <c r="I12" s="131">
        <f>+G12+H12</f>
        <v>1410.3173113660055</v>
      </c>
      <c r="J12" s="132">
        <f>SUM(C12:D12)/SUM(C12:E12)</f>
        <v>0.4949350364499136</v>
      </c>
      <c r="L12" s="113"/>
    </row>
    <row r="13" spans="1:12" x14ac:dyDescent="0.2">
      <c r="A13" s="317"/>
      <c r="B13" s="152" t="s">
        <v>45</v>
      </c>
      <c r="C13" s="159" t="s">
        <v>46</v>
      </c>
      <c r="D13" s="159" t="s">
        <v>46</v>
      </c>
      <c r="E13" s="159" t="s">
        <v>46</v>
      </c>
      <c r="F13" s="159" t="s">
        <v>46</v>
      </c>
      <c r="G13" s="159" t="s">
        <v>46</v>
      </c>
      <c r="H13" s="159" t="s">
        <v>46</v>
      </c>
      <c r="I13" s="159" t="s">
        <v>46</v>
      </c>
      <c r="J13" s="159" t="s">
        <v>46</v>
      </c>
      <c r="L13" s="113"/>
    </row>
    <row r="14" spans="1:12" x14ac:dyDescent="0.2">
      <c r="A14" s="317"/>
      <c r="B14" s="152" t="s">
        <v>117</v>
      </c>
      <c r="C14" s="153">
        <v>13278.091064726001</v>
      </c>
      <c r="D14" s="153">
        <v>13422.571488566766</v>
      </c>
      <c r="E14" s="155">
        <v>27643.215009517644</v>
      </c>
      <c r="F14" s="165">
        <v>33893</v>
      </c>
      <c r="G14" s="164">
        <f>(C14*2000)/F14</f>
        <v>783.5299952630927</v>
      </c>
      <c r="H14" s="164">
        <f>(D14*2000)/F14</f>
        <v>792.05567453850449</v>
      </c>
      <c r="I14" s="164">
        <f>SUM(G14:H14)</f>
        <v>1575.5856698015973</v>
      </c>
      <c r="J14" s="162">
        <f>SUM(C14:D14)/SUM(C14:E14)</f>
        <v>0.49132788734908106</v>
      </c>
      <c r="L14" s="113"/>
    </row>
    <row r="15" spans="1:12" x14ac:dyDescent="0.2">
      <c r="A15" s="318"/>
      <c r="B15" s="157" t="s">
        <v>53</v>
      </c>
      <c r="C15" s="168">
        <f>'SF 13-14 (2)'!R3</f>
        <v>12328.033482246014</v>
      </c>
      <c r="D15" s="168">
        <f>'SF 13-14 (2)'!S3</f>
        <v>13014.552590310834</v>
      </c>
      <c r="E15" s="168">
        <f>'SF 13-14 (2)'!T3</f>
        <v>24402.588436574672</v>
      </c>
      <c r="F15" s="168">
        <f>'SF 13-14 (2)'!U4</f>
        <v>34224</v>
      </c>
      <c r="G15" s="164">
        <f>(C15*2000)/F15</f>
        <v>720.4320641798746</v>
      </c>
      <c r="H15" s="164">
        <f>(D15*2000)/F15</f>
        <v>760.55122664275564</v>
      </c>
      <c r="I15" s="164">
        <f>SUM(G15:H15)</f>
        <v>1480.9832908226304</v>
      </c>
      <c r="J15" s="162">
        <f>SUM(C15:D15)/SUM(C15:E15)</f>
        <v>0.50944812884121682</v>
      </c>
    </row>
    <row r="17" spans="1:10" x14ac:dyDescent="0.2">
      <c r="F17" s="111"/>
    </row>
    <row r="18" spans="1:10" x14ac:dyDescent="0.2">
      <c r="A18" s="119"/>
      <c r="B18" s="119"/>
      <c r="C18" s="107" t="s">
        <v>32</v>
      </c>
      <c r="D18" s="107" t="s">
        <v>33</v>
      </c>
      <c r="E18" s="107" t="s">
        <v>34</v>
      </c>
      <c r="F18" s="107"/>
      <c r="G18" s="107"/>
      <c r="H18" s="107"/>
      <c r="I18" s="107"/>
      <c r="J18" s="107" t="s">
        <v>39</v>
      </c>
    </row>
    <row r="19" spans="1:10" x14ac:dyDescent="0.2">
      <c r="A19" s="317" t="s">
        <v>47</v>
      </c>
      <c r="B19" t="str">
        <f t="shared" ref="B19:B26" si="5">B7</f>
        <v>1/1/2009 - 12/31/2009</v>
      </c>
      <c r="C19" s="109">
        <v>863.84999999999991</v>
      </c>
      <c r="D19" s="120" t="s">
        <v>48</v>
      </c>
      <c r="E19" s="109">
        <v>6020.82</v>
      </c>
      <c r="F19" s="110"/>
      <c r="G19" s="109"/>
      <c r="H19" s="109"/>
      <c r="I19" s="111"/>
      <c r="J19" s="112">
        <f t="shared" ref="J19:J23" si="6">SUM(C19:D19)/SUM(C19:E19)</f>
        <v>0.1254744236107177</v>
      </c>
    </row>
    <row r="20" spans="1:10" x14ac:dyDescent="0.2">
      <c r="A20" s="317"/>
      <c r="B20" t="str">
        <f t="shared" si="5"/>
        <v>1/1/2010 - 12/31/2010</v>
      </c>
      <c r="C20" s="109">
        <v>897.15000000000009</v>
      </c>
      <c r="D20" s="120" t="s">
        <v>48</v>
      </c>
      <c r="E20" s="109">
        <v>6027.816831147723</v>
      </c>
      <c r="F20" s="110"/>
      <c r="G20" s="109"/>
      <c r="H20" s="109"/>
      <c r="I20" s="111"/>
      <c r="J20" s="112">
        <f t="shared" si="6"/>
        <v>0.12955296709360686</v>
      </c>
    </row>
    <row r="21" spans="1:10" x14ac:dyDescent="0.2">
      <c r="A21" s="317"/>
      <c r="B21" t="str">
        <f t="shared" si="5"/>
        <v>1/1/2011 - 12/31/2011</v>
      </c>
      <c r="C21" s="109">
        <v>869.02</v>
      </c>
      <c r="D21" s="120" t="s">
        <v>48</v>
      </c>
      <c r="E21" s="109">
        <v>4807.16</v>
      </c>
      <c r="F21" s="110"/>
      <c r="G21" s="109"/>
      <c r="H21" s="109"/>
      <c r="I21" s="111"/>
      <c r="J21" s="112">
        <f t="shared" si="6"/>
        <v>0.15309944363991274</v>
      </c>
    </row>
    <row r="22" spans="1:10" x14ac:dyDescent="0.2">
      <c r="A22" s="317"/>
      <c r="B22" t="str">
        <f t="shared" si="5"/>
        <v>1/1/2012 - 12/31/2012</v>
      </c>
      <c r="C22" s="109">
        <v>663.59999999999991</v>
      </c>
      <c r="D22" s="120" t="s">
        <v>48</v>
      </c>
      <c r="E22" s="109">
        <v>2389.15</v>
      </c>
      <c r="F22" s="110"/>
      <c r="G22" s="109"/>
      <c r="H22" s="109"/>
      <c r="I22" s="111"/>
      <c r="J22" s="112">
        <f t="shared" si="6"/>
        <v>0.21737777413807219</v>
      </c>
    </row>
    <row r="23" spans="1:10" x14ac:dyDescent="0.2">
      <c r="A23" s="317"/>
      <c r="B23" t="str">
        <f t="shared" si="5"/>
        <v xml:space="preserve">1/1/2012 - 07/31/2012 </v>
      </c>
      <c r="C23" s="109">
        <v>401.52</v>
      </c>
      <c r="D23" s="120" t="s">
        <v>48</v>
      </c>
      <c r="E23" s="109">
        <v>1638.79</v>
      </c>
      <c r="F23" s="110"/>
      <c r="G23" s="109"/>
      <c r="H23" s="109"/>
      <c r="I23" s="111"/>
      <c r="J23" s="112">
        <f t="shared" si="6"/>
        <v>0.19679362449823801</v>
      </c>
    </row>
    <row r="24" spans="1:10" x14ac:dyDescent="0.2">
      <c r="A24" s="317"/>
      <c r="B24" s="146" t="str">
        <f t="shared" si="5"/>
        <v>5/1/2011 - 4/30/2012</v>
      </c>
      <c r="C24" s="147">
        <f>SUM('[7]172'!$D$74:$M$74,'[7]172'!$D$98:$M$98,'[7]176'!$B$48:$M$48,'[7]176'!$I$64,'[7]183'!$B$44:$M$44)</f>
        <v>723.88732397041849</v>
      </c>
      <c r="D24" s="148" t="s">
        <v>48</v>
      </c>
      <c r="E24" s="147">
        <f>SUM('[7]172'!$D$50:$M$50,'[7]172'!$D$86:$M$86,'[7]176'!$B$32:$M$32,'[7]176'!$B$53:$M$53,'[7]183'!$B$29:$M$29,'[7]183'!$B$51:$M$51)</f>
        <v>3104.2265404051163</v>
      </c>
      <c r="F24" s="149"/>
      <c r="G24" s="147"/>
      <c r="H24" s="147"/>
      <c r="I24" s="150"/>
      <c r="J24" s="151">
        <f>SUM(C24:D24)/SUM(C24:E24)</f>
        <v>0.1890976469396381</v>
      </c>
    </row>
    <row r="25" spans="1:10" x14ac:dyDescent="0.2">
      <c r="A25" s="317"/>
      <c r="B25" s="115" t="str">
        <f t="shared" si="5"/>
        <v>For Reporting Period Incetive:</v>
      </c>
      <c r="C25" s="116" t="s">
        <v>46</v>
      </c>
      <c r="D25" s="116" t="s">
        <v>46</v>
      </c>
      <c r="E25" s="116" t="s">
        <v>46</v>
      </c>
      <c r="F25" s="121"/>
      <c r="G25" s="117"/>
      <c r="H25" s="117"/>
      <c r="I25" s="118"/>
      <c r="J25" s="116" t="s">
        <v>46</v>
      </c>
    </row>
    <row r="26" spans="1:10" x14ac:dyDescent="0.2">
      <c r="A26" s="317"/>
      <c r="B26" s="152" t="str">
        <f t="shared" si="5"/>
        <v>5/1/2012 - 4/30/2013</v>
      </c>
      <c r="C26" s="153">
        <v>738.8</v>
      </c>
      <c r="D26" s="154" t="s">
        <v>48</v>
      </c>
      <c r="E26" s="155">
        <f>SUM('[7]172'!$N$48:$Y$49,'[7]172'!$N$84:$Y$85,'[7]176'!$N$32:$Y$32,'[7]176'!$N$53:$Y$53,'[7]183'!$N$29:$Y$29,'[7]183'!$N$51:$Y$51)</f>
        <v>3546.5301239622213</v>
      </c>
      <c r="F26" s="135"/>
      <c r="G26" s="155"/>
      <c r="H26" s="155"/>
      <c r="I26" s="155"/>
      <c r="J26" s="156">
        <f>SUM(C26:D26)/SUM(C26:E26)</f>
        <v>0.17240212040348121</v>
      </c>
    </row>
    <row r="27" spans="1:10" x14ac:dyDescent="0.2">
      <c r="A27" s="318"/>
      <c r="B27" s="157" t="s">
        <v>53</v>
      </c>
      <c r="C27" s="157">
        <v>630.54</v>
      </c>
      <c r="D27" s="161" t="s">
        <v>48</v>
      </c>
      <c r="E27" s="158">
        <v>2223.1999999999998</v>
      </c>
      <c r="F27" s="157"/>
      <c r="G27" s="157"/>
      <c r="H27" s="157"/>
      <c r="I27" s="157"/>
      <c r="J27" s="156">
        <f>SUM(C27:D27)/SUM(C27:E27)</f>
        <v>0.22095215401543239</v>
      </c>
    </row>
    <row r="28" spans="1:10" x14ac:dyDescent="0.2">
      <c r="C28" s="117"/>
      <c r="D28" s="122"/>
      <c r="E28" s="117"/>
    </row>
    <row r="29" spans="1:10" x14ac:dyDescent="0.2">
      <c r="C29" s="118"/>
      <c r="D29" s="123"/>
      <c r="E29" s="117"/>
    </row>
    <row r="31" spans="1:10" x14ac:dyDescent="0.2">
      <c r="A31" s="119"/>
      <c r="B31" s="119"/>
      <c r="C31" s="107" t="s">
        <v>32</v>
      </c>
      <c r="D31" s="107" t="s">
        <v>33</v>
      </c>
      <c r="E31" s="107" t="s">
        <v>34</v>
      </c>
      <c r="F31" s="107"/>
      <c r="G31" s="107"/>
      <c r="H31" s="107"/>
      <c r="I31" s="107"/>
      <c r="J31" s="107" t="s">
        <v>39</v>
      </c>
    </row>
    <row r="32" spans="1:10" x14ac:dyDescent="0.2">
      <c r="A32" s="317" t="s">
        <v>49</v>
      </c>
      <c r="B32" t="str">
        <f t="shared" ref="B32:B37" si="7">B19</f>
        <v>1/1/2009 - 12/31/2009</v>
      </c>
      <c r="C32" s="109">
        <v>19258.911999999997</v>
      </c>
      <c r="D32" s="109">
        <v>17847.489999999998</v>
      </c>
      <c r="E32" s="109">
        <v>48419.420000000006</v>
      </c>
      <c r="F32" s="110"/>
      <c r="G32" s="109"/>
      <c r="H32" s="109"/>
      <c r="I32" s="111"/>
      <c r="J32" s="112">
        <f t="shared" ref="J32:J36" si="8">SUM(C32:D32)/SUM(C32:E32)</f>
        <v>0.43386197445725799</v>
      </c>
    </row>
    <row r="33" spans="1:10" x14ac:dyDescent="0.2">
      <c r="A33" s="317"/>
      <c r="B33" t="str">
        <f t="shared" si="7"/>
        <v>1/1/2010 - 12/31/2010</v>
      </c>
      <c r="C33" s="109">
        <v>19925.678490398663</v>
      </c>
      <c r="D33" s="109">
        <v>19039.16049982265</v>
      </c>
      <c r="E33" s="109">
        <v>51539.598232016433</v>
      </c>
      <c r="F33" s="110"/>
      <c r="G33" s="109"/>
      <c r="H33" s="109"/>
      <c r="I33" s="111"/>
      <c r="J33" s="112">
        <f t="shared" si="8"/>
        <v>0.43052959817363851</v>
      </c>
    </row>
    <row r="34" spans="1:10" x14ac:dyDescent="0.2">
      <c r="A34" s="317"/>
      <c r="B34" t="str">
        <f t="shared" si="7"/>
        <v>1/1/2011 - 12/31/2011</v>
      </c>
      <c r="C34" s="109">
        <v>17595.600000000002</v>
      </c>
      <c r="D34" s="109">
        <v>16083.54</v>
      </c>
      <c r="E34" s="109">
        <v>43070.070000000007</v>
      </c>
      <c r="F34" s="110"/>
      <c r="G34" s="109"/>
      <c r="H34" s="109"/>
      <c r="I34" s="111"/>
      <c r="J34" s="112">
        <f t="shared" si="8"/>
        <v>0.43882067320302054</v>
      </c>
    </row>
    <row r="35" spans="1:10" x14ac:dyDescent="0.2">
      <c r="A35" s="317"/>
      <c r="B35" t="str">
        <f t="shared" si="7"/>
        <v>1/1/2012 - 12/31/2012</v>
      </c>
      <c r="C35" s="109">
        <v>13689.15</v>
      </c>
      <c r="D35" s="109">
        <v>13877.18</v>
      </c>
      <c r="E35" s="109">
        <v>28759.56</v>
      </c>
      <c r="F35" s="110"/>
      <c r="G35" s="109"/>
      <c r="H35" s="109"/>
      <c r="I35" s="111"/>
      <c r="J35" s="112">
        <f>SUM(C35:D35)/SUM(C35:E35)</f>
        <v>0.48940780163438169</v>
      </c>
    </row>
    <row r="36" spans="1:10" x14ac:dyDescent="0.2">
      <c r="A36" s="317"/>
      <c r="B36" t="str">
        <f t="shared" si="7"/>
        <v xml:space="preserve">1/1/2012 - 07/31/2012 </v>
      </c>
      <c r="C36" s="109">
        <v>10568.890000000001</v>
      </c>
      <c r="D36" s="109">
        <v>9756.7000000000007</v>
      </c>
      <c r="E36" s="109">
        <v>23198.84</v>
      </c>
      <c r="F36" s="110"/>
      <c r="G36" s="109"/>
      <c r="H36" s="109"/>
      <c r="I36" s="111"/>
      <c r="J36" s="112">
        <f t="shared" si="8"/>
        <v>0.46699267514818688</v>
      </c>
    </row>
    <row r="37" spans="1:10" x14ac:dyDescent="0.2">
      <c r="A37" s="317"/>
      <c r="B37" s="129" t="str">
        <f t="shared" si="7"/>
        <v>5/1/2011 - 4/30/2012</v>
      </c>
      <c r="C37" s="130">
        <f>+C12+C24</f>
        <v>13423.610042174614</v>
      </c>
      <c r="D37" s="130">
        <v>13689.835929078374</v>
      </c>
      <c r="E37" s="130">
        <f>+E12+E24</f>
        <v>30483.954717520184</v>
      </c>
      <c r="F37" s="145"/>
      <c r="G37" s="130"/>
      <c r="H37" s="130"/>
      <c r="I37" s="131"/>
      <c r="J37" s="132">
        <f>SUM(C37:D37)/SUM(C37:E37)</f>
        <v>0.47074079119924445</v>
      </c>
    </row>
    <row r="38" spans="1:10" x14ac:dyDescent="0.2">
      <c r="A38" s="317"/>
      <c r="B38" s="152" t="str">
        <f t="shared" ref="B38" si="9">B25</f>
        <v>For Reporting Period Incetive:</v>
      </c>
      <c r="C38" s="159" t="s">
        <v>46</v>
      </c>
      <c r="D38" s="159" t="s">
        <v>46</v>
      </c>
      <c r="E38" s="159" t="s">
        <v>46</v>
      </c>
      <c r="F38" s="135"/>
      <c r="G38" s="155"/>
      <c r="H38" s="155"/>
      <c r="I38" s="153"/>
      <c r="J38" s="159" t="s">
        <v>46</v>
      </c>
    </row>
    <row r="39" spans="1:10" x14ac:dyDescent="0.2">
      <c r="A39" s="317"/>
      <c r="B39" s="152" t="str">
        <f>B26</f>
        <v>5/1/2012 - 4/30/2013</v>
      </c>
      <c r="C39" s="155">
        <f>+C14+C26</f>
        <v>14016.891064726</v>
      </c>
      <c r="D39" s="153">
        <v>12688.060838603629</v>
      </c>
      <c r="E39" s="155">
        <f>+E14+E26</f>
        <v>31189.745133479864</v>
      </c>
      <c r="F39" s="135"/>
      <c r="G39" s="155"/>
      <c r="H39" s="155"/>
      <c r="I39" s="155"/>
      <c r="J39" s="156">
        <f>SUM(C39:D39)/SUM(C39:E39)</f>
        <v>0.46126766820026027</v>
      </c>
    </row>
    <row r="40" spans="1:10" x14ac:dyDescent="0.2">
      <c r="A40" s="318"/>
      <c r="B40" s="157" t="s">
        <v>122</v>
      </c>
      <c r="C40" s="155">
        <f>+C15+C27</f>
        <v>12958.573482246014</v>
      </c>
      <c r="D40" s="155">
        <f>+D15</f>
        <v>13014.552590310834</v>
      </c>
      <c r="E40" s="155">
        <f t="shared" ref="E40" si="10">+E15+E27</f>
        <v>26625.788436574672</v>
      </c>
      <c r="F40" s="157"/>
      <c r="G40" s="157"/>
      <c r="H40" s="157"/>
      <c r="I40" s="157"/>
      <c r="J40" s="156">
        <f>SUM(C40:D40)/SUM(C40:E40)</f>
        <v>0.49379585709982177</v>
      </c>
    </row>
    <row r="43" spans="1:10" x14ac:dyDescent="0.2">
      <c r="E43" s="89" t="s">
        <v>50</v>
      </c>
    </row>
    <row r="44" spans="1:10" x14ac:dyDescent="0.2">
      <c r="C44" s="89" t="s">
        <v>130</v>
      </c>
      <c r="D44" s="125">
        <f>15181/33893</f>
        <v>0.44790959785206386</v>
      </c>
      <c r="E44" s="160" t="s">
        <v>51</v>
      </c>
      <c r="F44" s="124"/>
    </row>
    <row r="45" spans="1:10" x14ac:dyDescent="0.2">
      <c r="C45" s="89" t="s">
        <v>133</v>
      </c>
      <c r="D45" s="133">
        <f>'SF 13-14 (2)'!V3/34068</f>
        <v>0.45644006105436186</v>
      </c>
      <c r="E45" s="104" t="s">
        <v>101</v>
      </c>
    </row>
    <row r="46" spans="1:10" x14ac:dyDescent="0.2">
      <c r="C46" s="126" t="s">
        <v>52</v>
      </c>
      <c r="D46" s="127">
        <f>D45-D44</f>
        <v>8.5304632022979998E-3</v>
      </c>
    </row>
    <row r="47" spans="1:10" x14ac:dyDescent="0.2">
      <c r="B47" s="166" t="s">
        <v>131</v>
      </c>
      <c r="C47" s="126"/>
      <c r="D47" s="134"/>
    </row>
    <row r="48" spans="1:10" x14ac:dyDescent="0.2">
      <c r="B48" s="166" t="s">
        <v>132</v>
      </c>
    </row>
    <row r="49" spans="2:2" x14ac:dyDescent="0.2">
      <c r="B49" s="128"/>
    </row>
    <row r="50" spans="2:2" x14ac:dyDescent="0.2">
      <c r="B50" s="128"/>
    </row>
  </sheetData>
  <mergeCells count="3">
    <mergeCell ref="A7:A15"/>
    <mergeCell ref="A19:A27"/>
    <mergeCell ref="A32:A40"/>
  </mergeCells>
  <pageMargins left="0.7" right="0.7" top="0.75" bottom="0.75" header="0.3" footer="0.3"/>
  <pageSetup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K63"/>
  <sheetViews>
    <sheetView tabSelected="1" workbookViewId="0">
      <selection activeCell="D18" sqref="D18"/>
    </sheetView>
  </sheetViews>
  <sheetFormatPr defaultRowHeight="15" x14ac:dyDescent="0.25"/>
  <cols>
    <col min="1" max="1" width="59.42578125" style="252" bestFit="1" customWidth="1"/>
    <col min="2" max="2" width="20" style="252" customWidth="1"/>
    <col min="3" max="3" width="2.5703125" style="252" customWidth="1"/>
    <col min="4" max="4" width="19.42578125" style="252" customWidth="1"/>
    <col min="5" max="5" width="8.42578125" style="252" bestFit="1" customWidth="1"/>
    <col min="6" max="6" width="19.42578125" style="252" bestFit="1" customWidth="1"/>
    <col min="7" max="7" width="1.85546875" style="252" customWidth="1"/>
    <col min="8" max="8" width="10" style="252" bestFit="1" customWidth="1"/>
    <col min="9" max="9" width="9.140625" style="252"/>
    <col min="10" max="10" width="11.7109375" style="252" bestFit="1" customWidth="1"/>
    <col min="11" max="11" width="10.85546875" style="252" bestFit="1" customWidth="1"/>
    <col min="12" max="256" width="9.140625" style="252"/>
    <col min="257" max="257" width="59.42578125" style="252" bestFit="1" customWidth="1"/>
    <col min="258" max="258" width="22.7109375" style="252" customWidth="1"/>
    <col min="259" max="259" width="5.7109375" style="252" bestFit="1" customWidth="1"/>
    <col min="260" max="260" width="22.7109375" style="252" customWidth="1"/>
    <col min="261" max="261" width="3.7109375" style="252" customWidth="1"/>
    <col min="262" max="262" width="19.42578125" style="252" bestFit="1" customWidth="1"/>
    <col min="263" max="263" width="9.85546875" style="252" bestFit="1" customWidth="1"/>
    <col min="264" max="512" width="9.140625" style="252"/>
    <col min="513" max="513" width="59.42578125" style="252" bestFit="1" customWidth="1"/>
    <col min="514" max="514" width="22.7109375" style="252" customWidth="1"/>
    <col min="515" max="515" width="5.7109375" style="252" bestFit="1" customWidth="1"/>
    <col min="516" max="516" width="22.7109375" style="252" customWidth="1"/>
    <col min="517" max="517" width="3.7109375" style="252" customWidth="1"/>
    <col min="518" max="518" width="19.42578125" style="252" bestFit="1" customWidth="1"/>
    <col min="519" max="519" width="9.85546875" style="252" bestFit="1" customWidth="1"/>
    <col min="520" max="768" width="9.140625" style="252"/>
    <col min="769" max="769" width="59.42578125" style="252" bestFit="1" customWidth="1"/>
    <col min="770" max="770" width="22.7109375" style="252" customWidth="1"/>
    <col min="771" max="771" width="5.7109375" style="252" bestFit="1" customWidth="1"/>
    <col min="772" max="772" width="22.7109375" style="252" customWidth="1"/>
    <col min="773" max="773" width="3.7109375" style="252" customWidth="1"/>
    <col min="774" max="774" width="19.42578125" style="252" bestFit="1" customWidth="1"/>
    <col min="775" max="775" width="9.85546875" style="252" bestFit="1" customWidth="1"/>
    <col min="776" max="1024" width="9.140625" style="252"/>
    <col min="1025" max="1025" width="59.42578125" style="252" bestFit="1" customWidth="1"/>
    <col min="1026" max="1026" width="22.7109375" style="252" customWidth="1"/>
    <col min="1027" max="1027" width="5.7109375" style="252" bestFit="1" customWidth="1"/>
    <col min="1028" max="1028" width="22.7109375" style="252" customWidth="1"/>
    <col min="1029" max="1029" width="3.7109375" style="252" customWidth="1"/>
    <col min="1030" max="1030" width="19.42578125" style="252" bestFit="1" customWidth="1"/>
    <col min="1031" max="1031" width="9.85546875" style="252" bestFit="1" customWidth="1"/>
    <col min="1032" max="1280" width="9.140625" style="252"/>
    <col min="1281" max="1281" width="59.42578125" style="252" bestFit="1" customWidth="1"/>
    <col min="1282" max="1282" width="22.7109375" style="252" customWidth="1"/>
    <col min="1283" max="1283" width="5.7109375" style="252" bestFit="1" customWidth="1"/>
    <col min="1284" max="1284" width="22.7109375" style="252" customWidth="1"/>
    <col min="1285" max="1285" width="3.7109375" style="252" customWidth="1"/>
    <col min="1286" max="1286" width="19.42578125" style="252" bestFit="1" customWidth="1"/>
    <col min="1287" max="1287" width="9.85546875" style="252" bestFit="1" customWidth="1"/>
    <col min="1288" max="1536" width="9.140625" style="252"/>
    <col min="1537" max="1537" width="59.42578125" style="252" bestFit="1" customWidth="1"/>
    <col min="1538" max="1538" width="22.7109375" style="252" customWidth="1"/>
    <col min="1539" max="1539" width="5.7109375" style="252" bestFit="1" customWidth="1"/>
    <col min="1540" max="1540" width="22.7109375" style="252" customWidth="1"/>
    <col min="1541" max="1541" width="3.7109375" style="252" customWidth="1"/>
    <col min="1542" max="1542" width="19.42578125" style="252" bestFit="1" customWidth="1"/>
    <col min="1543" max="1543" width="9.85546875" style="252" bestFit="1" customWidth="1"/>
    <col min="1544" max="1792" width="9.140625" style="252"/>
    <col min="1793" max="1793" width="59.42578125" style="252" bestFit="1" customWidth="1"/>
    <col min="1794" max="1794" width="22.7109375" style="252" customWidth="1"/>
    <col min="1795" max="1795" width="5.7109375" style="252" bestFit="1" customWidth="1"/>
    <col min="1796" max="1796" width="22.7109375" style="252" customWidth="1"/>
    <col min="1797" max="1797" width="3.7109375" style="252" customWidth="1"/>
    <col min="1798" max="1798" width="19.42578125" style="252" bestFit="1" customWidth="1"/>
    <col min="1799" max="1799" width="9.85546875" style="252" bestFit="1" customWidth="1"/>
    <col min="1800" max="2048" width="9.140625" style="252"/>
    <col min="2049" max="2049" width="59.42578125" style="252" bestFit="1" customWidth="1"/>
    <col min="2050" max="2050" width="22.7109375" style="252" customWidth="1"/>
    <col min="2051" max="2051" width="5.7109375" style="252" bestFit="1" customWidth="1"/>
    <col min="2052" max="2052" width="22.7109375" style="252" customWidth="1"/>
    <col min="2053" max="2053" width="3.7109375" style="252" customWidth="1"/>
    <col min="2054" max="2054" width="19.42578125" style="252" bestFit="1" customWidth="1"/>
    <col min="2055" max="2055" width="9.85546875" style="252" bestFit="1" customWidth="1"/>
    <col min="2056" max="2304" width="9.140625" style="252"/>
    <col min="2305" max="2305" width="59.42578125" style="252" bestFit="1" customWidth="1"/>
    <col min="2306" max="2306" width="22.7109375" style="252" customWidth="1"/>
    <col min="2307" max="2307" width="5.7109375" style="252" bestFit="1" customWidth="1"/>
    <col min="2308" max="2308" width="22.7109375" style="252" customWidth="1"/>
    <col min="2309" max="2309" width="3.7109375" style="252" customWidth="1"/>
    <col min="2310" max="2310" width="19.42578125" style="252" bestFit="1" customWidth="1"/>
    <col min="2311" max="2311" width="9.85546875" style="252" bestFit="1" customWidth="1"/>
    <col min="2312" max="2560" width="9.140625" style="252"/>
    <col min="2561" max="2561" width="59.42578125" style="252" bestFit="1" customWidth="1"/>
    <col min="2562" max="2562" width="22.7109375" style="252" customWidth="1"/>
    <col min="2563" max="2563" width="5.7109375" style="252" bestFit="1" customWidth="1"/>
    <col min="2564" max="2564" width="22.7109375" style="252" customWidth="1"/>
    <col min="2565" max="2565" width="3.7109375" style="252" customWidth="1"/>
    <col min="2566" max="2566" width="19.42578125" style="252" bestFit="1" customWidth="1"/>
    <col min="2567" max="2567" width="9.85546875" style="252" bestFit="1" customWidth="1"/>
    <col min="2568" max="2816" width="9.140625" style="252"/>
    <col min="2817" max="2817" width="59.42578125" style="252" bestFit="1" customWidth="1"/>
    <col min="2818" max="2818" width="22.7109375" style="252" customWidth="1"/>
    <col min="2819" max="2819" width="5.7109375" style="252" bestFit="1" customWidth="1"/>
    <col min="2820" max="2820" width="22.7109375" style="252" customWidth="1"/>
    <col min="2821" max="2821" width="3.7109375" style="252" customWidth="1"/>
    <col min="2822" max="2822" width="19.42578125" style="252" bestFit="1" customWidth="1"/>
    <col min="2823" max="2823" width="9.85546875" style="252" bestFit="1" customWidth="1"/>
    <col min="2824" max="3072" width="9.140625" style="252"/>
    <col min="3073" max="3073" width="59.42578125" style="252" bestFit="1" customWidth="1"/>
    <col min="3074" max="3074" width="22.7109375" style="252" customWidth="1"/>
    <col min="3075" max="3075" width="5.7109375" style="252" bestFit="1" customWidth="1"/>
    <col min="3076" max="3076" width="22.7109375" style="252" customWidth="1"/>
    <col min="3077" max="3077" width="3.7109375" style="252" customWidth="1"/>
    <col min="3078" max="3078" width="19.42578125" style="252" bestFit="1" customWidth="1"/>
    <col min="3079" max="3079" width="9.85546875" style="252" bestFit="1" customWidth="1"/>
    <col min="3080" max="3328" width="9.140625" style="252"/>
    <col min="3329" max="3329" width="59.42578125" style="252" bestFit="1" customWidth="1"/>
    <col min="3330" max="3330" width="22.7109375" style="252" customWidth="1"/>
    <col min="3331" max="3331" width="5.7109375" style="252" bestFit="1" customWidth="1"/>
    <col min="3332" max="3332" width="22.7109375" style="252" customWidth="1"/>
    <col min="3333" max="3333" width="3.7109375" style="252" customWidth="1"/>
    <col min="3334" max="3334" width="19.42578125" style="252" bestFit="1" customWidth="1"/>
    <col min="3335" max="3335" width="9.85546875" style="252" bestFit="1" customWidth="1"/>
    <col min="3336" max="3584" width="9.140625" style="252"/>
    <col min="3585" max="3585" width="59.42578125" style="252" bestFit="1" customWidth="1"/>
    <col min="3586" max="3586" width="22.7109375" style="252" customWidth="1"/>
    <col min="3587" max="3587" width="5.7109375" style="252" bestFit="1" customWidth="1"/>
    <col min="3588" max="3588" width="22.7109375" style="252" customWidth="1"/>
    <col min="3589" max="3589" width="3.7109375" style="252" customWidth="1"/>
    <col min="3590" max="3590" width="19.42578125" style="252" bestFit="1" customWidth="1"/>
    <col min="3591" max="3591" width="9.85546875" style="252" bestFit="1" customWidth="1"/>
    <col min="3592" max="3840" width="9.140625" style="252"/>
    <col min="3841" max="3841" width="59.42578125" style="252" bestFit="1" customWidth="1"/>
    <col min="3842" max="3842" width="22.7109375" style="252" customWidth="1"/>
    <col min="3843" max="3843" width="5.7109375" style="252" bestFit="1" customWidth="1"/>
    <col min="3844" max="3844" width="22.7109375" style="252" customWidth="1"/>
    <col min="3845" max="3845" width="3.7109375" style="252" customWidth="1"/>
    <col min="3846" max="3846" width="19.42578125" style="252" bestFit="1" customWidth="1"/>
    <col min="3847" max="3847" width="9.85546875" style="252" bestFit="1" customWidth="1"/>
    <col min="3848" max="4096" width="9.140625" style="252"/>
    <col min="4097" max="4097" width="59.42578125" style="252" bestFit="1" customWidth="1"/>
    <col min="4098" max="4098" width="22.7109375" style="252" customWidth="1"/>
    <col min="4099" max="4099" width="5.7109375" style="252" bestFit="1" customWidth="1"/>
    <col min="4100" max="4100" width="22.7109375" style="252" customWidth="1"/>
    <col min="4101" max="4101" width="3.7109375" style="252" customWidth="1"/>
    <col min="4102" max="4102" width="19.42578125" style="252" bestFit="1" customWidth="1"/>
    <col min="4103" max="4103" width="9.85546875" style="252" bestFit="1" customWidth="1"/>
    <col min="4104" max="4352" width="9.140625" style="252"/>
    <col min="4353" max="4353" width="59.42578125" style="252" bestFit="1" customWidth="1"/>
    <col min="4354" max="4354" width="22.7109375" style="252" customWidth="1"/>
    <col min="4355" max="4355" width="5.7109375" style="252" bestFit="1" customWidth="1"/>
    <col min="4356" max="4356" width="22.7109375" style="252" customWidth="1"/>
    <col min="4357" max="4357" width="3.7109375" style="252" customWidth="1"/>
    <col min="4358" max="4358" width="19.42578125" style="252" bestFit="1" customWidth="1"/>
    <col min="4359" max="4359" width="9.85546875" style="252" bestFit="1" customWidth="1"/>
    <col min="4360" max="4608" width="9.140625" style="252"/>
    <col min="4609" max="4609" width="59.42578125" style="252" bestFit="1" customWidth="1"/>
    <col min="4610" max="4610" width="22.7109375" style="252" customWidth="1"/>
    <col min="4611" max="4611" width="5.7109375" style="252" bestFit="1" customWidth="1"/>
    <col min="4612" max="4612" width="22.7109375" style="252" customWidth="1"/>
    <col min="4613" max="4613" width="3.7109375" style="252" customWidth="1"/>
    <col min="4614" max="4614" width="19.42578125" style="252" bestFit="1" customWidth="1"/>
    <col min="4615" max="4615" width="9.85546875" style="252" bestFit="1" customWidth="1"/>
    <col min="4616" max="4864" width="9.140625" style="252"/>
    <col min="4865" max="4865" width="59.42578125" style="252" bestFit="1" customWidth="1"/>
    <col min="4866" max="4866" width="22.7109375" style="252" customWidth="1"/>
    <col min="4867" max="4867" width="5.7109375" style="252" bestFit="1" customWidth="1"/>
    <col min="4868" max="4868" width="22.7109375" style="252" customWidth="1"/>
    <col min="4869" max="4869" width="3.7109375" style="252" customWidth="1"/>
    <col min="4870" max="4870" width="19.42578125" style="252" bestFit="1" customWidth="1"/>
    <col min="4871" max="4871" width="9.85546875" style="252" bestFit="1" customWidth="1"/>
    <col min="4872" max="5120" width="9.140625" style="252"/>
    <col min="5121" max="5121" width="59.42578125" style="252" bestFit="1" customWidth="1"/>
    <col min="5122" max="5122" width="22.7109375" style="252" customWidth="1"/>
    <col min="5123" max="5123" width="5.7109375" style="252" bestFit="1" customWidth="1"/>
    <col min="5124" max="5124" width="22.7109375" style="252" customWidth="1"/>
    <col min="5125" max="5125" width="3.7109375" style="252" customWidth="1"/>
    <col min="5126" max="5126" width="19.42578125" style="252" bestFit="1" customWidth="1"/>
    <col min="5127" max="5127" width="9.85546875" style="252" bestFit="1" customWidth="1"/>
    <col min="5128" max="5376" width="9.140625" style="252"/>
    <col min="5377" max="5377" width="59.42578125" style="252" bestFit="1" customWidth="1"/>
    <col min="5378" max="5378" width="22.7109375" style="252" customWidth="1"/>
    <col min="5379" max="5379" width="5.7109375" style="252" bestFit="1" customWidth="1"/>
    <col min="5380" max="5380" width="22.7109375" style="252" customWidth="1"/>
    <col min="5381" max="5381" width="3.7109375" style="252" customWidth="1"/>
    <col min="5382" max="5382" width="19.42578125" style="252" bestFit="1" customWidth="1"/>
    <col min="5383" max="5383" width="9.85546875" style="252" bestFit="1" customWidth="1"/>
    <col min="5384" max="5632" width="9.140625" style="252"/>
    <col min="5633" max="5633" width="59.42578125" style="252" bestFit="1" customWidth="1"/>
    <col min="5634" max="5634" width="22.7109375" style="252" customWidth="1"/>
    <col min="5635" max="5635" width="5.7109375" style="252" bestFit="1" customWidth="1"/>
    <col min="5636" max="5636" width="22.7109375" style="252" customWidth="1"/>
    <col min="5637" max="5637" width="3.7109375" style="252" customWidth="1"/>
    <col min="5638" max="5638" width="19.42578125" style="252" bestFit="1" customWidth="1"/>
    <col min="5639" max="5639" width="9.85546875" style="252" bestFit="1" customWidth="1"/>
    <col min="5640" max="5888" width="9.140625" style="252"/>
    <col min="5889" max="5889" width="59.42578125" style="252" bestFit="1" customWidth="1"/>
    <col min="5890" max="5890" width="22.7109375" style="252" customWidth="1"/>
    <col min="5891" max="5891" width="5.7109375" style="252" bestFit="1" customWidth="1"/>
    <col min="5892" max="5892" width="22.7109375" style="252" customWidth="1"/>
    <col min="5893" max="5893" width="3.7109375" style="252" customWidth="1"/>
    <col min="5894" max="5894" width="19.42578125" style="252" bestFit="1" customWidth="1"/>
    <col min="5895" max="5895" width="9.85546875" style="252" bestFit="1" customWidth="1"/>
    <col min="5896" max="6144" width="9.140625" style="252"/>
    <col min="6145" max="6145" width="59.42578125" style="252" bestFit="1" customWidth="1"/>
    <col min="6146" max="6146" width="22.7109375" style="252" customWidth="1"/>
    <col min="6147" max="6147" width="5.7109375" style="252" bestFit="1" customWidth="1"/>
    <col min="6148" max="6148" width="22.7109375" style="252" customWidth="1"/>
    <col min="6149" max="6149" width="3.7109375" style="252" customWidth="1"/>
    <col min="6150" max="6150" width="19.42578125" style="252" bestFit="1" customWidth="1"/>
    <col min="6151" max="6151" width="9.85546875" style="252" bestFit="1" customWidth="1"/>
    <col min="6152" max="6400" width="9.140625" style="252"/>
    <col min="6401" max="6401" width="59.42578125" style="252" bestFit="1" customWidth="1"/>
    <col min="6402" max="6402" width="22.7109375" style="252" customWidth="1"/>
    <col min="6403" max="6403" width="5.7109375" style="252" bestFit="1" customWidth="1"/>
    <col min="6404" max="6404" width="22.7109375" style="252" customWidth="1"/>
    <col min="6405" max="6405" width="3.7109375" style="252" customWidth="1"/>
    <col min="6406" max="6406" width="19.42578125" style="252" bestFit="1" customWidth="1"/>
    <col min="6407" max="6407" width="9.85546875" style="252" bestFit="1" customWidth="1"/>
    <col min="6408" max="6656" width="9.140625" style="252"/>
    <col min="6657" max="6657" width="59.42578125" style="252" bestFit="1" customWidth="1"/>
    <col min="6658" max="6658" width="22.7109375" style="252" customWidth="1"/>
    <col min="6659" max="6659" width="5.7109375" style="252" bestFit="1" customWidth="1"/>
    <col min="6660" max="6660" width="22.7109375" style="252" customWidth="1"/>
    <col min="6661" max="6661" width="3.7109375" style="252" customWidth="1"/>
    <col min="6662" max="6662" width="19.42578125" style="252" bestFit="1" customWidth="1"/>
    <col min="6663" max="6663" width="9.85546875" style="252" bestFit="1" customWidth="1"/>
    <col min="6664" max="6912" width="9.140625" style="252"/>
    <col min="6913" max="6913" width="59.42578125" style="252" bestFit="1" customWidth="1"/>
    <col min="6914" max="6914" width="22.7109375" style="252" customWidth="1"/>
    <col min="6915" max="6915" width="5.7109375" style="252" bestFit="1" customWidth="1"/>
    <col min="6916" max="6916" width="22.7109375" style="252" customWidth="1"/>
    <col min="6917" max="6917" width="3.7109375" style="252" customWidth="1"/>
    <col min="6918" max="6918" width="19.42578125" style="252" bestFit="1" customWidth="1"/>
    <col min="6919" max="6919" width="9.85546875" style="252" bestFit="1" customWidth="1"/>
    <col min="6920" max="7168" width="9.140625" style="252"/>
    <col min="7169" max="7169" width="59.42578125" style="252" bestFit="1" customWidth="1"/>
    <col min="7170" max="7170" width="22.7109375" style="252" customWidth="1"/>
    <col min="7171" max="7171" width="5.7109375" style="252" bestFit="1" customWidth="1"/>
    <col min="7172" max="7172" width="22.7109375" style="252" customWidth="1"/>
    <col min="7173" max="7173" width="3.7109375" style="252" customWidth="1"/>
    <col min="7174" max="7174" width="19.42578125" style="252" bestFit="1" customWidth="1"/>
    <col min="7175" max="7175" width="9.85546875" style="252" bestFit="1" customWidth="1"/>
    <col min="7176" max="7424" width="9.140625" style="252"/>
    <col min="7425" max="7425" width="59.42578125" style="252" bestFit="1" customWidth="1"/>
    <col min="7426" max="7426" width="22.7109375" style="252" customWidth="1"/>
    <col min="7427" max="7427" width="5.7109375" style="252" bestFit="1" customWidth="1"/>
    <col min="7428" max="7428" width="22.7109375" style="252" customWidth="1"/>
    <col min="7429" max="7429" width="3.7109375" style="252" customWidth="1"/>
    <col min="7430" max="7430" width="19.42578125" style="252" bestFit="1" customWidth="1"/>
    <col min="7431" max="7431" width="9.85546875" style="252" bestFit="1" customWidth="1"/>
    <col min="7432" max="7680" width="9.140625" style="252"/>
    <col min="7681" max="7681" width="59.42578125" style="252" bestFit="1" customWidth="1"/>
    <col min="7682" max="7682" width="22.7109375" style="252" customWidth="1"/>
    <col min="7683" max="7683" width="5.7109375" style="252" bestFit="1" customWidth="1"/>
    <col min="7684" max="7684" width="22.7109375" style="252" customWidth="1"/>
    <col min="7685" max="7685" width="3.7109375" style="252" customWidth="1"/>
    <col min="7686" max="7686" width="19.42578125" style="252" bestFit="1" customWidth="1"/>
    <col min="7687" max="7687" width="9.85546875" style="252" bestFit="1" customWidth="1"/>
    <col min="7688" max="7936" width="9.140625" style="252"/>
    <col min="7937" max="7937" width="59.42578125" style="252" bestFit="1" customWidth="1"/>
    <col min="7938" max="7938" width="22.7109375" style="252" customWidth="1"/>
    <col min="7939" max="7939" width="5.7109375" style="252" bestFit="1" customWidth="1"/>
    <col min="7940" max="7940" width="22.7109375" style="252" customWidth="1"/>
    <col min="7941" max="7941" width="3.7109375" style="252" customWidth="1"/>
    <col min="7942" max="7942" width="19.42578125" style="252" bestFit="1" customWidth="1"/>
    <col min="7943" max="7943" width="9.85546875" style="252" bestFit="1" customWidth="1"/>
    <col min="7944" max="8192" width="9.140625" style="252"/>
    <col min="8193" max="8193" width="59.42578125" style="252" bestFit="1" customWidth="1"/>
    <col min="8194" max="8194" width="22.7109375" style="252" customWidth="1"/>
    <col min="8195" max="8195" width="5.7109375" style="252" bestFit="1" customWidth="1"/>
    <col min="8196" max="8196" width="22.7109375" style="252" customWidth="1"/>
    <col min="8197" max="8197" width="3.7109375" style="252" customWidth="1"/>
    <col min="8198" max="8198" width="19.42578125" style="252" bestFit="1" customWidth="1"/>
    <col min="8199" max="8199" width="9.85546875" style="252" bestFit="1" customWidth="1"/>
    <col min="8200" max="8448" width="9.140625" style="252"/>
    <col min="8449" max="8449" width="59.42578125" style="252" bestFit="1" customWidth="1"/>
    <col min="8450" max="8450" width="22.7109375" style="252" customWidth="1"/>
    <col min="8451" max="8451" width="5.7109375" style="252" bestFit="1" customWidth="1"/>
    <col min="8452" max="8452" width="22.7109375" style="252" customWidth="1"/>
    <col min="8453" max="8453" width="3.7109375" style="252" customWidth="1"/>
    <col min="8454" max="8454" width="19.42578125" style="252" bestFit="1" customWidth="1"/>
    <col min="8455" max="8455" width="9.85546875" style="252" bestFit="1" customWidth="1"/>
    <col min="8456" max="8704" width="9.140625" style="252"/>
    <col min="8705" max="8705" width="59.42578125" style="252" bestFit="1" customWidth="1"/>
    <col min="8706" max="8706" width="22.7109375" style="252" customWidth="1"/>
    <col min="8707" max="8707" width="5.7109375" style="252" bestFit="1" customWidth="1"/>
    <col min="8708" max="8708" width="22.7109375" style="252" customWidth="1"/>
    <col min="8709" max="8709" width="3.7109375" style="252" customWidth="1"/>
    <col min="8710" max="8710" width="19.42578125" style="252" bestFit="1" customWidth="1"/>
    <col min="8711" max="8711" width="9.85546875" style="252" bestFit="1" customWidth="1"/>
    <col min="8712" max="8960" width="9.140625" style="252"/>
    <col min="8961" max="8961" width="59.42578125" style="252" bestFit="1" customWidth="1"/>
    <col min="8962" max="8962" width="22.7109375" style="252" customWidth="1"/>
    <col min="8963" max="8963" width="5.7109375" style="252" bestFit="1" customWidth="1"/>
    <col min="8964" max="8964" width="22.7109375" style="252" customWidth="1"/>
    <col min="8965" max="8965" width="3.7109375" style="252" customWidth="1"/>
    <col min="8966" max="8966" width="19.42578125" style="252" bestFit="1" customWidth="1"/>
    <col min="8967" max="8967" width="9.85546875" style="252" bestFit="1" customWidth="1"/>
    <col min="8968" max="9216" width="9.140625" style="252"/>
    <col min="9217" max="9217" width="59.42578125" style="252" bestFit="1" customWidth="1"/>
    <col min="9218" max="9218" width="22.7109375" style="252" customWidth="1"/>
    <col min="9219" max="9219" width="5.7109375" style="252" bestFit="1" customWidth="1"/>
    <col min="9220" max="9220" width="22.7109375" style="252" customWidth="1"/>
    <col min="9221" max="9221" width="3.7109375" style="252" customWidth="1"/>
    <col min="9222" max="9222" width="19.42578125" style="252" bestFit="1" customWidth="1"/>
    <col min="9223" max="9223" width="9.85546875" style="252" bestFit="1" customWidth="1"/>
    <col min="9224" max="9472" width="9.140625" style="252"/>
    <col min="9473" max="9473" width="59.42578125" style="252" bestFit="1" customWidth="1"/>
    <col min="9474" max="9474" width="22.7109375" style="252" customWidth="1"/>
    <col min="9475" max="9475" width="5.7109375" style="252" bestFit="1" customWidth="1"/>
    <col min="9476" max="9476" width="22.7109375" style="252" customWidth="1"/>
    <col min="9477" max="9477" width="3.7109375" style="252" customWidth="1"/>
    <col min="9478" max="9478" width="19.42578125" style="252" bestFit="1" customWidth="1"/>
    <col min="9479" max="9479" width="9.85546875" style="252" bestFit="1" customWidth="1"/>
    <col min="9480" max="9728" width="9.140625" style="252"/>
    <col min="9729" max="9729" width="59.42578125" style="252" bestFit="1" customWidth="1"/>
    <col min="9730" max="9730" width="22.7109375" style="252" customWidth="1"/>
    <col min="9731" max="9731" width="5.7109375" style="252" bestFit="1" customWidth="1"/>
    <col min="9732" max="9732" width="22.7109375" style="252" customWidth="1"/>
    <col min="9733" max="9733" width="3.7109375" style="252" customWidth="1"/>
    <col min="9734" max="9734" width="19.42578125" style="252" bestFit="1" customWidth="1"/>
    <col min="9735" max="9735" width="9.85546875" style="252" bestFit="1" customWidth="1"/>
    <col min="9736" max="9984" width="9.140625" style="252"/>
    <col min="9985" max="9985" width="59.42578125" style="252" bestFit="1" customWidth="1"/>
    <col min="9986" max="9986" width="22.7109375" style="252" customWidth="1"/>
    <col min="9987" max="9987" width="5.7109375" style="252" bestFit="1" customWidth="1"/>
    <col min="9988" max="9988" width="22.7109375" style="252" customWidth="1"/>
    <col min="9989" max="9989" width="3.7109375" style="252" customWidth="1"/>
    <col min="9990" max="9990" width="19.42578125" style="252" bestFit="1" customWidth="1"/>
    <col min="9991" max="9991" width="9.85546875" style="252" bestFit="1" customWidth="1"/>
    <col min="9992" max="10240" width="9.140625" style="252"/>
    <col min="10241" max="10241" width="59.42578125" style="252" bestFit="1" customWidth="1"/>
    <col min="10242" max="10242" width="22.7109375" style="252" customWidth="1"/>
    <col min="10243" max="10243" width="5.7109375" style="252" bestFit="1" customWidth="1"/>
    <col min="10244" max="10244" width="22.7109375" style="252" customWidth="1"/>
    <col min="10245" max="10245" width="3.7109375" style="252" customWidth="1"/>
    <col min="10246" max="10246" width="19.42578125" style="252" bestFit="1" customWidth="1"/>
    <col min="10247" max="10247" width="9.85546875" style="252" bestFit="1" customWidth="1"/>
    <col min="10248" max="10496" width="9.140625" style="252"/>
    <col min="10497" max="10497" width="59.42578125" style="252" bestFit="1" customWidth="1"/>
    <col min="10498" max="10498" width="22.7109375" style="252" customWidth="1"/>
    <col min="10499" max="10499" width="5.7109375" style="252" bestFit="1" customWidth="1"/>
    <col min="10500" max="10500" width="22.7109375" style="252" customWidth="1"/>
    <col min="10501" max="10501" width="3.7109375" style="252" customWidth="1"/>
    <col min="10502" max="10502" width="19.42578125" style="252" bestFit="1" customWidth="1"/>
    <col min="10503" max="10503" width="9.85546875" style="252" bestFit="1" customWidth="1"/>
    <col min="10504" max="10752" width="9.140625" style="252"/>
    <col min="10753" max="10753" width="59.42578125" style="252" bestFit="1" customWidth="1"/>
    <col min="10754" max="10754" width="22.7109375" style="252" customWidth="1"/>
    <col min="10755" max="10755" width="5.7109375" style="252" bestFit="1" customWidth="1"/>
    <col min="10756" max="10756" width="22.7109375" style="252" customWidth="1"/>
    <col min="10757" max="10757" width="3.7109375" style="252" customWidth="1"/>
    <col min="10758" max="10758" width="19.42578125" style="252" bestFit="1" customWidth="1"/>
    <col min="10759" max="10759" width="9.85546875" style="252" bestFit="1" customWidth="1"/>
    <col min="10760" max="11008" width="9.140625" style="252"/>
    <col min="11009" max="11009" width="59.42578125" style="252" bestFit="1" customWidth="1"/>
    <col min="11010" max="11010" width="22.7109375" style="252" customWidth="1"/>
    <col min="11011" max="11011" width="5.7109375" style="252" bestFit="1" customWidth="1"/>
    <col min="11012" max="11012" width="22.7109375" style="252" customWidth="1"/>
    <col min="11013" max="11013" width="3.7109375" style="252" customWidth="1"/>
    <col min="11014" max="11014" width="19.42578125" style="252" bestFit="1" customWidth="1"/>
    <col min="11015" max="11015" width="9.85546875" style="252" bestFit="1" customWidth="1"/>
    <col min="11016" max="11264" width="9.140625" style="252"/>
    <col min="11265" max="11265" width="59.42578125" style="252" bestFit="1" customWidth="1"/>
    <col min="11266" max="11266" width="22.7109375" style="252" customWidth="1"/>
    <col min="11267" max="11267" width="5.7109375" style="252" bestFit="1" customWidth="1"/>
    <col min="11268" max="11268" width="22.7109375" style="252" customWidth="1"/>
    <col min="11269" max="11269" width="3.7109375" style="252" customWidth="1"/>
    <col min="11270" max="11270" width="19.42578125" style="252" bestFit="1" customWidth="1"/>
    <col min="11271" max="11271" width="9.85546875" style="252" bestFit="1" customWidth="1"/>
    <col min="11272" max="11520" width="9.140625" style="252"/>
    <col min="11521" max="11521" width="59.42578125" style="252" bestFit="1" customWidth="1"/>
    <col min="11522" max="11522" width="22.7109375" style="252" customWidth="1"/>
    <col min="11523" max="11523" width="5.7109375" style="252" bestFit="1" customWidth="1"/>
    <col min="11524" max="11524" width="22.7109375" style="252" customWidth="1"/>
    <col min="11525" max="11525" width="3.7109375" style="252" customWidth="1"/>
    <col min="11526" max="11526" width="19.42578125" style="252" bestFit="1" customWidth="1"/>
    <col min="11527" max="11527" width="9.85546875" style="252" bestFit="1" customWidth="1"/>
    <col min="11528" max="11776" width="9.140625" style="252"/>
    <col min="11777" max="11777" width="59.42578125" style="252" bestFit="1" customWidth="1"/>
    <col min="11778" max="11778" width="22.7109375" style="252" customWidth="1"/>
    <col min="11779" max="11779" width="5.7109375" style="252" bestFit="1" customWidth="1"/>
    <col min="11780" max="11780" width="22.7109375" style="252" customWidth="1"/>
    <col min="11781" max="11781" width="3.7109375" style="252" customWidth="1"/>
    <col min="11782" max="11782" width="19.42578125" style="252" bestFit="1" customWidth="1"/>
    <col min="11783" max="11783" width="9.85546875" style="252" bestFit="1" customWidth="1"/>
    <col min="11784" max="12032" width="9.140625" style="252"/>
    <col min="12033" max="12033" width="59.42578125" style="252" bestFit="1" customWidth="1"/>
    <col min="12034" max="12034" width="22.7109375" style="252" customWidth="1"/>
    <col min="12035" max="12035" width="5.7109375" style="252" bestFit="1" customWidth="1"/>
    <col min="12036" max="12036" width="22.7109375" style="252" customWidth="1"/>
    <col min="12037" max="12037" width="3.7109375" style="252" customWidth="1"/>
    <col min="12038" max="12038" width="19.42578125" style="252" bestFit="1" customWidth="1"/>
    <col min="12039" max="12039" width="9.85546875" style="252" bestFit="1" customWidth="1"/>
    <col min="12040" max="12288" width="9.140625" style="252"/>
    <col min="12289" max="12289" width="59.42578125" style="252" bestFit="1" customWidth="1"/>
    <col min="12290" max="12290" width="22.7109375" style="252" customWidth="1"/>
    <col min="12291" max="12291" width="5.7109375" style="252" bestFit="1" customWidth="1"/>
    <col min="12292" max="12292" width="22.7109375" style="252" customWidth="1"/>
    <col min="12293" max="12293" width="3.7109375" style="252" customWidth="1"/>
    <col min="12294" max="12294" width="19.42578125" style="252" bestFit="1" customWidth="1"/>
    <col min="12295" max="12295" width="9.85546875" style="252" bestFit="1" customWidth="1"/>
    <col min="12296" max="12544" width="9.140625" style="252"/>
    <col min="12545" max="12545" width="59.42578125" style="252" bestFit="1" customWidth="1"/>
    <col min="12546" max="12546" width="22.7109375" style="252" customWidth="1"/>
    <col min="12547" max="12547" width="5.7109375" style="252" bestFit="1" customWidth="1"/>
    <col min="12548" max="12548" width="22.7109375" style="252" customWidth="1"/>
    <col min="12549" max="12549" width="3.7109375" style="252" customWidth="1"/>
    <col min="12550" max="12550" width="19.42578125" style="252" bestFit="1" customWidth="1"/>
    <col min="12551" max="12551" width="9.85546875" style="252" bestFit="1" customWidth="1"/>
    <col min="12552" max="12800" width="9.140625" style="252"/>
    <col min="12801" max="12801" width="59.42578125" style="252" bestFit="1" customWidth="1"/>
    <col min="12802" max="12802" width="22.7109375" style="252" customWidth="1"/>
    <col min="12803" max="12803" width="5.7109375" style="252" bestFit="1" customWidth="1"/>
    <col min="12804" max="12804" width="22.7109375" style="252" customWidth="1"/>
    <col min="12805" max="12805" width="3.7109375" style="252" customWidth="1"/>
    <col min="12806" max="12806" width="19.42578125" style="252" bestFit="1" customWidth="1"/>
    <col min="12807" max="12807" width="9.85546875" style="252" bestFit="1" customWidth="1"/>
    <col min="12808" max="13056" width="9.140625" style="252"/>
    <col min="13057" max="13057" width="59.42578125" style="252" bestFit="1" customWidth="1"/>
    <col min="13058" max="13058" width="22.7109375" style="252" customWidth="1"/>
    <col min="13059" max="13059" width="5.7109375" style="252" bestFit="1" customWidth="1"/>
    <col min="13060" max="13060" width="22.7109375" style="252" customWidth="1"/>
    <col min="13061" max="13061" width="3.7109375" style="252" customWidth="1"/>
    <col min="13062" max="13062" width="19.42578125" style="252" bestFit="1" customWidth="1"/>
    <col min="13063" max="13063" width="9.85546875" style="252" bestFit="1" customWidth="1"/>
    <col min="13064" max="13312" width="9.140625" style="252"/>
    <col min="13313" max="13313" width="59.42578125" style="252" bestFit="1" customWidth="1"/>
    <col min="13314" max="13314" width="22.7109375" style="252" customWidth="1"/>
    <col min="13315" max="13315" width="5.7109375" style="252" bestFit="1" customWidth="1"/>
    <col min="13316" max="13316" width="22.7109375" style="252" customWidth="1"/>
    <col min="13317" max="13317" width="3.7109375" style="252" customWidth="1"/>
    <col min="13318" max="13318" width="19.42578125" style="252" bestFit="1" customWidth="1"/>
    <col min="13319" max="13319" width="9.85546875" style="252" bestFit="1" customWidth="1"/>
    <col min="13320" max="13568" width="9.140625" style="252"/>
    <col min="13569" max="13569" width="59.42578125" style="252" bestFit="1" customWidth="1"/>
    <col min="13570" max="13570" width="22.7109375" style="252" customWidth="1"/>
    <col min="13571" max="13571" width="5.7109375" style="252" bestFit="1" customWidth="1"/>
    <col min="13572" max="13572" width="22.7109375" style="252" customWidth="1"/>
    <col min="13573" max="13573" width="3.7109375" style="252" customWidth="1"/>
    <col min="13574" max="13574" width="19.42578125" style="252" bestFit="1" customWidth="1"/>
    <col min="13575" max="13575" width="9.85546875" style="252" bestFit="1" customWidth="1"/>
    <col min="13576" max="13824" width="9.140625" style="252"/>
    <col min="13825" max="13825" width="59.42578125" style="252" bestFit="1" customWidth="1"/>
    <col min="13826" max="13826" width="22.7109375" style="252" customWidth="1"/>
    <col min="13827" max="13827" width="5.7109375" style="252" bestFit="1" customWidth="1"/>
    <col min="13828" max="13828" width="22.7109375" style="252" customWidth="1"/>
    <col min="13829" max="13829" width="3.7109375" style="252" customWidth="1"/>
    <col min="13830" max="13830" width="19.42578125" style="252" bestFit="1" customWidth="1"/>
    <col min="13831" max="13831" width="9.85546875" style="252" bestFit="1" customWidth="1"/>
    <col min="13832" max="14080" width="9.140625" style="252"/>
    <col min="14081" max="14081" width="59.42578125" style="252" bestFit="1" customWidth="1"/>
    <col min="14082" max="14082" width="22.7109375" style="252" customWidth="1"/>
    <col min="14083" max="14083" width="5.7109375" style="252" bestFit="1" customWidth="1"/>
    <col min="14084" max="14084" width="22.7109375" style="252" customWidth="1"/>
    <col min="14085" max="14085" width="3.7109375" style="252" customWidth="1"/>
    <col min="14086" max="14086" width="19.42578125" style="252" bestFit="1" customWidth="1"/>
    <col min="14087" max="14087" width="9.85546875" style="252" bestFit="1" customWidth="1"/>
    <col min="14088" max="14336" width="9.140625" style="252"/>
    <col min="14337" max="14337" width="59.42578125" style="252" bestFit="1" customWidth="1"/>
    <col min="14338" max="14338" width="22.7109375" style="252" customWidth="1"/>
    <col min="14339" max="14339" width="5.7109375" style="252" bestFit="1" customWidth="1"/>
    <col min="14340" max="14340" width="22.7109375" style="252" customWidth="1"/>
    <col min="14341" max="14341" width="3.7109375" style="252" customWidth="1"/>
    <col min="14342" max="14342" width="19.42578125" style="252" bestFit="1" customWidth="1"/>
    <col min="14343" max="14343" width="9.85546875" style="252" bestFit="1" customWidth="1"/>
    <col min="14344" max="14592" width="9.140625" style="252"/>
    <col min="14593" max="14593" width="59.42578125" style="252" bestFit="1" customWidth="1"/>
    <col min="14594" max="14594" width="22.7109375" style="252" customWidth="1"/>
    <col min="14595" max="14595" width="5.7109375" style="252" bestFit="1" customWidth="1"/>
    <col min="14596" max="14596" width="22.7109375" style="252" customWidth="1"/>
    <col min="14597" max="14597" width="3.7109375" style="252" customWidth="1"/>
    <col min="14598" max="14598" width="19.42578125" style="252" bestFit="1" customWidth="1"/>
    <col min="14599" max="14599" width="9.85546875" style="252" bestFit="1" customWidth="1"/>
    <col min="14600" max="14848" width="9.140625" style="252"/>
    <col min="14849" max="14849" width="59.42578125" style="252" bestFit="1" customWidth="1"/>
    <col min="14850" max="14850" width="22.7109375" style="252" customWidth="1"/>
    <col min="14851" max="14851" width="5.7109375" style="252" bestFit="1" customWidth="1"/>
    <col min="14852" max="14852" width="22.7109375" style="252" customWidth="1"/>
    <col min="14853" max="14853" width="3.7109375" style="252" customWidth="1"/>
    <col min="14854" max="14854" width="19.42578125" style="252" bestFit="1" customWidth="1"/>
    <col min="14855" max="14855" width="9.85546875" style="252" bestFit="1" customWidth="1"/>
    <col min="14856" max="15104" width="9.140625" style="252"/>
    <col min="15105" max="15105" width="59.42578125" style="252" bestFit="1" customWidth="1"/>
    <col min="15106" max="15106" width="22.7109375" style="252" customWidth="1"/>
    <col min="15107" max="15107" width="5.7109375" style="252" bestFit="1" customWidth="1"/>
    <col min="15108" max="15108" width="22.7109375" style="252" customWidth="1"/>
    <col min="15109" max="15109" width="3.7109375" style="252" customWidth="1"/>
    <col min="15110" max="15110" width="19.42578125" style="252" bestFit="1" customWidth="1"/>
    <col min="15111" max="15111" width="9.85546875" style="252" bestFit="1" customWidth="1"/>
    <col min="15112" max="15360" width="9.140625" style="252"/>
    <col min="15361" max="15361" width="59.42578125" style="252" bestFit="1" customWidth="1"/>
    <col min="15362" max="15362" width="22.7109375" style="252" customWidth="1"/>
    <col min="15363" max="15363" width="5.7109375" style="252" bestFit="1" customWidth="1"/>
    <col min="15364" max="15364" width="22.7109375" style="252" customWidth="1"/>
    <col min="15365" max="15365" width="3.7109375" style="252" customWidth="1"/>
    <col min="15366" max="15366" width="19.42578125" style="252" bestFit="1" customWidth="1"/>
    <col min="15367" max="15367" width="9.85546875" style="252" bestFit="1" customWidth="1"/>
    <col min="15368" max="15616" width="9.140625" style="252"/>
    <col min="15617" max="15617" width="59.42578125" style="252" bestFit="1" customWidth="1"/>
    <col min="15618" max="15618" width="22.7109375" style="252" customWidth="1"/>
    <col min="15619" max="15619" width="5.7109375" style="252" bestFit="1" customWidth="1"/>
    <col min="15620" max="15620" width="22.7109375" style="252" customWidth="1"/>
    <col min="15621" max="15621" width="3.7109375" style="252" customWidth="1"/>
    <col min="15622" max="15622" width="19.42578125" style="252" bestFit="1" customWidth="1"/>
    <col min="15623" max="15623" width="9.85546875" style="252" bestFit="1" customWidth="1"/>
    <col min="15624" max="15872" width="9.140625" style="252"/>
    <col min="15873" max="15873" width="59.42578125" style="252" bestFit="1" customWidth="1"/>
    <col min="15874" max="15874" width="22.7109375" style="252" customWidth="1"/>
    <col min="15875" max="15875" width="5.7109375" style="252" bestFit="1" customWidth="1"/>
    <col min="15876" max="15876" width="22.7109375" style="252" customWidth="1"/>
    <col min="15877" max="15877" width="3.7109375" style="252" customWidth="1"/>
    <col min="15878" max="15878" width="19.42578125" style="252" bestFit="1" customWidth="1"/>
    <col min="15879" max="15879" width="9.85546875" style="252" bestFit="1" customWidth="1"/>
    <col min="15880" max="16128" width="9.140625" style="252"/>
    <col min="16129" max="16129" width="59.42578125" style="252" bestFit="1" customWidth="1"/>
    <col min="16130" max="16130" width="22.7109375" style="252" customWidth="1"/>
    <col min="16131" max="16131" width="5.7109375" style="252" bestFit="1" customWidth="1"/>
    <col min="16132" max="16132" width="22.7109375" style="252" customWidth="1"/>
    <col min="16133" max="16133" width="3.7109375" style="252" customWidth="1"/>
    <col min="16134" max="16134" width="19.42578125" style="252" bestFit="1" customWidth="1"/>
    <col min="16135" max="16135" width="9.85546875" style="252" bestFit="1" customWidth="1"/>
    <col min="16136" max="16384" width="9.140625" style="252"/>
  </cols>
  <sheetData>
    <row r="1" spans="1:9" ht="15.75" x14ac:dyDescent="0.25">
      <c r="A1" s="1" t="s">
        <v>0</v>
      </c>
    </row>
    <row r="2" spans="1:9" ht="15.75" x14ac:dyDescent="0.25">
      <c r="A2" s="3" t="s">
        <v>1</v>
      </c>
    </row>
    <row r="3" spans="1:9" ht="15.75" x14ac:dyDescent="0.25">
      <c r="A3" s="3" t="s">
        <v>28</v>
      </c>
    </row>
    <row r="4" spans="1:9" ht="15.75" x14ac:dyDescent="0.25">
      <c r="A4" s="4" t="s">
        <v>178</v>
      </c>
    </row>
    <row r="5" spans="1:9" ht="17.25" customHeight="1" x14ac:dyDescent="0.25"/>
    <row r="7" spans="1:9" s="278" customFormat="1" ht="15.75" x14ac:dyDescent="0.25">
      <c r="A7" s="282" t="str">
        <f>"Revenue Retained "</f>
        <v xml:space="preserve">Revenue Retained </v>
      </c>
      <c r="B7" s="281"/>
      <c r="C7" s="280"/>
      <c r="D7" s="281"/>
      <c r="E7" s="280"/>
      <c r="F7" s="280"/>
      <c r="G7" s="279"/>
      <c r="I7" s="289"/>
    </row>
    <row r="8" spans="1:9" s="278" customFormat="1" ht="12.75" x14ac:dyDescent="0.2">
      <c r="B8" s="287"/>
      <c r="D8" s="287"/>
      <c r="G8" s="261"/>
      <c r="I8" s="268"/>
    </row>
    <row r="9" spans="1:9" s="278" customFormat="1" ht="12.75" x14ac:dyDescent="0.2">
      <c r="B9" s="288"/>
      <c r="D9" s="287"/>
      <c r="F9" s="286"/>
      <c r="I9" s="269"/>
    </row>
    <row r="10" spans="1:9" s="17" customFormat="1" ht="13.5" thickBot="1" x14ac:dyDescent="0.25">
      <c r="B10" s="18" t="s">
        <v>2</v>
      </c>
      <c r="D10" s="19" t="str">
        <f>TEXT(D20/$B$20,"00%")&amp;" Passed Back"</f>
        <v>50% Passed Back</v>
      </c>
      <c r="F10" s="20" t="str">
        <f>TEXT(F20/$B$20,"00%")&amp;" Retained"</f>
        <v>50% Retained</v>
      </c>
      <c r="H10" s="21"/>
    </row>
    <row r="11" spans="1:9" s="17" customFormat="1" ht="12.75" x14ac:dyDescent="0.2">
      <c r="A11" s="21" t="s">
        <v>124</v>
      </c>
      <c r="B11" s="246">
        <f>[15]Value!$M$18</f>
        <v>198165.45124156994</v>
      </c>
      <c r="C11" s="247"/>
      <c r="D11" s="246">
        <f>[15]Value!$O$18</f>
        <v>99082.725620784942</v>
      </c>
      <c r="E11" s="247"/>
      <c r="F11" s="246">
        <f>+B11-D11</f>
        <v>99082.725620785001</v>
      </c>
      <c r="H11" s="23"/>
    </row>
    <row r="12" spans="1:9" s="17" customFormat="1" ht="12.75" x14ac:dyDescent="0.2">
      <c r="A12" s="21" t="s">
        <v>125</v>
      </c>
      <c r="B12" s="246">
        <f>[16]Value!$M$18</f>
        <v>15144.042368959994</v>
      </c>
      <c r="C12" s="247"/>
      <c r="D12" s="246">
        <f>[16]Value!$O$18</f>
        <v>7572.0211844799969</v>
      </c>
      <c r="E12" s="247"/>
      <c r="F12" s="246">
        <f>+B12-D12</f>
        <v>7572.0211844799969</v>
      </c>
      <c r="H12" s="24"/>
    </row>
    <row r="13" spans="1:9" s="17" customFormat="1" ht="12.75" x14ac:dyDescent="0.2">
      <c r="B13" s="246"/>
      <c r="C13" s="247"/>
      <c r="D13" s="246"/>
      <c r="E13" s="247"/>
      <c r="F13" s="248"/>
      <c r="H13" s="24"/>
    </row>
    <row r="14" spans="1:9" s="17" customFormat="1" ht="12.75" x14ac:dyDescent="0.2">
      <c r="A14" s="21" t="s">
        <v>126</v>
      </c>
      <c r="B14" s="246">
        <f>[17]Value!$M$20</f>
        <v>311737.81214388972</v>
      </c>
      <c r="C14" s="247"/>
      <c r="D14" s="246">
        <f>[17]Value!$O$20</f>
        <v>155868.90607194492</v>
      </c>
      <c r="E14" s="247"/>
      <c r="F14" s="246">
        <f>+B14-D14</f>
        <v>155868.9060719448</v>
      </c>
      <c r="H14" s="24"/>
    </row>
    <row r="15" spans="1:9" s="17" customFormat="1" ht="12.75" x14ac:dyDescent="0.2">
      <c r="A15" s="21" t="s">
        <v>127</v>
      </c>
      <c r="B15" s="246">
        <f>[18]Value!$M$20</f>
        <v>2094.7887699299986</v>
      </c>
      <c r="C15" s="247"/>
      <c r="D15" s="246">
        <f>[18]Value!$O$20</f>
        <v>1047.3943849649993</v>
      </c>
      <c r="E15" s="247"/>
      <c r="F15" s="246">
        <f>+B15-D15</f>
        <v>1047.3943849649993</v>
      </c>
      <c r="H15" s="24"/>
    </row>
    <row r="16" spans="1:9" s="17" customFormat="1" ht="12.75" x14ac:dyDescent="0.2">
      <c r="B16" s="246"/>
      <c r="C16" s="247"/>
      <c r="D16" s="246"/>
      <c r="E16" s="247"/>
      <c r="F16" s="248"/>
      <c r="H16" s="24"/>
    </row>
    <row r="17" spans="1:11" s="17" customFormat="1" ht="12.75" x14ac:dyDescent="0.2">
      <c r="A17" s="21" t="s">
        <v>128</v>
      </c>
      <c r="B17" s="246">
        <f>[19]Value!$M$18</f>
        <v>69569.430161139957</v>
      </c>
      <c r="C17" s="247"/>
      <c r="D17" s="246">
        <f>[19]Value!$O$18</f>
        <v>34784.715080569986</v>
      </c>
      <c r="E17" s="247"/>
      <c r="F17" s="246">
        <f>+B17-D17</f>
        <v>34784.715080569971</v>
      </c>
      <c r="H17" s="24"/>
    </row>
    <row r="18" spans="1:11" s="17" customFormat="1" ht="12.75" x14ac:dyDescent="0.2">
      <c r="A18" s="21" t="s">
        <v>129</v>
      </c>
      <c r="B18" s="246">
        <f>[20]Value!$M$18</f>
        <v>1777.9816404699989</v>
      </c>
      <c r="C18" s="247"/>
      <c r="D18" s="246">
        <f>[20]Value!$O$18</f>
        <v>888.99082023499955</v>
      </c>
      <c r="E18" s="247"/>
      <c r="F18" s="246">
        <f>+B18-D18</f>
        <v>888.99082023499932</v>
      </c>
      <c r="H18" s="24"/>
    </row>
    <row r="19" spans="1:11" s="17" customFormat="1" ht="12.75" x14ac:dyDescent="0.2">
      <c r="B19" s="22"/>
      <c r="D19" s="163"/>
      <c r="F19" s="25"/>
      <c r="H19" s="24"/>
    </row>
    <row r="20" spans="1:11" s="17" customFormat="1" ht="13.5" thickBot="1" x14ac:dyDescent="0.25">
      <c r="A20" s="26" t="s">
        <v>9</v>
      </c>
      <c r="B20" s="27">
        <f>SUM(B11:B19)</f>
        <v>598489.50632595958</v>
      </c>
      <c r="D20" s="27">
        <f>SUM(D11:D19)</f>
        <v>299244.75316297979</v>
      </c>
      <c r="E20" s="28"/>
      <c r="F20" s="27">
        <f>SUM(F11:F19)</f>
        <v>299244.75316297979</v>
      </c>
      <c r="H20" s="29"/>
    </row>
    <row r="21" spans="1:11" s="278" customFormat="1" ht="12.75" x14ac:dyDescent="0.2">
      <c r="B21" s="22"/>
      <c r="C21" s="17"/>
      <c r="D21" s="22"/>
      <c r="E21" s="17"/>
      <c r="F21" s="30"/>
      <c r="I21" s="268"/>
    </row>
    <row r="22" spans="1:11" s="278" customFormat="1" ht="12.75" x14ac:dyDescent="0.2">
      <c r="A22" s="284"/>
      <c r="B22" s="285"/>
      <c r="C22" s="284"/>
      <c r="D22" s="285"/>
      <c r="E22" s="284"/>
      <c r="F22" s="284"/>
      <c r="G22" s="283"/>
      <c r="I22" s="268"/>
    </row>
    <row r="23" spans="1:11" s="278" customFormat="1" ht="15.75" x14ac:dyDescent="0.25">
      <c r="A23" s="282" t="str">
        <f>"Program Costs "</f>
        <v xml:space="preserve">Program Costs </v>
      </c>
      <c r="B23" s="281"/>
      <c r="C23" s="280"/>
      <c r="D23" s="281"/>
      <c r="E23" s="280"/>
      <c r="F23" s="280"/>
      <c r="G23" s="279"/>
      <c r="I23" s="268"/>
    </row>
    <row r="24" spans="1:11" s="267" customFormat="1" ht="15.75" x14ac:dyDescent="0.25">
      <c r="A24" s="273"/>
      <c r="B24" s="271"/>
      <c r="C24" s="268"/>
      <c r="D24" s="271"/>
      <c r="E24" s="268"/>
      <c r="F24" s="268"/>
      <c r="G24" s="269"/>
      <c r="I24" s="268"/>
      <c r="J24" s="296"/>
    </row>
    <row r="25" spans="1:11" s="267" customFormat="1" ht="12.75" x14ac:dyDescent="0.2">
      <c r="A25" s="264" t="s">
        <v>10</v>
      </c>
      <c r="B25" s="271"/>
      <c r="C25" s="268"/>
      <c r="D25" s="271"/>
      <c r="E25" s="268"/>
      <c r="F25" s="268"/>
      <c r="G25" s="269"/>
      <c r="I25" s="268"/>
      <c r="J25" s="296"/>
    </row>
    <row r="26" spans="1:11" s="267" customFormat="1" ht="12.75" x14ac:dyDescent="0.2">
      <c r="A26" s="38" t="s">
        <v>170</v>
      </c>
      <c r="B26" s="271"/>
      <c r="C26" s="268"/>
      <c r="D26" s="272">
        <v>54657.64</v>
      </c>
      <c r="E26" s="268"/>
      <c r="F26" s="268"/>
      <c r="G26" s="269"/>
      <c r="I26" s="268"/>
      <c r="J26" s="296"/>
    </row>
    <row r="27" spans="1:11" s="267" customFormat="1" ht="12.75" x14ac:dyDescent="0.2">
      <c r="A27" s="38" t="s">
        <v>171</v>
      </c>
      <c r="B27" s="271"/>
      <c r="C27" s="268"/>
      <c r="D27" s="272">
        <v>13132</v>
      </c>
      <c r="E27" s="268"/>
      <c r="F27" s="268"/>
      <c r="G27" s="269"/>
      <c r="H27" s="274"/>
      <c r="I27" s="268"/>
      <c r="J27" s="296"/>
    </row>
    <row r="28" spans="1:11" s="267" customFormat="1" ht="15.75" x14ac:dyDescent="0.25">
      <c r="A28" s="273"/>
      <c r="B28" s="271"/>
      <c r="C28" s="268"/>
      <c r="D28" s="301"/>
      <c r="E28" s="268"/>
      <c r="F28" s="271"/>
      <c r="G28" s="269"/>
      <c r="I28" s="268"/>
      <c r="J28" s="296"/>
    </row>
    <row r="29" spans="1:11" s="267" customFormat="1" ht="12.75" x14ac:dyDescent="0.2">
      <c r="A29" s="264" t="s">
        <v>11</v>
      </c>
      <c r="B29" s="271"/>
      <c r="C29" s="268"/>
      <c r="D29" s="272"/>
      <c r="E29" s="268"/>
      <c r="F29" s="268"/>
      <c r="G29" s="269"/>
      <c r="I29" s="268"/>
    </row>
    <row r="30" spans="1:11" s="267" customFormat="1" x14ac:dyDescent="0.25">
      <c r="A30" s="38" t="s">
        <v>12</v>
      </c>
      <c r="B30" s="271"/>
      <c r="C30" s="268"/>
      <c r="D30" s="272">
        <v>7290</v>
      </c>
      <c r="E30" s="268"/>
      <c r="F30" s="268"/>
      <c r="G30" s="269"/>
      <c r="H30" s="274"/>
      <c r="I30" s="268"/>
      <c r="J30" s="210"/>
    </row>
    <row r="31" spans="1:11" s="267" customFormat="1" ht="15.75" x14ac:dyDescent="0.25">
      <c r="A31" s="273"/>
      <c r="B31" s="271"/>
      <c r="C31" s="268"/>
      <c r="D31" s="272"/>
      <c r="E31" s="268"/>
      <c r="F31" s="268"/>
      <c r="G31" s="269"/>
      <c r="I31" s="268"/>
      <c r="J31" s="210"/>
      <c r="K31" s="210"/>
    </row>
    <row r="32" spans="1:11" s="267" customFormat="1" ht="15.75" x14ac:dyDescent="0.25">
      <c r="A32" s="264" t="s">
        <v>179</v>
      </c>
      <c r="B32" s="273"/>
      <c r="C32" s="273"/>
      <c r="D32" s="272"/>
      <c r="E32" s="268"/>
      <c r="F32" s="271"/>
      <c r="G32" s="268"/>
      <c r="H32" s="268"/>
      <c r="I32" s="269"/>
      <c r="J32" s="210"/>
      <c r="K32" s="210"/>
    </row>
    <row r="33" spans="1:11" s="267" customFormat="1" ht="15.75" x14ac:dyDescent="0.25">
      <c r="A33" s="38" t="s">
        <v>180</v>
      </c>
      <c r="B33" s="273"/>
      <c r="C33" s="273"/>
      <c r="D33" s="272">
        <v>5364.7</v>
      </c>
      <c r="E33" s="268"/>
      <c r="F33" s="271"/>
      <c r="G33" s="268"/>
      <c r="H33" s="270"/>
      <c r="I33" s="269"/>
      <c r="J33" s="210"/>
      <c r="K33" s="268"/>
    </row>
    <row r="34" spans="1:11" s="267" customFormat="1" ht="15.75" x14ac:dyDescent="0.25">
      <c r="A34" s="38"/>
      <c r="B34" s="273"/>
      <c r="C34" s="273"/>
      <c r="D34" s="272"/>
      <c r="E34" s="268"/>
      <c r="F34" s="271"/>
      <c r="G34" s="268"/>
      <c r="H34" s="270"/>
      <c r="I34" s="269"/>
      <c r="J34" s="210"/>
      <c r="K34" s="210"/>
    </row>
    <row r="35" spans="1:11" s="267" customFormat="1" x14ac:dyDescent="0.25">
      <c r="A35" s="264" t="s">
        <v>181</v>
      </c>
      <c r="B35" s="271"/>
      <c r="C35" s="268"/>
      <c r="D35" s="272"/>
      <c r="E35" s="268"/>
      <c r="F35" s="268"/>
      <c r="G35" s="269"/>
      <c r="I35" s="268"/>
      <c r="J35" s="210"/>
      <c r="K35" s="210"/>
    </row>
    <row r="36" spans="1:11" s="267" customFormat="1" ht="15.75" x14ac:dyDescent="0.25">
      <c r="A36" s="38" t="s">
        <v>182</v>
      </c>
      <c r="B36" s="273"/>
      <c r="C36" s="273"/>
      <c r="D36" s="272">
        <v>50489.46</v>
      </c>
      <c r="E36" s="268"/>
      <c r="F36" s="271"/>
      <c r="G36" s="268"/>
      <c r="H36" s="268"/>
      <c r="I36" s="269"/>
      <c r="J36" s="277"/>
      <c r="K36" s="276"/>
    </row>
    <row r="37" spans="1:11" s="267" customFormat="1" ht="15.75" x14ac:dyDescent="0.25">
      <c r="B37" s="273"/>
      <c r="C37" s="273"/>
      <c r="D37" s="301"/>
      <c r="E37" s="268"/>
      <c r="F37" s="271"/>
      <c r="G37" s="268"/>
      <c r="H37" s="270"/>
      <c r="I37" s="269"/>
      <c r="K37" s="268"/>
    </row>
    <row r="38" spans="1:11" x14ac:dyDescent="0.25">
      <c r="A38" s="264" t="s">
        <v>183</v>
      </c>
      <c r="B38" s="38"/>
      <c r="C38" s="38"/>
      <c r="D38" s="302"/>
      <c r="E38" s="263"/>
      <c r="F38" s="266"/>
      <c r="H38" s="265"/>
      <c r="J38" s="275"/>
    </row>
    <row r="39" spans="1:11" s="267" customFormat="1" ht="15.75" x14ac:dyDescent="0.25">
      <c r="A39" s="38" t="s">
        <v>184</v>
      </c>
      <c r="B39" s="273"/>
      <c r="C39" s="273"/>
      <c r="D39" s="272">
        <v>0</v>
      </c>
      <c r="E39" s="268"/>
      <c r="F39" s="271"/>
      <c r="G39" s="268"/>
      <c r="H39" s="268"/>
      <c r="I39" s="269"/>
      <c r="K39" s="268"/>
    </row>
    <row r="40" spans="1:11" x14ac:dyDescent="0.25">
      <c r="A40" s="38"/>
      <c r="B40" s="38"/>
      <c r="C40" s="38"/>
      <c r="D40" s="302"/>
      <c r="E40" s="263"/>
      <c r="F40" s="266"/>
      <c r="H40" s="265"/>
    </row>
    <row r="41" spans="1:11" s="267" customFormat="1" ht="15.75" x14ac:dyDescent="0.25">
      <c r="A41" s="264" t="s">
        <v>185</v>
      </c>
      <c r="B41" s="273"/>
      <c r="C41" s="273"/>
      <c r="D41" s="272"/>
      <c r="E41" s="268"/>
      <c r="F41" s="271"/>
      <c r="G41" s="268"/>
      <c r="H41" s="268"/>
      <c r="I41" s="269"/>
      <c r="K41" s="268"/>
    </row>
    <row r="42" spans="1:11" s="267" customFormat="1" ht="15.75" x14ac:dyDescent="0.25">
      <c r="A42" s="38" t="s">
        <v>186</v>
      </c>
      <c r="B42" s="273"/>
      <c r="C42" s="273"/>
      <c r="D42" s="272">
        <v>0</v>
      </c>
      <c r="E42" s="268"/>
      <c r="F42" s="271"/>
      <c r="G42" s="268"/>
      <c r="H42" s="270"/>
      <c r="I42" s="269"/>
      <c r="K42" s="268"/>
    </row>
    <row r="43" spans="1:11" s="267" customFormat="1" ht="15.75" x14ac:dyDescent="0.25">
      <c r="A43" s="38"/>
      <c r="B43" s="273"/>
      <c r="C43" s="273"/>
      <c r="D43" s="272"/>
      <c r="E43" s="268"/>
      <c r="F43" s="271"/>
      <c r="G43" s="268"/>
      <c r="H43" s="270"/>
      <c r="I43" s="269"/>
      <c r="K43" s="268"/>
    </row>
    <row r="44" spans="1:11" x14ac:dyDescent="0.25">
      <c r="A44" s="264" t="s">
        <v>13</v>
      </c>
      <c r="B44" s="264"/>
      <c r="C44" s="264"/>
      <c r="E44" s="263"/>
      <c r="F44" s="262"/>
      <c r="G44" s="262"/>
    </row>
    <row r="45" spans="1:11" ht="15.75" thickBot="1" x14ac:dyDescent="0.3">
      <c r="A45" s="262"/>
      <c r="B45" s="262"/>
      <c r="C45" s="262"/>
      <c r="D45" s="297">
        <f>SUM(D24:D43)</f>
        <v>130933.79999999999</v>
      </c>
      <c r="E45" s="263"/>
      <c r="F45" s="262"/>
      <c r="G45" s="262"/>
    </row>
    <row r="46" spans="1:11" ht="15.75" thickTop="1" x14ac:dyDescent="0.25">
      <c r="A46" s="256" t="s">
        <v>135</v>
      </c>
      <c r="B46" s="256"/>
      <c r="C46" s="256"/>
      <c r="D46" s="298">
        <f>D45*0.05</f>
        <v>6546.69</v>
      </c>
      <c r="E46" s="259"/>
    </row>
    <row r="47" spans="1:11" x14ac:dyDescent="0.25">
      <c r="A47" s="260"/>
      <c r="B47" s="260"/>
      <c r="C47" s="260"/>
      <c r="D47" s="299"/>
      <c r="E47" s="259"/>
    </row>
    <row r="48" spans="1:11" ht="15.75" thickBot="1" x14ac:dyDescent="0.3">
      <c r="A48" s="257" t="s">
        <v>134</v>
      </c>
      <c r="B48" s="257"/>
      <c r="C48" s="257"/>
      <c r="D48" s="297">
        <f>+D46+D45</f>
        <v>137480.49</v>
      </c>
      <c r="E48" s="255">
        <f>+D48/B20</f>
        <v>0.22971244866760124</v>
      </c>
    </row>
    <row r="49" spans="1:5" ht="15.75" thickTop="1" x14ac:dyDescent="0.25">
      <c r="D49" s="300"/>
      <c r="E49" s="258"/>
    </row>
    <row r="50" spans="1:5" x14ac:dyDescent="0.25">
      <c r="A50" s="257" t="s">
        <v>16</v>
      </c>
      <c r="D50" s="300">
        <f>D20</f>
        <v>299244.75316297979</v>
      </c>
      <c r="E50" s="255">
        <f>+D50/B20</f>
        <v>0.5</v>
      </c>
    </row>
    <row r="51" spans="1:5" x14ac:dyDescent="0.25">
      <c r="D51" s="300"/>
    </row>
    <row r="52" spans="1:5" x14ac:dyDescent="0.25">
      <c r="A52" s="257" t="s">
        <v>192</v>
      </c>
      <c r="B52" s="256"/>
      <c r="C52" s="256"/>
      <c r="D52" s="300">
        <f>B20-D48-D50</f>
        <v>161764.2631629798</v>
      </c>
      <c r="E52" s="255">
        <f>D52/B20</f>
        <v>0.27028755133239879</v>
      </c>
    </row>
    <row r="62" spans="1:5" x14ac:dyDescent="0.25">
      <c r="B62" s="254"/>
    </row>
    <row r="63" spans="1:5" x14ac:dyDescent="0.25">
      <c r="B63" s="253"/>
    </row>
  </sheetData>
  <pageMargins left="0.7" right="0.7" top="0.75" bottom="0.75" header="0.3" footer="0.3"/>
  <pageSetup scale="70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6"/>
  <sheetViews>
    <sheetView workbookViewId="0">
      <selection activeCell="AE15" sqref="AE15:AE16"/>
    </sheetView>
  </sheetViews>
  <sheetFormatPr defaultRowHeight="12.75" x14ac:dyDescent="0.2"/>
  <cols>
    <col min="2" max="2" width="17" bestFit="1" customWidth="1"/>
    <col min="10" max="10" width="9.7109375" bestFit="1" customWidth="1"/>
    <col min="18" max="18" width="17" bestFit="1" customWidth="1"/>
    <col min="26" max="26" width="9.7109375" bestFit="1" customWidth="1"/>
  </cols>
  <sheetData>
    <row r="2" spans="1:32" x14ac:dyDescent="0.2">
      <c r="A2">
        <v>176</v>
      </c>
      <c r="B2" t="s">
        <v>120</v>
      </c>
      <c r="C2" t="s">
        <v>84</v>
      </c>
      <c r="D2" t="s">
        <v>85</v>
      </c>
      <c r="E2" t="s">
        <v>86</v>
      </c>
      <c r="F2" t="s">
        <v>87</v>
      </c>
      <c r="G2" t="s">
        <v>88</v>
      </c>
      <c r="H2" t="s">
        <v>89</v>
      </c>
      <c r="I2" t="s">
        <v>90</v>
      </c>
      <c r="J2" t="s">
        <v>91</v>
      </c>
      <c r="K2" t="s">
        <v>92</v>
      </c>
      <c r="L2" t="s">
        <v>93</v>
      </c>
      <c r="M2" t="s">
        <v>94</v>
      </c>
      <c r="N2" t="s">
        <v>95</v>
      </c>
      <c r="O2" t="s">
        <v>2</v>
      </c>
      <c r="R2" t="s">
        <v>121</v>
      </c>
      <c r="S2" t="s">
        <v>84</v>
      </c>
      <c r="T2" t="s">
        <v>85</v>
      </c>
      <c r="U2" t="s">
        <v>86</v>
      </c>
      <c r="V2" t="s">
        <v>87</v>
      </c>
      <c r="W2" t="s">
        <v>88</v>
      </c>
      <c r="X2" t="s">
        <v>89</v>
      </c>
      <c r="Y2" t="s">
        <v>90</v>
      </c>
      <c r="Z2" t="s">
        <v>91</v>
      </c>
      <c r="AA2" t="s">
        <v>92</v>
      </c>
      <c r="AB2" t="s">
        <v>93</v>
      </c>
      <c r="AC2" t="s">
        <v>94</v>
      </c>
      <c r="AD2" t="s">
        <v>95</v>
      </c>
      <c r="AE2" t="s">
        <v>2</v>
      </c>
    </row>
    <row r="3" spans="1:32" ht="15" x14ac:dyDescent="0.2">
      <c r="A3" t="s">
        <v>65</v>
      </c>
      <c r="B3" s="136" t="s">
        <v>67</v>
      </c>
      <c r="C3" s="137">
        <v>13.011273839988929</v>
      </c>
      <c r="D3" s="137">
        <v>11.630984909844285</v>
      </c>
      <c r="E3" s="137">
        <v>12.461696722402598</v>
      </c>
      <c r="F3" s="137">
        <v>13.382271542903043</v>
      </c>
      <c r="G3" s="137">
        <v>15.394428093929475</v>
      </c>
      <c r="H3" s="137">
        <v>19.103843700484266</v>
      </c>
      <c r="I3" s="137">
        <v>16.027793628872878</v>
      </c>
      <c r="J3" s="138">
        <v>15.804713853967529</v>
      </c>
      <c r="K3" s="137">
        <v>10.111552982799173</v>
      </c>
      <c r="L3" s="137">
        <v>9.8642592667533524</v>
      </c>
      <c r="M3" s="137">
        <v>12.880612652910228</v>
      </c>
      <c r="N3" s="137">
        <v>12.132289000116829</v>
      </c>
      <c r="O3" s="113">
        <f>SUM(C3:N3)</f>
        <v>161.80572019497259</v>
      </c>
      <c r="P3" s="113">
        <f>SUM(O4+O5+O15+O16+O21+O25)</f>
        <v>630.54194094576758</v>
      </c>
      <c r="R3" s="136" t="s">
        <v>67</v>
      </c>
      <c r="S3" s="137">
        <v>59.317011595470412</v>
      </c>
      <c r="T3" s="137">
        <v>54.549948075019088</v>
      </c>
      <c r="U3" s="137">
        <v>58.918162453360004</v>
      </c>
      <c r="V3" s="137">
        <v>59.162009634585587</v>
      </c>
      <c r="W3" s="137">
        <v>66.020970166230853</v>
      </c>
      <c r="X3" s="137">
        <v>57.313460925300099</v>
      </c>
      <c r="Y3" s="137">
        <v>56.299345359409479</v>
      </c>
      <c r="Z3" s="138">
        <v>54.163188252048272</v>
      </c>
      <c r="AA3" s="137">
        <v>57.91581633574404</v>
      </c>
      <c r="AB3" s="137">
        <v>54.697580934907393</v>
      </c>
      <c r="AC3" s="137">
        <v>62.586097298801214</v>
      </c>
      <c r="AD3" s="137">
        <v>63.888643165501065</v>
      </c>
      <c r="AE3" s="113">
        <f>SUM(S3:AD3)</f>
        <v>704.83223419637739</v>
      </c>
      <c r="AF3" s="113">
        <f>SUM(AE4+AE5+AE15+AE16+AE25)</f>
        <v>2223.2021395077841</v>
      </c>
    </row>
    <row r="4" spans="1:32" s="140" customFormat="1" ht="15" x14ac:dyDescent="0.2">
      <c r="A4" s="140" t="s">
        <v>55</v>
      </c>
      <c r="B4" s="141" t="s">
        <v>102</v>
      </c>
      <c r="C4" s="142">
        <v>3.223100190612687</v>
      </c>
      <c r="D4" s="142">
        <v>1.5236260636389687</v>
      </c>
      <c r="E4" s="142">
        <v>1.4462437715599845</v>
      </c>
      <c r="F4" s="142">
        <v>2.3201057601120869</v>
      </c>
      <c r="G4" s="142">
        <v>2.2025701884027251</v>
      </c>
      <c r="H4" s="142">
        <v>2.3400227505649696</v>
      </c>
      <c r="I4" s="142">
        <v>1.6394857643843181</v>
      </c>
      <c r="J4" s="143">
        <v>1.949804868450129</v>
      </c>
      <c r="K4" s="142">
        <v>1.8478661540765096</v>
      </c>
      <c r="L4" s="142">
        <v>2.0914257825170921</v>
      </c>
      <c r="M4" s="142">
        <v>1.8280310992349069</v>
      </c>
      <c r="N4" s="142">
        <v>1.9611854887695852</v>
      </c>
      <c r="O4" s="144">
        <f t="shared" ref="O4:O35" si="0">SUM(C4:N4)</f>
        <v>24.373467882323965</v>
      </c>
      <c r="R4" s="141" t="s">
        <v>102</v>
      </c>
      <c r="S4" s="137">
        <v>5.2151747658693726</v>
      </c>
      <c r="T4" s="137">
        <v>5.6013907691297522</v>
      </c>
      <c r="U4" s="137">
        <v>5.9973399546440511</v>
      </c>
      <c r="V4" s="137">
        <v>6.8420655304158684</v>
      </c>
      <c r="W4" s="137">
        <v>5.6031474416862039</v>
      </c>
      <c r="X4" s="137">
        <v>6.2406543828687377</v>
      </c>
      <c r="Y4" s="137">
        <v>6.1889135913264504</v>
      </c>
      <c r="Z4" s="138">
        <v>5.1366450441655589</v>
      </c>
      <c r="AA4" s="137">
        <v>6.4624370411546685</v>
      </c>
      <c r="AB4" s="137">
        <v>5.4854832350564937</v>
      </c>
      <c r="AC4" s="137">
        <v>5.1290173773288847</v>
      </c>
      <c r="AD4" s="137">
        <v>5.5930709565063221</v>
      </c>
      <c r="AE4" s="113">
        <f t="shared" ref="AE4:AE30" si="1">SUM(S4:AD4)</f>
        <v>69.495340090152368</v>
      </c>
    </row>
    <row r="5" spans="1:32" s="140" customFormat="1" ht="15" x14ac:dyDescent="0.2">
      <c r="A5" s="140" t="s">
        <v>55</v>
      </c>
      <c r="B5" s="141" t="s">
        <v>61</v>
      </c>
      <c r="C5" s="142">
        <v>6.9285778695201357</v>
      </c>
      <c r="D5" s="142">
        <v>6.3704178448094515</v>
      </c>
      <c r="E5" s="142">
        <v>6.6376616009415139</v>
      </c>
      <c r="F5" s="142">
        <v>6.3333380434807021</v>
      </c>
      <c r="G5" s="142">
        <v>6.9604718625960169</v>
      </c>
      <c r="H5" s="142">
        <v>7.443809949839725</v>
      </c>
      <c r="I5" s="142">
        <v>6.9667743896444323</v>
      </c>
      <c r="J5" s="143">
        <v>6.61240003784516</v>
      </c>
      <c r="K5" s="142">
        <v>5.7172447379639255</v>
      </c>
      <c r="L5" s="142">
        <v>4.7437964580836622</v>
      </c>
      <c r="M5" s="142">
        <v>5.2168363103131314</v>
      </c>
      <c r="N5" s="142">
        <v>6.7407308474983321</v>
      </c>
      <c r="O5" s="144">
        <f t="shared" si="0"/>
        <v>76.672059952536188</v>
      </c>
      <c r="R5" s="141" t="s">
        <v>61</v>
      </c>
      <c r="S5" s="137">
        <v>34.283417409204972</v>
      </c>
      <c r="T5" s="137">
        <v>30.897989952667608</v>
      </c>
      <c r="U5" s="137">
        <v>35.762761515654091</v>
      </c>
      <c r="V5" s="137">
        <v>32.402191974370972</v>
      </c>
      <c r="W5" s="137">
        <v>33.620060449122846</v>
      </c>
      <c r="X5" s="137">
        <v>30.056569576129831</v>
      </c>
      <c r="Y5" s="137">
        <v>28.664649656157685</v>
      </c>
      <c r="Z5" s="138">
        <v>28.836534726805922</v>
      </c>
      <c r="AA5" s="137">
        <v>28.248758418517006</v>
      </c>
      <c r="AB5" s="137">
        <v>25.326533876098267</v>
      </c>
      <c r="AC5" s="137">
        <v>28.032061299749394</v>
      </c>
      <c r="AD5" s="137">
        <v>32.675595979860816</v>
      </c>
      <c r="AE5" s="113">
        <f t="shared" si="1"/>
        <v>368.80712483433939</v>
      </c>
    </row>
    <row r="6" spans="1:32" ht="15" x14ac:dyDescent="0.2">
      <c r="A6" t="s">
        <v>65</v>
      </c>
      <c r="B6" s="136" t="s">
        <v>69</v>
      </c>
      <c r="C6" s="137">
        <v>2.2400300848010932</v>
      </c>
      <c r="D6" s="137">
        <v>2.1062047665012287</v>
      </c>
      <c r="E6" s="137">
        <v>2.9751957561165194</v>
      </c>
      <c r="F6" s="137">
        <v>3.3077238140058012</v>
      </c>
      <c r="G6" s="137">
        <v>3.1608007152653261</v>
      </c>
      <c r="H6" s="137">
        <v>3.3924160730986745</v>
      </c>
      <c r="I6" s="137">
        <v>3.3019505657362442</v>
      </c>
      <c r="J6" s="138">
        <v>3.4715503788832147</v>
      </c>
      <c r="K6" s="137">
        <v>2.6539873883442775</v>
      </c>
      <c r="L6" s="137">
        <v>2.4912607039711019</v>
      </c>
      <c r="M6" s="137">
        <v>2.1523923331911168</v>
      </c>
      <c r="N6" s="137">
        <v>2.7939014394875152</v>
      </c>
      <c r="O6" s="113">
        <f t="shared" si="0"/>
        <v>34.047414019402112</v>
      </c>
      <c r="R6" s="136" t="s">
        <v>69</v>
      </c>
      <c r="S6" s="137">
        <v>30.671681399376123</v>
      </c>
      <c r="T6" s="137">
        <v>26.634491879849961</v>
      </c>
      <c r="U6" s="137">
        <v>28.997829160618576</v>
      </c>
      <c r="V6" s="137">
        <v>30.50078031561241</v>
      </c>
      <c r="W6" s="137">
        <v>35.357828097004642</v>
      </c>
      <c r="X6" s="137">
        <v>29.044179525243774</v>
      </c>
      <c r="Y6" s="137">
        <v>28.920747880669104</v>
      </c>
      <c r="Z6" s="138">
        <v>25.499927119615478</v>
      </c>
      <c r="AA6" s="137">
        <v>28.390590076333027</v>
      </c>
      <c r="AB6" s="137">
        <v>26.230897431503156</v>
      </c>
      <c r="AC6" s="137">
        <v>29.658437370453882</v>
      </c>
      <c r="AD6" s="137">
        <v>30.190746470147854</v>
      </c>
      <c r="AE6" s="113">
        <f t="shared" si="1"/>
        <v>350.09813672642798</v>
      </c>
    </row>
    <row r="7" spans="1:32" ht="15" x14ac:dyDescent="0.2">
      <c r="A7" t="s">
        <v>65</v>
      </c>
      <c r="B7" s="136" t="s">
        <v>70</v>
      </c>
      <c r="C7" s="137">
        <v>107.95279973285065</v>
      </c>
      <c r="D7" s="137">
        <v>96.513401725400612</v>
      </c>
      <c r="E7" s="137">
        <v>105.92158818856193</v>
      </c>
      <c r="F7" s="137">
        <v>104.28721737936475</v>
      </c>
      <c r="G7" s="137">
        <v>128.37365895187997</v>
      </c>
      <c r="H7" s="137">
        <v>130.03056566398337</v>
      </c>
      <c r="I7" s="137">
        <v>109.02279987078319</v>
      </c>
      <c r="J7" s="138">
        <v>106.38328493364379</v>
      </c>
      <c r="K7" s="137">
        <v>140.72776014834866</v>
      </c>
      <c r="L7" s="137">
        <v>114.50679934345304</v>
      </c>
      <c r="M7" s="137">
        <v>132.88698419685605</v>
      </c>
      <c r="N7" s="137">
        <v>123.84346615855617</v>
      </c>
      <c r="O7" s="113">
        <f t="shared" si="0"/>
        <v>1400.4503262936819</v>
      </c>
      <c r="R7" s="136" t="s">
        <v>70</v>
      </c>
      <c r="S7" s="137">
        <v>753.93315423090735</v>
      </c>
      <c r="T7" s="137">
        <v>687.57631229973231</v>
      </c>
      <c r="U7" s="137">
        <v>740.28955841894128</v>
      </c>
      <c r="V7" s="137">
        <v>742.91843397319133</v>
      </c>
      <c r="W7" s="137">
        <v>647.84524867409652</v>
      </c>
      <c r="X7" s="137">
        <v>731.97471640225751</v>
      </c>
      <c r="Y7" s="137">
        <v>713.23734831276101</v>
      </c>
      <c r="Z7" s="138">
        <v>682.54447512180059</v>
      </c>
      <c r="AA7" s="137">
        <v>751.87798997522873</v>
      </c>
      <c r="AB7" s="137">
        <v>660.65775759233941</v>
      </c>
      <c r="AC7" s="137">
        <v>783.30166695701428</v>
      </c>
      <c r="AD7" s="137">
        <v>722.91466779428004</v>
      </c>
      <c r="AE7" s="113">
        <f t="shared" si="1"/>
        <v>8619.0713297525508</v>
      </c>
    </row>
    <row r="8" spans="1:32" ht="15" x14ac:dyDescent="0.2">
      <c r="A8" t="s">
        <v>65</v>
      </c>
      <c r="B8" s="136" t="s">
        <v>103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37">
        <v>0</v>
      </c>
      <c r="J8" s="138"/>
      <c r="K8" s="137">
        <v>0</v>
      </c>
      <c r="L8" s="137">
        <v>0</v>
      </c>
      <c r="M8" s="137">
        <v>0</v>
      </c>
      <c r="N8" s="137">
        <v>0</v>
      </c>
      <c r="O8" s="113">
        <f t="shared" si="0"/>
        <v>0</v>
      </c>
      <c r="R8" s="136" t="s">
        <v>103</v>
      </c>
      <c r="S8" s="137">
        <v>0</v>
      </c>
      <c r="T8" s="137">
        <v>0</v>
      </c>
      <c r="U8" s="137">
        <v>0</v>
      </c>
      <c r="V8" s="137">
        <v>0</v>
      </c>
      <c r="W8" s="137">
        <v>0</v>
      </c>
      <c r="X8" s="137">
        <v>0</v>
      </c>
      <c r="Y8" s="137">
        <v>0</v>
      </c>
      <c r="Z8" s="138">
        <v>0</v>
      </c>
      <c r="AA8" s="137">
        <v>0</v>
      </c>
      <c r="AB8" s="137">
        <v>0</v>
      </c>
      <c r="AC8" s="137">
        <v>0</v>
      </c>
      <c r="AD8" s="137">
        <v>0</v>
      </c>
      <c r="AE8" s="113">
        <f t="shared" si="1"/>
        <v>0</v>
      </c>
    </row>
    <row r="9" spans="1:32" ht="15" x14ac:dyDescent="0.2">
      <c r="A9" t="s">
        <v>65</v>
      </c>
      <c r="B9" s="136" t="s">
        <v>64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8"/>
      <c r="K9" s="137">
        <v>0</v>
      </c>
      <c r="L9" s="137">
        <v>0</v>
      </c>
      <c r="M9" s="137">
        <v>0</v>
      </c>
      <c r="N9" s="137">
        <v>0</v>
      </c>
      <c r="O9" s="113">
        <f t="shared" si="0"/>
        <v>0</v>
      </c>
      <c r="R9" s="136" t="s">
        <v>64</v>
      </c>
      <c r="S9" s="137">
        <v>0</v>
      </c>
      <c r="T9" s="137">
        <v>0</v>
      </c>
      <c r="U9" s="137">
        <v>0</v>
      </c>
      <c r="V9" s="137">
        <v>0</v>
      </c>
      <c r="W9" s="137">
        <v>0</v>
      </c>
      <c r="X9" s="137">
        <v>0</v>
      </c>
      <c r="Y9" s="137">
        <v>0</v>
      </c>
      <c r="Z9" s="138">
        <v>0</v>
      </c>
      <c r="AA9" s="137">
        <v>0</v>
      </c>
      <c r="AB9" s="137">
        <v>0</v>
      </c>
      <c r="AC9" s="137">
        <v>0</v>
      </c>
      <c r="AD9" s="137">
        <v>0</v>
      </c>
      <c r="AE9" s="113">
        <f t="shared" si="1"/>
        <v>0</v>
      </c>
    </row>
    <row r="10" spans="1:32" s="140" customFormat="1" ht="14.25" x14ac:dyDescent="0.2">
      <c r="A10" s="140" t="s">
        <v>55</v>
      </c>
      <c r="B10" s="141" t="s">
        <v>73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4">
        <f t="shared" si="0"/>
        <v>0</v>
      </c>
      <c r="R10" s="141" t="s">
        <v>73</v>
      </c>
      <c r="S10" s="137">
        <v>0</v>
      </c>
      <c r="T10" s="137">
        <v>0</v>
      </c>
      <c r="U10" s="137">
        <v>0</v>
      </c>
      <c r="V10" s="137">
        <v>0</v>
      </c>
      <c r="W10" s="137">
        <v>0</v>
      </c>
      <c r="X10" s="137">
        <v>0</v>
      </c>
      <c r="Y10" s="137">
        <v>0</v>
      </c>
      <c r="Z10" s="137">
        <v>0</v>
      </c>
      <c r="AA10" s="137">
        <v>0</v>
      </c>
      <c r="AB10" s="137">
        <v>0</v>
      </c>
      <c r="AC10" s="137">
        <v>0</v>
      </c>
      <c r="AD10" s="137">
        <v>0</v>
      </c>
      <c r="AE10" s="113">
        <f t="shared" si="1"/>
        <v>0</v>
      </c>
    </row>
    <row r="11" spans="1:32" ht="14.25" x14ac:dyDescent="0.2">
      <c r="A11" t="s">
        <v>65</v>
      </c>
      <c r="B11" s="136" t="s">
        <v>104</v>
      </c>
      <c r="C11" s="137">
        <v>279.00962158902183</v>
      </c>
      <c r="D11" s="137">
        <v>257.87391734874296</v>
      </c>
      <c r="E11" s="137">
        <v>275.3381916508992</v>
      </c>
      <c r="F11" s="137">
        <v>260.88365191330024</v>
      </c>
      <c r="G11" s="137">
        <v>263.34073657377616</v>
      </c>
      <c r="H11" s="137">
        <v>275.12969024663715</v>
      </c>
      <c r="I11" s="137">
        <v>257.44939277228224</v>
      </c>
      <c r="J11" s="137">
        <v>253.97381784476377</v>
      </c>
      <c r="K11" s="137">
        <v>254.58360991244157</v>
      </c>
      <c r="L11" s="137">
        <v>217.85091535564297</v>
      </c>
      <c r="M11" s="137">
        <v>243.65290669404772</v>
      </c>
      <c r="N11" s="137">
        <v>239.0898481658603</v>
      </c>
      <c r="O11" s="113">
        <f t="shared" si="0"/>
        <v>3078.1763000674164</v>
      </c>
      <c r="R11" s="136" t="s">
        <v>104</v>
      </c>
      <c r="S11" s="137">
        <v>864.6211402451454</v>
      </c>
      <c r="T11" s="137">
        <v>805.32627395941006</v>
      </c>
      <c r="U11" s="137">
        <v>890.59947990585226</v>
      </c>
      <c r="V11" s="137">
        <v>824.07449308369689</v>
      </c>
      <c r="W11" s="137">
        <v>813.35273146550503</v>
      </c>
      <c r="X11" s="137">
        <v>847.85201299499147</v>
      </c>
      <c r="Y11" s="137">
        <v>816.61968934260074</v>
      </c>
      <c r="Z11" s="137">
        <v>812.06476597077847</v>
      </c>
      <c r="AA11" s="137">
        <v>824.59358331847477</v>
      </c>
      <c r="AB11" s="137">
        <v>724.61220816281434</v>
      </c>
      <c r="AC11" s="137">
        <v>830.93291862653086</v>
      </c>
      <c r="AD11" s="137">
        <v>832.29756169191535</v>
      </c>
      <c r="AE11" s="113">
        <f t="shared" si="1"/>
        <v>9886.9468587677147</v>
      </c>
    </row>
    <row r="12" spans="1:32" ht="14.25" x14ac:dyDescent="0.2">
      <c r="A12" t="s">
        <v>65</v>
      </c>
      <c r="B12" s="136" t="s">
        <v>76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37">
        <v>0</v>
      </c>
      <c r="J12" s="137">
        <v>0</v>
      </c>
      <c r="K12" s="137">
        <v>0</v>
      </c>
      <c r="L12" s="137">
        <v>0</v>
      </c>
      <c r="M12" s="137">
        <v>0</v>
      </c>
      <c r="N12" s="137">
        <v>0</v>
      </c>
      <c r="O12" s="113">
        <f t="shared" si="0"/>
        <v>0</v>
      </c>
      <c r="R12" s="136" t="s">
        <v>76</v>
      </c>
      <c r="S12" s="137">
        <v>0</v>
      </c>
      <c r="T12" s="137">
        <v>0</v>
      </c>
      <c r="U12" s="137">
        <v>0</v>
      </c>
      <c r="V12" s="137">
        <v>0</v>
      </c>
      <c r="W12" s="137">
        <v>0</v>
      </c>
      <c r="X12" s="137">
        <v>0</v>
      </c>
      <c r="Y12" s="137">
        <v>0</v>
      </c>
      <c r="Z12" s="137">
        <v>0</v>
      </c>
      <c r="AA12" s="137">
        <v>0</v>
      </c>
      <c r="AB12" s="137">
        <v>0</v>
      </c>
      <c r="AC12" s="137">
        <v>0</v>
      </c>
      <c r="AD12" s="137">
        <v>0</v>
      </c>
      <c r="AE12" s="113">
        <f t="shared" si="1"/>
        <v>0</v>
      </c>
    </row>
    <row r="13" spans="1:32" s="140" customFormat="1" ht="14.25" x14ac:dyDescent="0.2">
      <c r="A13" s="140" t="s">
        <v>55</v>
      </c>
      <c r="B13" s="141" t="s">
        <v>72</v>
      </c>
      <c r="C13" s="142">
        <v>0</v>
      </c>
      <c r="D13" s="142">
        <v>0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4">
        <f t="shared" si="0"/>
        <v>0</v>
      </c>
      <c r="R13" s="141" t="s">
        <v>72</v>
      </c>
      <c r="S13" s="137">
        <v>0</v>
      </c>
      <c r="T13" s="137">
        <v>0</v>
      </c>
      <c r="U13" s="137">
        <v>0</v>
      </c>
      <c r="V13" s="137">
        <v>0</v>
      </c>
      <c r="W13" s="137">
        <v>0</v>
      </c>
      <c r="X13" s="137">
        <v>0</v>
      </c>
      <c r="Y13" s="137">
        <v>0</v>
      </c>
      <c r="Z13" s="137">
        <v>0</v>
      </c>
      <c r="AA13" s="137">
        <v>0</v>
      </c>
      <c r="AB13" s="137">
        <v>0</v>
      </c>
      <c r="AC13" s="137">
        <v>0</v>
      </c>
      <c r="AD13" s="137">
        <v>0</v>
      </c>
      <c r="AE13" s="113">
        <f t="shared" si="1"/>
        <v>0</v>
      </c>
    </row>
    <row r="14" spans="1:32" ht="14.25" x14ac:dyDescent="0.2">
      <c r="A14" t="s">
        <v>65</v>
      </c>
      <c r="B14" s="136" t="s">
        <v>105</v>
      </c>
      <c r="C14" s="137">
        <v>2.643689271011481</v>
      </c>
      <c r="D14" s="137">
        <v>3.0622819101027225</v>
      </c>
      <c r="E14" s="137">
        <v>2.7421705527083522</v>
      </c>
      <c r="F14" s="137">
        <v>2.5401969472985519</v>
      </c>
      <c r="G14" s="137">
        <v>2.5986020609454146</v>
      </c>
      <c r="H14" s="137">
        <v>2.8028589295785289</v>
      </c>
      <c r="I14" s="137">
        <v>2.4590200225228105</v>
      </c>
      <c r="J14" s="137">
        <v>3.0007903408237517</v>
      </c>
      <c r="K14" s="137">
        <v>2.6744076036752209</v>
      </c>
      <c r="L14" s="137">
        <v>2.3589946557050929</v>
      </c>
      <c r="M14" s="137">
        <v>2.7456389327747011</v>
      </c>
      <c r="N14" s="137">
        <v>2.8213690733754082</v>
      </c>
      <c r="O14" s="113">
        <f t="shared" si="0"/>
        <v>32.450020300522041</v>
      </c>
      <c r="R14" s="136" t="s">
        <v>105</v>
      </c>
      <c r="S14" s="137">
        <v>4.9898543627357963</v>
      </c>
      <c r="T14" s="137">
        <v>4.9294054376800371</v>
      </c>
      <c r="U14" s="137">
        <v>5.8138627271726113</v>
      </c>
      <c r="V14" s="137">
        <v>4.4730389911697355</v>
      </c>
      <c r="W14" s="137">
        <v>4.6819112573377195</v>
      </c>
      <c r="X14" s="137">
        <v>5.5736492094762839</v>
      </c>
      <c r="Y14" s="137">
        <v>4.831104533135993</v>
      </c>
      <c r="Z14" s="137">
        <v>5.2418255188231511</v>
      </c>
      <c r="AA14" s="137">
        <v>4.4833854415582985</v>
      </c>
      <c r="AB14" s="137">
        <v>4.4388790834586</v>
      </c>
      <c r="AC14" s="137">
        <v>4.7934776644740493</v>
      </c>
      <c r="AD14" s="137">
        <v>5.7310491400037673</v>
      </c>
      <c r="AE14" s="113">
        <f t="shared" si="1"/>
        <v>59.981443367026039</v>
      </c>
    </row>
    <row r="15" spans="1:32" s="140" customFormat="1" ht="14.25" x14ac:dyDescent="0.2">
      <c r="A15" s="140" t="s">
        <v>55</v>
      </c>
      <c r="B15" s="141" t="s">
        <v>106</v>
      </c>
      <c r="C15" s="142">
        <v>16.419103261251994</v>
      </c>
      <c r="D15" s="142">
        <v>16.094312429209598</v>
      </c>
      <c r="E15" s="142">
        <v>16.141147787699563</v>
      </c>
      <c r="F15" s="142">
        <v>17.013918483536191</v>
      </c>
      <c r="G15" s="142">
        <v>17.590214720703663</v>
      </c>
      <c r="H15" s="142">
        <v>15.265358926038974</v>
      </c>
      <c r="I15" s="142">
        <v>16.511023347796595</v>
      </c>
      <c r="J15" s="142">
        <v>18.861144803036133</v>
      </c>
      <c r="K15" s="142">
        <v>18.315718574822249</v>
      </c>
      <c r="L15" s="142">
        <v>13.836210152968338</v>
      </c>
      <c r="M15" s="142">
        <v>15.621107999789722</v>
      </c>
      <c r="N15" s="142">
        <v>14.467866328958683</v>
      </c>
      <c r="O15" s="144">
        <f t="shared" si="0"/>
        <v>196.13712681581168</v>
      </c>
      <c r="R15" s="141" t="s">
        <v>106</v>
      </c>
      <c r="S15" s="137">
        <v>30.72099978067714</v>
      </c>
      <c r="T15" s="137">
        <v>28.96921013031319</v>
      </c>
      <c r="U15" s="137">
        <v>31.495200717133482</v>
      </c>
      <c r="V15" s="137">
        <v>29.168039009311798</v>
      </c>
      <c r="W15" s="137">
        <v>28.829811933200425</v>
      </c>
      <c r="X15" s="137">
        <v>30.31237020143972</v>
      </c>
      <c r="Y15" s="137">
        <v>28.934012404916921</v>
      </c>
      <c r="Z15" s="137">
        <v>27.927222219536819</v>
      </c>
      <c r="AA15" s="137">
        <v>26.954549479313467</v>
      </c>
      <c r="AB15" s="137">
        <v>24.973600885514568</v>
      </c>
      <c r="AC15" s="137">
        <v>28.374743964543875</v>
      </c>
      <c r="AD15" s="137">
        <v>29.394785332159984</v>
      </c>
      <c r="AE15" s="113">
        <f t="shared" si="1"/>
        <v>346.05454605806136</v>
      </c>
    </row>
    <row r="16" spans="1:32" s="140" customFormat="1" ht="14.25" x14ac:dyDescent="0.2">
      <c r="A16" s="140" t="s">
        <v>55</v>
      </c>
      <c r="B16" s="141" t="s">
        <v>80</v>
      </c>
      <c r="C16" s="142">
        <v>22.119041130294463</v>
      </c>
      <c r="D16" s="142">
        <v>21.179433380767247</v>
      </c>
      <c r="E16" s="142">
        <v>21.918112071234781</v>
      </c>
      <c r="F16" s="142">
        <v>20.878438257836386</v>
      </c>
      <c r="G16" s="142">
        <v>23.223332708147744</v>
      </c>
      <c r="H16" s="142">
        <v>20.247484825423044</v>
      </c>
      <c r="I16" s="142">
        <v>18.813953958065273</v>
      </c>
      <c r="J16" s="142">
        <v>20.913462881785506</v>
      </c>
      <c r="K16" s="142">
        <v>23.260153365530758</v>
      </c>
      <c r="L16" s="142">
        <v>18.835308469826014</v>
      </c>
      <c r="M16" s="142">
        <v>22.829028033954451</v>
      </c>
      <c r="N16" s="142">
        <v>17.648230468058692</v>
      </c>
      <c r="O16" s="144">
        <f t="shared" si="0"/>
        <v>251.86597955092435</v>
      </c>
      <c r="R16" s="141" t="s">
        <v>80</v>
      </c>
      <c r="S16" s="137">
        <v>67.809029235585768</v>
      </c>
      <c r="T16" s="137">
        <v>63.468579356401918</v>
      </c>
      <c r="U16" s="137">
        <v>72.318425294902454</v>
      </c>
      <c r="V16" s="137">
        <v>73.283114523555696</v>
      </c>
      <c r="W16" s="137">
        <v>68.565998139142522</v>
      </c>
      <c r="X16" s="137">
        <v>71.373423049483321</v>
      </c>
      <c r="Y16" s="137">
        <v>69.887689272733027</v>
      </c>
      <c r="Z16" s="137">
        <v>68.797270303267382</v>
      </c>
      <c r="AA16" s="137">
        <v>69.715026456514067</v>
      </c>
      <c r="AB16" s="137">
        <v>60.164243880850513</v>
      </c>
      <c r="AC16" s="137">
        <v>69.773756896510577</v>
      </c>
      <c r="AD16" s="137">
        <v>70.140264422693875</v>
      </c>
      <c r="AE16" s="113">
        <f t="shared" si="1"/>
        <v>825.2968208316413</v>
      </c>
    </row>
    <row r="17" spans="1:31" ht="14.25" x14ac:dyDescent="0.2">
      <c r="A17" t="s">
        <v>65</v>
      </c>
      <c r="B17" s="136" t="s">
        <v>107</v>
      </c>
      <c r="C17" s="137">
        <v>6.8836873737149116</v>
      </c>
      <c r="D17" s="137">
        <v>6.2194580081934649</v>
      </c>
      <c r="E17" s="137">
        <v>6.5595329675257323</v>
      </c>
      <c r="F17" s="137">
        <v>6.6024943188243643</v>
      </c>
      <c r="G17" s="137">
        <v>7.5096765485421315</v>
      </c>
      <c r="H17" s="137">
        <v>6.8055495283536809</v>
      </c>
      <c r="I17" s="137">
        <v>6.3228012667749365</v>
      </c>
      <c r="J17" s="137">
        <v>6.6737373720657596</v>
      </c>
      <c r="K17" s="137">
        <v>7.1722081131104343</v>
      </c>
      <c r="L17" s="137">
        <v>5.8008378128605784</v>
      </c>
      <c r="M17" s="137">
        <v>6.5659064139609908</v>
      </c>
      <c r="N17" s="137">
        <v>5.8090066483162417</v>
      </c>
      <c r="O17" s="113">
        <f t="shared" si="0"/>
        <v>78.924896372243225</v>
      </c>
      <c r="R17" s="136" t="s">
        <v>107</v>
      </c>
      <c r="S17" s="137">
        <v>27.909324708706315</v>
      </c>
      <c r="T17" s="137">
        <v>24.377269449711193</v>
      </c>
      <c r="U17" s="137">
        <v>28.8842634806688</v>
      </c>
      <c r="V17" s="137">
        <v>24.346505807999463</v>
      </c>
      <c r="W17" s="137">
        <v>24.237059577580993</v>
      </c>
      <c r="X17" s="137">
        <v>26.172142325950084</v>
      </c>
      <c r="Y17" s="137">
        <v>23.125509725682424</v>
      </c>
      <c r="Z17" s="137">
        <v>22.246488488242708</v>
      </c>
      <c r="AA17" s="137">
        <v>26.215902756555234</v>
      </c>
      <c r="AB17" s="137">
        <v>21.648168282168651</v>
      </c>
      <c r="AC17" s="137">
        <v>24.477132163194174</v>
      </c>
      <c r="AD17" s="137">
        <v>28.568781981316203</v>
      </c>
      <c r="AE17" s="113">
        <f t="shared" si="1"/>
        <v>302.20854874777626</v>
      </c>
    </row>
    <row r="18" spans="1:31" s="140" customFormat="1" ht="14.25" x14ac:dyDescent="0.2">
      <c r="A18" s="140" t="s">
        <v>55</v>
      </c>
      <c r="B18" s="141" t="s">
        <v>77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4">
        <f t="shared" si="0"/>
        <v>0</v>
      </c>
      <c r="R18" s="141" t="s">
        <v>77</v>
      </c>
      <c r="S18" s="137">
        <v>0</v>
      </c>
      <c r="T18" s="137">
        <v>0</v>
      </c>
      <c r="U18" s="137">
        <v>0</v>
      </c>
      <c r="V18" s="137">
        <v>0</v>
      </c>
      <c r="W18" s="137">
        <v>0</v>
      </c>
      <c r="X18" s="137">
        <v>0</v>
      </c>
      <c r="Y18" s="137">
        <v>0</v>
      </c>
      <c r="Z18" s="137">
        <v>0</v>
      </c>
      <c r="AA18" s="137">
        <v>0</v>
      </c>
      <c r="AB18" s="137">
        <v>0</v>
      </c>
      <c r="AC18" s="137">
        <v>0</v>
      </c>
      <c r="AD18" s="137">
        <v>0</v>
      </c>
      <c r="AE18" s="113">
        <f t="shared" si="1"/>
        <v>0</v>
      </c>
    </row>
    <row r="19" spans="1:31" ht="14.25" x14ac:dyDescent="0.2">
      <c r="A19" t="s">
        <v>65</v>
      </c>
      <c r="B19" s="136" t="s">
        <v>108</v>
      </c>
      <c r="C19" s="137">
        <v>24.740487852195344</v>
      </c>
      <c r="D19" s="137">
        <v>24.530961797918071</v>
      </c>
      <c r="E19" s="137">
        <v>25.293149724593803</v>
      </c>
      <c r="F19" s="137">
        <v>25.364287201918135</v>
      </c>
      <c r="G19" s="137">
        <v>26.269842200684693</v>
      </c>
      <c r="H19" s="137">
        <v>25.44936378854748</v>
      </c>
      <c r="I19" s="137">
        <v>23.095685211206746</v>
      </c>
      <c r="J19" s="137">
        <v>30.493598393360266</v>
      </c>
      <c r="K19" s="137">
        <v>25.666025615965673</v>
      </c>
      <c r="L19" s="137">
        <v>23.659291204098441</v>
      </c>
      <c r="M19" s="137">
        <v>26.849301893310983</v>
      </c>
      <c r="N19" s="137">
        <v>27.429329542696703</v>
      </c>
      <c r="O19" s="113">
        <f t="shared" si="0"/>
        <v>308.84132442649633</v>
      </c>
      <c r="R19" s="136" t="s">
        <v>108</v>
      </c>
      <c r="S19" s="137">
        <v>34.872161659060367</v>
      </c>
      <c r="T19" s="137">
        <v>34.178608783718133</v>
      </c>
      <c r="U19" s="137">
        <v>38.133915940768908</v>
      </c>
      <c r="V19" s="137">
        <v>32.963882433701386</v>
      </c>
      <c r="W19" s="137">
        <v>35.791127878716694</v>
      </c>
      <c r="X19" s="137">
        <v>35.76013959985309</v>
      </c>
      <c r="Y19" s="137">
        <v>34.496428278994237</v>
      </c>
      <c r="Z19" s="137">
        <v>36.007914474056605</v>
      </c>
      <c r="AA19" s="137">
        <v>32.443294429907773</v>
      </c>
      <c r="AB19" s="137">
        <v>30.151789611928315</v>
      </c>
      <c r="AC19" s="137">
        <v>35.846270999475315</v>
      </c>
      <c r="AD19" s="137">
        <v>33.57679563113733</v>
      </c>
      <c r="AE19" s="113">
        <f t="shared" si="1"/>
        <v>414.2223297213182</v>
      </c>
    </row>
    <row r="20" spans="1:31" ht="14.25" x14ac:dyDescent="0.2">
      <c r="A20" t="s">
        <v>65</v>
      </c>
      <c r="B20" s="136" t="s">
        <v>109</v>
      </c>
      <c r="C20" s="137">
        <v>3.9710564779726654</v>
      </c>
      <c r="D20" s="137">
        <v>4.0100195510160601</v>
      </c>
      <c r="E20" s="137">
        <v>4.6561673849167393</v>
      </c>
      <c r="F20" s="137">
        <v>10.376323384183195</v>
      </c>
      <c r="G20" s="137">
        <v>9.5254930338265602</v>
      </c>
      <c r="H20" s="137">
        <v>11.377125529901047</v>
      </c>
      <c r="I20" s="137">
        <v>10.528291168072371</v>
      </c>
      <c r="J20" s="137">
        <v>9.7109374588336852</v>
      </c>
      <c r="K20" s="137">
        <v>9.4191648917010209</v>
      </c>
      <c r="L20" s="137">
        <v>9.2856228963523755</v>
      </c>
      <c r="M20" s="137">
        <v>9.1894436370753994</v>
      </c>
      <c r="N20" s="137">
        <v>10.935595801572578</v>
      </c>
      <c r="O20" s="113">
        <f t="shared" si="0"/>
        <v>102.9852412154237</v>
      </c>
      <c r="R20" s="136" t="s">
        <v>109</v>
      </c>
      <c r="S20" s="137">
        <v>49.405996427271816</v>
      </c>
      <c r="T20" s="137">
        <v>45.158967702096213</v>
      </c>
      <c r="U20" s="137">
        <v>50.512763593458821</v>
      </c>
      <c r="V20" s="137">
        <v>58.628095501730094</v>
      </c>
      <c r="W20" s="137">
        <v>44.70407443291041</v>
      </c>
      <c r="X20" s="137">
        <v>50.427552018454435</v>
      </c>
      <c r="Y20" s="137">
        <v>47.507436216839665</v>
      </c>
      <c r="Z20" s="137">
        <v>47.879569395858802</v>
      </c>
      <c r="AA20" s="137">
        <v>49.782919378791014</v>
      </c>
      <c r="AB20" s="137">
        <v>47.005371158654533</v>
      </c>
      <c r="AC20" s="137">
        <v>50.331317122342462</v>
      </c>
      <c r="AD20" s="137">
        <v>57.611495604680947</v>
      </c>
      <c r="AE20" s="113">
        <f t="shared" si="1"/>
        <v>598.9555585530893</v>
      </c>
    </row>
    <row r="21" spans="1:31" s="140" customFormat="1" ht="14.25" x14ac:dyDescent="0.2">
      <c r="A21" s="140" t="s">
        <v>55</v>
      </c>
      <c r="B21" s="141" t="s">
        <v>110</v>
      </c>
      <c r="C21" s="142">
        <v>0</v>
      </c>
      <c r="D21" s="142">
        <v>0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0.12780765580512496</v>
      </c>
      <c r="K21" s="142">
        <v>0.16809870294210694</v>
      </c>
      <c r="L21" s="142">
        <v>0.11889908256880735</v>
      </c>
      <c r="M21" s="142">
        <v>0.14390382790256248</v>
      </c>
      <c r="N21" s="142">
        <v>0.12593483074976275</v>
      </c>
      <c r="O21" s="144">
        <f t="shared" si="0"/>
        <v>0.68464409996836451</v>
      </c>
      <c r="R21" s="141" t="s">
        <v>110</v>
      </c>
      <c r="S21" s="137">
        <v>0</v>
      </c>
      <c r="T21" s="137">
        <v>0</v>
      </c>
      <c r="U21" s="137">
        <v>0</v>
      </c>
      <c r="V21" s="137">
        <v>0</v>
      </c>
      <c r="W21" s="137">
        <v>0</v>
      </c>
      <c r="X21" s="137">
        <v>0</v>
      </c>
      <c r="Y21" s="137">
        <v>0</v>
      </c>
      <c r="Z21" s="137">
        <v>0</v>
      </c>
      <c r="AA21" s="137">
        <v>0</v>
      </c>
      <c r="AB21" s="137">
        <v>0</v>
      </c>
      <c r="AC21" s="137">
        <v>0</v>
      </c>
      <c r="AD21" s="137">
        <v>0</v>
      </c>
      <c r="AE21" s="113">
        <f t="shared" si="1"/>
        <v>0</v>
      </c>
    </row>
    <row r="22" spans="1:31" ht="14.25" x14ac:dyDescent="0.2">
      <c r="A22" t="s">
        <v>65</v>
      </c>
      <c r="B22" s="136" t="s">
        <v>82</v>
      </c>
      <c r="C22" s="137">
        <v>9.542778825542694</v>
      </c>
      <c r="D22" s="137">
        <v>9.7809448341198237</v>
      </c>
      <c r="E22" s="137">
        <v>8.4091479404392473</v>
      </c>
      <c r="F22" s="137">
        <v>9.3714196888761521</v>
      </c>
      <c r="G22" s="137">
        <v>10.093444011951741</v>
      </c>
      <c r="H22" s="137">
        <v>8.6286167438943373</v>
      </c>
      <c r="I22" s="137">
        <v>9.3758852265620334</v>
      </c>
      <c r="J22" s="137">
        <v>10.735928321157813</v>
      </c>
      <c r="K22" s="137">
        <v>9.8699664248843781</v>
      </c>
      <c r="L22" s="137">
        <v>8.4949042053036443</v>
      </c>
      <c r="M22" s="137">
        <v>9.6901132094314875</v>
      </c>
      <c r="N22" s="137">
        <v>8.3377681979420721</v>
      </c>
      <c r="O22" s="113">
        <f t="shared" si="0"/>
        <v>112.33091763010542</v>
      </c>
      <c r="R22" s="136" t="s">
        <v>82</v>
      </c>
      <c r="S22" s="137">
        <v>18.911726131108892</v>
      </c>
      <c r="T22" s="137">
        <v>18.372918215613382</v>
      </c>
      <c r="U22" s="137">
        <v>19.063278175718562</v>
      </c>
      <c r="V22" s="137">
        <v>18.557223264933782</v>
      </c>
      <c r="W22" s="137">
        <v>19.537487496199056</v>
      </c>
      <c r="X22" s="137">
        <v>17.842514600874477</v>
      </c>
      <c r="Y22" s="137">
        <v>17.734105336003608</v>
      </c>
      <c r="Z22" s="137">
        <v>14.624538688593717</v>
      </c>
      <c r="AA22" s="137">
        <v>14.347694918827747</v>
      </c>
      <c r="AB22" s="137">
        <v>12.025122707147375</v>
      </c>
      <c r="AC22" s="137">
        <v>15.153740459624711</v>
      </c>
      <c r="AD22" s="137">
        <v>13.210040059034366</v>
      </c>
      <c r="AE22" s="113">
        <f t="shared" si="1"/>
        <v>199.38039005367969</v>
      </c>
    </row>
    <row r="23" spans="1:31" s="140" customFormat="1" ht="14.25" x14ac:dyDescent="0.2">
      <c r="A23" s="140" t="s">
        <v>55</v>
      </c>
      <c r="B23" s="141" t="s">
        <v>78</v>
      </c>
      <c r="C23" s="142">
        <v>0</v>
      </c>
      <c r="D23" s="142">
        <v>0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4">
        <f t="shared" si="0"/>
        <v>0</v>
      </c>
      <c r="R23" s="141" t="s">
        <v>78</v>
      </c>
      <c r="S23" s="137">
        <v>0</v>
      </c>
      <c r="T23" s="137">
        <v>0</v>
      </c>
      <c r="U23" s="137">
        <v>0</v>
      </c>
      <c r="V23" s="137">
        <v>0</v>
      </c>
      <c r="W23" s="137">
        <v>0</v>
      </c>
      <c r="X23" s="137">
        <v>0</v>
      </c>
      <c r="Y23" s="137">
        <v>0</v>
      </c>
      <c r="Z23" s="137">
        <v>0</v>
      </c>
      <c r="AA23" s="137">
        <v>0</v>
      </c>
      <c r="AB23" s="137">
        <v>0</v>
      </c>
      <c r="AC23" s="137">
        <v>0</v>
      </c>
      <c r="AD23" s="137">
        <v>0</v>
      </c>
      <c r="AE23" s="113">
        <f t="shared" si="1"/>
        <v>0</v>
      </c>
    </row>
    <row r="24" spans="1:31" ht="14.25" x14ac:dyDescent="0.2">
      <c r="A24" t="s">
        <v>65</v>
      </c>
      <c r="B24" s="136" t="s">
        <v>67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7">
        <v>0</v>
      </c>
      <c r="J24" s="113"/>
      <c r="K24" s="137">
        <v>0</v>
      </c>
      <c r="L24" s="137">
        <v>0</v>
      </c>
      <c r="M24" s="137">
        <v>0</v>
      </c>
      <c r="N24" s="137">
        <v>0</v>
      </c>
      <c r="O24" s="113">
        <f t="shared" si="0"/>
        <v>0</v>
      </c>
      <c r="R24" s="136" t="s">
        <v>67</v>
      </c>
      <c r="S24" s="137">
        <v>0</v>
      </c>
      <c r="T24" s="137">
        <v>0</v>
      </c>
      <c r="U24" s="137">
        <v>0</v>
      </c>
      <c r="V24" s="137">
        <v>0</v>
      </c>
      <c r="W24" s="137">
        <v>0</v>
      </c>
      <c r="X24" s="137">
        <v>0</v>
      </c>
      <c r="Y24" s="137">
        <v>0</v>
      </c>
      <c r="Z24" s="113"/>
      <c r="AA24" s="137">
        <v>0</v>
      </c>
      <c r="AB24" s="137">
        <v>0</v>
      </c>
      <c r="AC24" s="137">
        <v>0</v>
      </c>
      <c r="AD24" s="137">
        <v>0</v>
      </c>
      <c r="AE24" s="113">
        <f t="shared" si="1"/>
        <v>0</v>
      </c>
    </row>
    <row r="25" spans="1:31" s="140" customFormat="1" ht="14.25" x14ac:dyDescent="0.2">
      <c r="A25" s="140" t="s">
        <v>55</v>
      </c>
      <c r="B25" s="141" t="s">
        <v>111</v>
      </c>
      <c r="C25" s="142">
        <v>8.2503608657035095</v>
      </c>
      <c r="D25" s="142">
        <v>7.0775159688434686</v>
      </c>
      <c r="E25" s="142">
        <v>7.5853744920639619</v>
      </c>
      <c r="F25" s="142">
        <v>8.654858236914178</v>
      </c>
      <c r="G25" s="142">
        <v>9.2444180899865529</v>
      </c>
      <c r="H25" s="142">
        <v>9.4075515813368877</v>
      </c>
      <c r="I25" s="142">
        <v>7.7944594461993066</v>
      </c>
      <c r="J25" s="144">
        <v>5.0995278764472527</v>
      </c>
      <c r="K25" s="142">
        <v>3.9588363022472306</v>
      </c>
      <c r="L25" s="142">
        <v>4.6943667258537722</v>
      </c>
      <c r="M25" s="142">
        <v>4.8731358618771461</v>
      </c>
      <c r="N25" s="142">
        <v>4.1682571967296864</v>
      </c>
      <c r="O25" s="144">
        <f t="shared" si="0"/>
        <v>80.808662644202954</v>
      </c>
      <c r="R25" s="141" t="s">
        <v>111</v>
      </c>
      <c r="S25" s="137">
        <v>49.944512505224772</v>
      </c>
      <c r="T25" s="137">
        <v>47.154088494888903</v>
      </c>
      <c r="U25" s="137">
        <v>52.821950444547653</v>
      </c>
      <c r="V25" s="137">
        <v>54.142833140421388</v>
      </c>
      <c r="W25" s="137">
        <v>61.517244200187179</v>
      </c>
      <c r="X25" s="137">
        <v>54.763265609135111</v>
      </c>
      <c r="Y25" s="137">
        <v>48.973628649312012</v>
      </c>
      <c r="Z25" s="113">
        <v>48.216875575730228</v>
      </c>
      <c r="AA25" s="137">
        <v>49.099316831415948</v>
      </c>
      <c r="AB25" s="137">
        <v>44.824311946627667</v>
      </c>
      <c r="AC25" s="137">
        <v>53.973090708874544</v>
      </c>
      <c r="AD25" s="137">
        <v>48.117189587224551</v>
      </c>
      <c r="AE25" s="113">
        <f t="shared" si="1"/>
        <v>613.54830769358989</v>
      </c>
    </row>
    <row r="26" spans="1:31" ht="14.25" x14ac:dyDescent="0.2">
      <c r="A26" t="s">
        <v>65</v>
      </c>
      <c r="B26" s="136" t="s">
        <v>112</v>
      </c>
      <c r="C26" s="137">
        <v>2.5081418981479646</v>
      </c>
      <c r="D26" s="137">
        <v>2.349438853216669</v>
      </c>
      <c r="E26" s="137">
        <v>1.7179011057412956</v>
      </c>
      <c r="F26" s="137">
        <v>2.7636799439539463</v>
      </c>
      <c r="G26" s="137">
        <v>2.489893426689072</v>
      </c>
      <c r="H26" s="137">
        <v>1.8934531730915134</v>
      </c>
      <c r="I26" s="137">
        <v>2.1059032937765152</v>
      </c>
      <c r="J26" s="113">
        <v>2.7004498560795129</v>
      </c>
      <c r="K26" s="137">
        <v>3.1729684314905389</v>
      </c>
      <c r="L26" s="137">
        <v>3.186980390639651</v>
      </c>
      <c r="M26" s="137">
        <v>2.5414620230715386</v>
      </c>
      <c r="N26" s="137">
        <v>3.656764468569992</v>
      </c>
      <c r="O26" s="113">
        <f t="shared" si="0"/>
        <v>31.08703686446821</v>
      </c>
      <c r="R26" s="136" t="s">
        <v>112</v>
      </c>
      <c r="S26" s="137">
        <v>15.361213740330387</v>
      </c>
      <c r="T26" s="137">
        <v>14.023818729580398</v>
      </c>
      <c r="U26" s="137">
        <v>18.60358234025589</v>
      </c>
      <c r="V26" s="137">
        <v>16.705500922876443</v>
      </c>
      <c r="W26" s="137">
        <v>15.991260969512568</v>
      </c>
      <c r="X26" s="137">
        <v>18.241047293384273</v>
      </c>
      <c r="Y26" s="137">
        <v>16.052620806854122</v>
      </c>
      <c r="Z26" s="113">
        <v>25.039927981293602</v>
      </c>
      <c r="AA26" s="137">
        <v>26.017481954526822</v>
      </c>
      <c r="AB26" s="137">
        <v>24.045069534720724</v>
      </c>
      <c r="AC26" s="137">
        <v>26.169394348728712</v>
      </c>
      <c r="AD26" s="137">
        <v>29.360402472874533</v>
      </c>
      <c r="AE26" s="113">
        <f t="shared" si="1"/>
        <v>245.61132109493846</v>
      </c>
    </row>
    <row r="27" spans="1:31" s="140" customFormat="1" ht="14.25" x14ac:dyDescent="0.2">
      <c r="A27" s="140" t="s">
        <v>55</v>
      </c>
      <c r="B27" s="141" t="s">
        <v>113</v>
      </c>
      <c r="C27" s="142">
        <v>0</v>
      </c>
      <c r="D27" s="142">
        <v>0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4"/>
      <c r="K27" s="142">
        <v>0</v>
      </c>
      <c r="L27" s="142">
        <v>0</v>
      </c>
      <c r="M27" s="142">
        <v>0</v>
      </c>
      <c r="N27" s="142">
        <v>0</v>
      </c>
      <c r="O27" s="144">
        <f t="shared" si="0"/>
        <v>0</v>
      </c>
      <c r="R27" s="141" t="s">
        <v>113</v>
      </c>
      <c r="S27" s="137">
        <v>0</v>
      </c>
      <c r="T27" s="137">
        <v>0</v>
      </c>
      <c r="U27" s="137">
        <v>0</v>
      </c>
      <c r="V27" s="137">
        <v>0</v>
      </c>
      <c r="W27" s="137">
        <v>0</v>
      </c>
      <c r="X27" s="137">
        <v>0</v>
      </c>
      <c r="Y27" s="137">
        <v>0</v>
      </c>
      <c r="Z27" s="113"/>
      <c r="AA27" s="137">
        <v>0</v>
      </c>
      <c r="AB27" s="137">
        <v>0</v>
      </c>
      <c r="AC27" s="137">
        <v>0</v>
      </c>
      <c r="AD27" s="137">
        <v>0</v>
      </c>
      <c r="AE27" s="113">
        <f t="shared" si="1"/>
        <v>0</v>
      </c>
    </row>
    <row r="28" spans="1:31" s="140" customFormat="1" ht="14.25" x14ac:dyDescent="0.2">
      <c r="A28" s="140" t="s">
        <v>55</v>
      </c>
      <c r="B28" s="141" t="s">
        <v>114</v>
      </c>
      <c r="C28" s="142">
        <v>0</v>
      </c>
      <c r="D28" s="142">
        <v>0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4"/>
      <c r="K28" s="142">
        <v>0</v>
      </c>
      <c r="L28" s="142">
        <v>0</v>
      </c>
      <c r="M28" s="142">
        <v>0</v>
      </c>
      <c r="N28" s="142">
        <v>0</v>
      </c>
      <c r="O28" s="144">
        <f t="shared" si="0"/>
        <v>0</v>
      </c>
      <c r="R28" s="141" t="s">
        <v>114</v>
      </c>
      <c r="S28" s="137">
        <v>0</v>
      </c>
      <c r="T28" s="137">
        <v>0</v>
      </c>
      <c r="U28" s="137">
        <v>0</v>
      </c>
      <c r="V28" s="137">
        <v>0</v>
      </c>
      <c r="W28" s="137">
        <v>0</v>
      </c>
      <c r="X28" s="137">
        <v>0</v>
      </c>
      <c r="Y28" s="137">
        <v>0</v>
      </c>
      <c r="Z28" s="113"/>
      <c r="AA28" s="137">
        <v>0</v>
      </c>
      <c r="AB28" s="137">
        <v>0</v>
      </c>
      <c r="AC28" s="137">
        <v>0</v>
      </c>
      <c r="AD28" s="137">
        <v>0</v>
      </c>
      <c r="AE28" s="113">
        <f t="shared" si="1"/>
        <v>0</v>
      </c>
    </row>
    <row r="29" spans="1:31" ht="14.25" x14ac:dyDescent="0.2">
      <c r="A29" t="s">
        <v>65</v>
      </c>
      <c r="B29" s="136" t="s">
        <v>64</v>
      </c>
      <c r="C29" s="137">
        <v>0</v>
      </c>
      <c r="D29" s="137">
        <v>0</v>
      </c>
      <c r="E29" s="137">
        <v>0</v>
      </c>
      <c r="F29" s="137">
        <v>0</v>
      </c>
      <c r="G29" s="137">
        <v>0</v>
      </c>
      <c r="H29" s="137">
        <v>0</v>
      </c>
      <c r="I29" s="137">
        <v>0</v>
      </c>
      <c r="J29" s="113"/>
      <c r="K29" s="137">
        <v>0</v>
      </c>
      <c r="L29" s="137">
        <v>0</v>
      </c>
      <c r="M29" s="137">
        <v>0</v>
      </c>
      <c r="N29" s="137">
        <v>0</v>
      </c>
      <c r="O29" s="113">
        <f t="shared" si="0"/>
        <v>0</v>
      </c>
      <c r="R29" s="136" t="s">
        <v>64</v>
      </c>
      <c r="S29" s="137">
        <v>0</v>
      </c>
      <c r="T29" s="137">
        <v>0</v>
      </c>
      <c r="U29" s="137">
        <v>0</v>
      </c>
      <c r="V29" s="137">
        <v>0</v>
      </c>
      <c r="W29" s="137">
        <v>0</v>
      </c>
      <c r="X29" s="137">
        <v>0</v>
      </c>
      <c r="Y29" s="137">
        <v>0</v>
      </c>
      <c r="Z29" s="113"/>
      <c r="AA29" s="137">
        <v>0</v>
      </c>
      <c r="AB29" s="137">
        <v>0</v>
      </c>
      <c r="AC29" s="137">
        <v>0</v>
      </c>
      <c r="AD29" s="137">
        <v>0</v>
      </c>
      <c r="AE29" s="113">
        <f t="shared" si="1"/>
        <v>0</v>
      </c>
    </row>
    <row r="30" spans="1:31" ht="14.25" x14ac:dyDescent="0.2">
      <c r="A30" t="s">
        <v>65</v>
      </c>
      <c r="B30" s="136" t="s">
        <v>66</v>
      </c>
      <c r="C30" s="137">
        <v>24.444521439299677</v>
      </c>
      <c r="D30" s="137">
        <v>27.463868894428973</v>
      </c>
      <c r="E30" s="137">
        <v>23.655212311547885</v>
      </c>
      <c r="F30" s="137">
        <v>30.079318594128964</v>
      </c>
      <c r="G30" s="137">
        <v>26.496143891412725</v>
      </c>
      <c r="H30" s="137">
        <v>29.92732677061511</v>
      </c>
      <c r="I30" s="137">
        <v>23.83384013679278</v>
      </c>
      <c r="J30" s="113">
        <v>24.587520227645953</v>
      </c>
      <c r="K30" s="137">
        <v>26.165183074735669</v>
      </c>
      <c r="L30" s="137">
        <v>25.391827800961654</v>
      </c>
      <c r="M30" s="137">
        <v>26.404502897627399</v>
      </c>
      <c r="N30" s="137">
        <v>30.916130483907395</v>
      </c>
      <c r="O30" s="113">
        <f t="shared" si="0"/>
        <v>319.36539652310421</v>
      </c>
      <c r="R30" s="136" t="s">
        <v>66</v>
      </c>
      <c r="S30" s="137">
        <v>219.15304684082869</v>
      </c>
      <c r="T30" s="137">
        <v>201.33779561800509</v>
      </c>
      <c r="U30" s="137">
        <v>233.41039117345321</v>
      </c>
      <c r="V30" s="137">
        <v>224.17945997341513</v>
      </c>
      <c r="W30" s="137">
        <v>236.12361127076599</v>
      </c>
      <c r="X30" s="137">
        <v>244.30593939497319</v>
      </c>
      <c r="Y30" s="137">
        <v>211.01179107368318</v>
      </c>
      <c r="Z30" s="113">
        <v>193.59783054110034</v>
      </c>
      <c r="AA30" s="137">
        <v>210.67328406569732</v>
      </c>
      <c r="AB30" s="137">
        <v>189.44918323985536</v>
      </c>
      <c r="AC30" s="137">
        <v>228.09032378899946</v>
      </c>
      <c r="AD30" s="137">
        <v>217.03198504916944</v>
      </c>
      <c r="AE30" s="113">
        <f t="shared" si="1"/>
        <v>2608.3646420299465</v>
      </c>
    </row>
    <row r="31" spans="1:31" ht="15" x14ac:dyDescent="0.25">
      <c r="K31" s="139"/>
      <c r="L31" s="139"/>
      <c r="M31" s="139"/>
      <c r="N31" s="139"/>
      <c r="O31" s="113">
        <f t="shared" si="0"/>
        <v>0</v>
      </c>
    </row>
    <row r="32" spans="1:31" x14ac:dyDescent="0.2">
      <c r="O32" s="113">
        <f t="shared" si="0"/>
        <v>0</v>
      </c>
    </row>
    <row r="33" spans="2:16" x14ac:dyDescent="0.2">
      <c r="B33" t="s">
        <v>118</v>
      </c>
      <c r="O33" s="113">
        <f t="shared" si="0"/>
        <v>0</v>
      </c>
    </row>
    <row r="34" spans="2:16" ht="14.25" x14ac:dyDescent="0.2">
      <c r="B34" t="s">
        <v>80</v>
      </c>
      <c r="C34" s="137">
        <v>0.58082982197157629</v>
      </c>
      <c r="D34" s="137">
        <v>0.58846403861354646</v>
      </c>
      <c r="E34" s="137">
        <v>0.5642094757158902</v>
      </c>
      <c r="F34" s="137">
        <v>0.28676733556209566</v>
      </c>
      <c r="G34" s="137">
        <v>0.3546543602291094</v>
      </c>
      <c r="H34" s="137">
        <v>0.38517897581182142</v>
      </c>
      <c r="I34" s="137">
        <v>0.63963688125840701</v>
      </c>
      <c r="J34" s="137">
        <v>0.45175727386792025</v>
      </c>
      <c r="K34" s="137">
        <v>0.31591552425094749</v>
      </c>
      <c r="L34" s="137">
        <v>0.2502493531102255</v>
      </c>
      <c r="M34" s="137">
        <v>0.32050868735181776</v>
      </c>
      <c r="N34" s="137">
        <v>0.47902864187962801</v>
      </c>
      <c r="O34" s="113">
        <f t="shared" si="0"/>
        <v>5.2172003696229856</v>
      </c>
    </row>
    <row r="35" spans="2:16" ht="14.25" x14ac:dyDescent="0.2">
      <c r="B35" t="s">
        <v>119</v>
      </c>
      <c r="C35" s="137">
        <v>2.9618508448910758E-2</v>
      </c>
      <c r="D35" s="137">
        <v>2.4933750903396775E-2</v>
      </c>
      <c r="E35" s="137">
        <v>2.4964724507003475E-2</v>
      </c>
      <c r="F35" s="137">
        <v>7.3284850155961876E-3</v>
      </c>
      <c r="G35" s="137">
        <v>1.5486756165233425E-2</v>
      </c>
      <c r="H35" s="137">
        <v>2.4583383597290915E-2</v>
      </c>
      <c r="I35" s="137">
        <v>1.2524342116600893E-2</v>
      </c>
      <c r="J35" s="137">
        <v>0.01</v>
      </c>
      <c r="O35" s="113">
        <f t="shared" si="0"/>
        <v>0.14943995075403244</v>
      </c>
    </row>
    <row r="36" spans="2:16" x14ac:dyDescent="0.2">
      <c r="P36" s="113">
        <f>SUM(O34:O35)</f>
        <v>5.3666403203770177</v>
      </c>
    </row>
  </sheetData>
  <conditionalFormatting sqref="J3:J9">
    <cfRule type="cellIs" dxfId="3" priority="4" stopIfTrue="1" operator="equal">
      <formula>""</formula>
    </cfRule>
  </conditionalFormatting>
  <conditionalFormatting sqref="J24:J30">
    <cfRule type="cellIs" dxfId="2" priority="3" stopIfTrue="1" operator="equal">
      <formula>""</formula>
    </cfRule>
  </conditionalFormatting>
  <conditionalFormatting sqref="Z24:Z30">
    <cfRule type="cellIs" dxfId="1" priority="2" stopIfTrue="1" operator="equal">
      <formula>""</formula>
    </cfRule>
  </conditionalFormatting>
  <conditionalFormatting sqref="Z3:Z9">
    <cfRule type="cellIs" dxfId="0" priority="1" stopIfTrue="1" operator="equal">
      <formula>""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6"/>
  <sheetViews>
    <sheetView topLeftCell="C1" workbookViewId="0">
      <selection activeCell="R3" sqref="R3"/>
    </sheetView>
  </sheetViews>
  <sheetFormatPr defaultRowHeight="12.75" x14ac:dyDescent="0.2"/>
  <cols>
    <col min="16" max="16" width="12.42578125" bestFit="1" customWidth="1"/>
    <col min="18" max="18" width="13.140625" bestFit="1" customWidth="1"/>
    <col min="19" max="19" width="12.85546875" bestFit="1" customWidth="1"/>
    <col min="20" max="20" width="14.7109375" bestFit="1" customWidth="1"/>
  </cols>
  <sheetData>
    <row r="1" spans="1:22" x14ac:dyDescent="0.2">
      <c r="R1" s="319" t="s">
        <v>55</v>
      </c>
      <c r="S1" s="319"/>
      <c r="T1" s="319"/>
    </row>
    <row r="2" spans="1:22" x14ac:dyDescent="0.2"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Q2" t="s">
        <v>2</v>
      </c>
      <c r="R2" t="s">
        <v>96</v>
      </c>
      <c r="S2" t="s">
        <v>97</v>
      </c>
      <c r="T2" t="s">
        <v>98</v>
      </c>
      <c r="U2" t="s">
        <v>99</v>
      </c>
      <c r="V2" t="s">
        <v>57</v>
      </c>
    </row>
    <row r="3" spans="1:22" x14ac:dyDescent="0.2">
      <c r="A3" t="s">
        <v>100</v>
      </c>
      <c r="B3" t="s">
        <v>54</v>
      </c>
      <c r="C3" t="s">
        <v>56</v>
      </c>
      <c r="D3">
        <f>'[8]183 Tons'!H66</f>
        <v>821</v>
      </c>
      <c r="E3">
        <f>'[8]183 Tons'!I66</f>
        <v>824</v>
      </c>
      <c r="F3">
        <f>'[8]183 Tons'!J66</f>
        <v>798</v>
      </c>
      <c r="G3">
        <f>'[8]183 Tons'!K66</f>
        <v>797</v>
      </c>
      <c r="H3">
        <f>'[8]183 Tons'!L66</f>
        <v>818</v>
      </c>
      <c r="I3">
        <f>'[8]183 Tons'!M66</f>
        <v>823</v>
      </c>
      <c r="J3">
        <f>'[8]183 Tons'!N66</f>
        <v>814</v>
      </c>
      <c r="K3">
        <f>'[8]183 Tons'!O66</f>
        <v>822</v>
      </c>
      <c r="L3">
        <f>'[9]183 Tons'!D66</f>
        <v>817</v>
      </c>
      <c r="M3">
        <f>'[9]183 Tons'!E66</f>
        <v>818</v>
      </c>
      <c r="N3">
        <f>'[9]183 Tons'!F66</f>
        <v>825</v>
      </c>
      <c r="O3">
        <f>'[9]183 Tons'!G66</f>
        <v>825</v>
      </c>
      <c r="P3" t="str">
        <f>CONCATENATE(A3,C3)</f>
        <v>MRREC cust</v>
      </c>
      <c r="Q3">
        <f>SUM(D3:O3)</f>
        <v>9802</v>
      </c>
      <c r="R3">
        <f>SUMIF($P3:$P159,$P$13,Q3:Q159)</f>
        <v>12328.033482246014</v>
      </c>
      <c r="S3">
        <f>SUMIF($P3:$P159,$P$14,$Q3:$Q159)</f>
        <v>13014.552590310834</v>
      </c>
      <c r="T3">
        <f>SUMIF($P3:$P159,$P$12,$Q3:$Q159)</f>
        <v>24402.588436574672</v>
      </c>
      <c r="U3">
        <f>SUMIF($P3:$P159,$P$9,$Q3:$Q159)</f>
        <v>409509</v>
      </c>
      <c r="V3">
        <f>SUMIF($P3:$P159,$P$10,$O3:$O159)</f>
        <v>15550</v>
      </c>
    </row>
    <row r="4" spans="1:22" x14ac:dyDescent="0.2">
      <c r="A4" t="s">
        <v>100</v>
      </c>
      <c r="C4" t="s">
        <v>57</v>
      </c>
      <c r="D4">
        <f>'[8]183 Tons'!H67</f>
        <v>490</v>
      </c>
      <c r="E4">
        <f>'[8]183 Tons'!I67</f>
        <v>493</v>
      </c>
      <c r="F4">
        <f>'[8]183 Tons'!J67</f>
        <v>485</v>
      </c>
      <c r="G4">
        <f>'[8]183 Tons'!K67</f>
        <v>486</v>
      </c>
      <c r="H4">
        <f>'[8]183 Tons'!L67</f>
        <v>494</v>
      </c>
      <c r="I4">
        <f>'[8]183 Tons'!M67</f>
        <v>495</v>
      </c>
      <c r="J4">
        <f>'[8]183 Tons'!N67</f>
        <v>484</v>
      </c>
      <c r="K4">
        <f>'[8]183 Tons'!O67</f>
        <v>485</v>
      </c>
      <c r="L4">
        <f>'[9]183 Tons'!D67</f>
        <v>483</v>
      </c>
      <c r="M4">
        <f>'[9]183 Tons'!E67</f>
        <v>482</v>
      </c>
      <c r="N4">
        <f>'[9]183 Tons'!F67</f>
        <v>484</v>
      </c>
      <c r="O4">
        <f>'[9]183 Tons'!G67</f>
        <v>488</v>
      </c>
      <c r="P4" t="str">
        <f t="shared" ref="P4:P67" si="0">CONCATENATE(A4,C4)</f>
        <v>MRYW cust</v>
      </c>
      <c r="Q4">
        <f t="shared" ref="Q4:Q67" si="1">SUM(D4:O4)</f>
        <v>5849</v>
      </c>
      <c r="U4">
        <f>SUMIF($P3:$P159,$P$9,$O3:$O159)</f>
        <v>34224</v>
      </c>
    </row>
    <row r="5" spans="1:22" x14ac:dyDescent="0.2">
      <c r="A5" t="s">
        <v>100</v>
      </c>
      <c r="D5">
        <f>'[8]183 Tons'!H68</f>
        <v>0</v>
      </c>
      <c r="E5">
        <f>'[8]183 Tons'!I68</f>
        <v>0</v>
      </c>
      <c r="F5">
        <f>'[8]183 Tons'!J68</f>
        <v>0</v>
      </c>
      <c r="G5">
        <f>'[8]183 Tons'!K68</f>
        <v>0</v>
      </c>
      <c r="H5">
        <f>'[8]183 Tons'!L68</f>
        <v>0</v>
      </c>
      <c r="I5">
        <f>'[8]183 Tons'!M68</f>
        <v>0</v>
      </c>
      <c r="J5">
        <f>'[8]183 Tons'!N68</f>
        <v>0</v>
      </c>
      <c r="K5">
        <f>'[8]183 Tons'!O68</f>
        <v>0</v>
      </c>
      <c r="L5">
        <f>'[9]183 Tons'!D68</f>
        <v>0</v>
      </c>
      <c r="M5">
        <f>'[9]183 Tons'!E68</f>
        <v>0</v>
      </c>
      <c r="N5">
        <f>'[9]183 Tons'!F68</f>
        <v>0</v>
      </c>
      <c r="O5">
        <f>'[9]183 Tons'!G68</f>
        <v>0</v>
      </c>
      <c r="P5" t="str">
        <f t="shared" si="0"/>
        <v>MR</v>
      </c>
      <c r="Q5">
        <f t="shared" si="1"/>
        <v>0</v>
      </c>
    </row>
    <row r="6" spans="1:22" x14ac:dyDescent="0.2">
      <c r="A6" t="s">
        <v>100</v>
      </c>
      <c r="C6" t="s">
        <v>60</v>
      </c>
      <c r="D6">
        <f>'[8]183 Tons'!H69</f>
        <v>60.330834892273778</v>
      </c>
      <c r="E6">
        <f>'[8]183 Tons'!I69</f>
        <v>49.329369861700059</v>
      </c>
      <c r="F6">
        <f>'[8]183 Tons'!J69</f>
        <v>50.997835780797637</v>
      </c>
      <c r="G6">
        <f>'[8]183 Tons'!K69</f>
        <v>67.442372392162426</v>
      </c>
      <c r="H6">
        <f>'[8]183 Tons'!L69</f>
        <v>50.581142379356841</v>
      </c>
      <c r="I6">
        <f>'[8]183 Tons'!M69</f>
        <v>39.570301286225288</v>
      </c>
      <c r="J6">
        <f>'[8]183 Tons'!N69</f>
        <v>47.469894018315458</v>
      </c>
      <c r="K6">
        <f>'[8]183 Tons'!O69</f>
        <v>46.2966184032285</v>
      </c>
      <c r="L6">
        <f>'[9]183 Tons'!D69</f>
        <v>55.993458133532265</v>
      </c>
      <c r="M6">
        <f>'[9]183 Tons'!E69</f>
        <v>40.716003658099396</v>
      </c>
      <c r="N6">
        <f>'[9]183 Tons'!F69</f>
        <v>47.609455652333047</v>
      </c>
      <c r="O6">
        <f>'[9]183 Tons'!G69</f>
        <v>50.051281179343029</v>
      </c>
      <c r="P6" t="str">
        <f t="shared" si="0"/>
        <v>MRMSW tons</v>
      </c>
      <c r="Q6">
        <f t="shared" si="1"/>
        <v>606.38856763736771</v>
      </c>
    </row>
    <row r="7" spans="1:22" x14ac:dyDescent="0.2">
      <c r="A7" t="s">
        <v>100</v>
      </c>
      <c r="C7" t="s">
        <v>58</v>
      </c>
      <c r="D7">
        <f>'[8]183 Tons'!H70</f>
        <v>22.67521841799428</v>
      </c>
      <c r="E7">
        <f>'[8]183 Tons'!I70</f>
        <v>23.444501672622653</v>
      </c>
      <c r="F7">
        <f>'[8]183 Tons'!J70</f>
        <v>25.501676564728928</v>
      </c>
      <c r="G7">
        <f>'[8]183 Tons'!K70</f>
        <v>32.0804725845327</v>
      </c>
      <c r="H7">
        <f>'[8]183 Tons'!L70</f>
        <v>24.229274601066518</v>
      </c>
      <c r="I7">
        <f>'[8]183 Tons'!M70</f>
        <v>25.398495337971013</v>
      </c>
      <c r="J7">
        <f>'[8]183 Tons'!N70</f>
        <v>21.812418107368991</v>
      </c>
      <c r="K7">
        <f>'[8]183 Tons'!O70</f>
        <v>20.102239674771521</v>
      </c>
      <c r="L7">
        <f>'[9]183 Tons'!D70</f>
        <v>36.233321080667231</v>
      </c>
      <c r="M7">
        <f>'[9]183 Tons'!E70</f>
        <v>19.382704297636529</v>
      </c>
      <c r="N7">
        <f>'[9]183 Tons'!F70</f>
        <v>25.604192235308947</v>
      </c>
      <c r="O7">
        <f>'[9]183 Tons'!G70</f>
        <v>13.957297529528878</v>
      </c>
      <c r="P7" t="str">
        <f t="shared" si="0"/>
        <v>MRRec tons</v>
      </c>
      <c r="Q7">
        <f t="shared" si="1"/>
        <v>290.42181210419818</v>
      </c>
    </row>
    <row r="8" spans="1:22" x14ac:dyDescent="0.2">
      <c r="A8" t="s">
        <v>100</v>
      </c>
      <c r="C8" t="s">
        <v>59</v>
      </c>
      <c r="D8">
        <f>'[8]183 Tons'!H71</f>
        <v>47.363141034282812</v>
      </c>
      <c r="E8">
        <f>'[8]183 Tons'!I71</f>
        <v>34.82381220578511</v>
      </c>
      <c r="F8">
        <f>'[8]183 Tons'!J71</f>
        <v>25.826022378648901</v>
      </c>
      <c r="G8">
        <f>'[8]183 Tons'!K71</f>
        <v>17.858482751558878</v>
      </c>
      <c r="H8">
        <f>'[8]183 Tons'!L71</f>
        <v>22.562601002889018</v>
      </c>
      <c r="I8">
        <f>'[8]183 Tons'!M71</f>
        <v>19.733911200010951</v>
      </c>
      <c r="J8">
        <f>'[8]183 Tons'!N71</f>
        <v>28.713713242549328</v>
      </c>
      <c r="K8">
        <f>'[8]183 Tons'!O71</f>
        <v>23.67</v>
      </c>
      <c r="L8">
        <f>'[9]183 Tons'!D71</f>
        <v>12.411954884086606</v>
      </c>
      <c r="M8">
        <f>'[9]183 Tons'!E71</f>
        <v>7.3952899424005816</v>
      </c>
      <c r="N8">
        <f>'[9]183 Tons'!F71</f>
        <v>14.603909254150141</v>
      </c>
      <c r="O8">
        <f>'[9]183 Tons'!G71</f>
        <v>35.220839409462606</v>
      </c>
      <c r="P8" t="str">
        <f t="shared" si="0"/>
        <v xml:space="preserve">MRYW tons </v>
      </c>
      <c r="Q8">
        <f t="shared" si="1"/>
        <v>290.18367730582497</v>
      </c>
    </row>
    <row r="9" spans="1:22" x14ac:dyDescent="0.2">
      <c r="A9" t="s">
        <v>55</v>
      </c>
      <c r="B9" t="s">
        <v>61</v>
      </c>
      <c r="C9" t="s">
        <v>56</v>
      </c>
      <c r="D9">
        <f>'[8]183 Tons'!H90</f>
        <v>4680</v>
      </c>
      <c r="E9">
        <f>'[8]183 Tons'!I90</f>
        <v>4687</v>
      </c>
      <c r="F9">
        <f>'[8]183 Tons'!J90</f>
        <v>2775</v>
      </c>
      <c r="G9">
        <f>'[8]183 Tons'!K90</f>
        <v>2788</v>
      </c>
      <c r="H9">
        <f>'[8]183 Tons'!L90</f>
        <v>2801</v>
      </c>
      <c r="I9">
        <f>'[8]183 Tons'!M90</f>
        <v>2813</v>
      </c>
      <c r="J9">
        <f>'[8]183 Tons'!N90</f>
        <v>2766</v>
      </c>
      <c r="K9">
        <f>'[8]183 Tons'!O90</f>
        <v>2807</v>
      </c>
      <c r="L9">
        <f>'[9]183 Tons'!D90</f>
        <v>2781</v>
      </c>
      <c r="M9">
        <f>'[9]183 Tons'!E90</f>
        <v>2783</v>
      </c>
      <c r="N9">
        <f>'[9]183 Tons'!F90</f>
        <v>2825</v>
      </c>
      <c r="O9">
        <f>'[9]183 Tons'!G90</f>
        <v>2797</v>
      </c>
      <c r="P9" t="str">
        <f t="shared" si="0"/>
        <v>RREC cust</v>
      </c>
      <c r="Q9">
        <f t="shared" si="1"/>
        <v>37303</v>
      </c>
    </row>
    <row r="10" spans="1:22" x14ac:dyDescent="0.2">
      <c r="A10" t="s">
        <v>55</v>
      </c>
      <c r="C10" t="s">
        <v>57</v>
      </c>
      <c r="D10">
        <f>'[8]183 Tons'!H91</f>
        <v>2516</v>
      </c>
      <c r="E10">
        <f>'[8]183 Tons'!I91</f>
        <v>2539</v>
      </c>
      <c r="F10">
        <f>'[8]183 Tons'!J91</f>
        <v>1380</v>
      </c>
      <c r="G10">
        <f>'[8]183 Tons'!K91</f>
        <v>1378</v>
      </c>
      <c r="H10">
        <f>'[8]183 Tons'!L91</f>
        <v>1373</v>
      </c>
      <c r="I10">
        <f>'[8]183 Tons'!M91</f>
        <v>1366</v>
      </c>
      <c r="J10">
        <f>'[8]183 Tons'!N91</f>
        <v>1345</v>
      </c>
      <c r="K10">
        <f>'[8]183 Tons'!O91</f>
        <v>1352</v>
      </c>
      <c r="L10">
        <f>'[9]183 Tons'!D91</f>
        <v>1331</v>
      </c>
      <c r="M10">
        <f>'[9]183 Tons'!E91</f>
        <v>1324</v>
      </c>
      <c r="N10">
        <f>'[9]183 Tons'!F91</f>
        <v>1345</v>
      </c>
      <c r="O10">
        <f>'[9]183 Tons'!G91</f>
        <v>1353</v>
      </c>
      <c r="P10" t="str">
        <f t="shared" si="0"/>
        <v>RYW cust</v>
      </c>
      <c r="Q10">
        <f t="shared" si="1"/>
        <v>18602</v>
      </c>
    </row>
    <row r="11" spans="1:22" x14ac:dyDescent="0.2">
      <c r="A11" t="s">
        <v>55</v>
      </c>
      <c r="D11">
        <f>'[8]183 Tons'!H92</f>
        <v>0</v>
      </c>
      <c r="E11">
        <f>'[8]183 Tons'!I92</f>
        <v>0</v>
      </c>
      <c r="F11">
        <f>'[8]183 Tons'!J92</f>
        <v>0</v>
      </c>
      <c r="G11">
        <f>'[8]183 Tons'!K92</f>
        <v>0</v>
      </c>
      <c r="H11">
        <f>'[8]183 Tons'!L92</f>
        <v>0</v>
      </c>
      <c r="I11">
        <f>'[8]183 Tons'!M92</f>
        <v>0</v>
      </c>
      <c r="J11">
        <f>'[8]183 Tons'!N92</f>
        <v>0</v>
      </c>
      <c r="K11">
        <f>'[8]183 Tons'!O92</f>
        <v>0</v>
      </c>
      <c r="L11">
        <f>'[9]183 Tons'!D92</f>
        <v>0</v>
      </c>
      <c r="M11">
        <f>'[9]183 Tons'!E92</f>
        <v>0</v>
      </c>
      <c r="N11">
        <f>'[9]183 Tons'!F92</f>
        <v>0</v>
      </c>
      <c r="O11">
        <f>'[9]183 Tons'!G92</f>
        <v>0</v>
      </c>
      <c r="P11" t="str">
        <f t="shared" si="0"/>
        <v>R</v>
      </c>
      <c r="Q11">
        <f t="shared" si="1"/>
        <v>0</v>
      </c>
    </row>
    <row r="12" spans="1:22" x14ac:dyDescent="0.2">
      <c r="A12" t="s">
        <v>55</v>
      </c>
      <c r="C12" t="s">
        <v>60</v>
      </c>
      <c r="D12">
        <f>'[8]183 Tons'!H93</f>
        <v>283.18807715632857</v>
      </c>
      <c r="E12">
        <f>'[8]183 Tons'!I93</f>
        <v>260.26921728364908</v>
      </c>
      <c r="F12">
        <f>'[8]183 Tons'!J93</f>
        <v>185.76449795411443</v>
      </c>
      <c r="G12">
        <f>'[8]183 Tons'!K93</f>
        <v>203.55413831745287</v>
      </c>
      <c r="H12">
        <f>'[8]183 Tons'!L93</f>
        <v>176.43562141189753</v>
      </c>
      <c r="I12">
        <f>'[8]183 Tons'!M93</f>
        <v>164.17070426114915</v>
      </c>
      <c r="J12">
        <f>'[8]183 Tons'!N93</f>
        <v>158.76142593198219</v>
      </c>
      <c r="K12">
        <f>'[8]183 Tons'!O93</f>
        <v>168.94871550087601</v>
      </c>
      <c r="L12">
        <f>'[9]183 Tons'!D93</f>
        <v>172.64923740860823</v>
      </c>
      <c r="M12">
        <f>'[9]183 Tons'!E93</f>
        <v>146.90342810455621</v>
      </c>
      <c r="N12">
        <f>'[9]183 Tons'!F93</f>
        <v>150.07156422350894</v>
      </c>
      <c r="O12">
        <f>'[9]183 Tons'!G93</f>
        <v>188.80191596138209</v>
      </c>
      <c r="P12" t="str">
        <f t="shared" si="0"/>
        <v>RMSW tons</v>
      </c>
      <c r="Q12">
        <f>SUM(D12:O12)</f>
        <v>2259.5185435155058</v>
      </c>
    </row>
    <row r="13" spans="1:22" x14ac:dyDescent="0.2">
      <c r="A13" t="s">
        <v>55</v>
      </c>
      <c r="C13" t="s">
        <v>58</v>
      </c>
      <c r="D13">
        <f>'[8]183 Tons'!H94</f>
        <v>113.90237109317114</v>
      </c>
      <c r="E13">
        <f>'[8]183 Tons'!I94</f>
        <v>102.82131066216978</v>
      </c>
      <c r="F13">
        <f>'[8]183 Tons'!J94</f>
        <v>80.98035695052026</v>
      </c>
      <c r="G13">
        <f>'[8]183 Tons'!K94</f>
        <v>66.537661760799708</v>
      </c>
      <c r="H13">
        <f>'[8]183 Tons'!L94</f>
        <v>66.439141955297913</v>
      </c>
      <c r="I13">
        <f>'[8]183 Tons'!M94</f>
        <v>63.38973304910278</v>
      </c>
      <c r="J13">
        <f>'[8]183 Tons'!N94</f>
        <v>67.275243827380493</v>
      </c>
      <c r="K13">
        <f>'[8]183 Tons'!O94</f>
        <v>86.684350556423297</v>
      </c>
      <c r="L13">
        <f>'[9]183 Tons'!D94</f>
        <v>91.787145573581455</v>
      </c>
      <c r="M13">
        <f>'[9]183 Tons'!E94</f>
        <v>59.935177328212916</v>
      </c>
      <c r="N13">
        <f>'[9]183 Tons'!F94</f>
        <v>64.423285663727654</v>
      </c>
      <c r="O13">
        <f>'[9]183 Tons'!G94</f>
        <v>61.744007261304617</v>
      </c>
      <c r="P13" t="str">
        <f t="shared" si="0"/>
        <v>RRec tons</v>
      </c>
      <c r="Q13">
        <f t="shared" si="1"/>
        <v>925.91978568169202</v>
      </c>
    </row>
    <row r="14" spans="1:22" x14ac:dyDescent="0.2">
      <c r="A14" t="s">
        <v>55</v>
      </c>
      <c r="C14" t="s">
        <v>59</v>
      </c>
      <c r="D14">
        <f>'[8]183 Tons'!H95</f>
        <v>274.72472904755136</v>
      </c>
      <c r="E14">
        <f>'[8]183 Tons'!I95</f>
        <v>234.2520055662568</v>
      </c>
      <c r="F14">
        <f>'[8]183 Tons'!J95</f>
        <v>82.44596036493347</v>
      </c>
      <c r="G14">
        <f>'[8]183 Tons'!K95</f>
        <v>58.641846972485695</v>
      </c>
      <c r="H14">
        <f>'[8]183 Tons'!L95</f>
        <v>77.678387337640828</v>
      </c>
      <c r="I14">
        <f>'[8]183 Tons'!M95</f>
        <v>80.582325041643188</v>
      </c>
      <c r="J14">
        <f>'[8]183 Tons'!N95</f>
        <v>72.13572364937842</v>
      </c>
      <c r="K14">
        <f>'[8]183 Tons'!O95</f>
        <v>33.627498873429012</v>
      </c>
      <c r="L14">
        <f>'[9]183 Tons'!D95</f>
        <v>35.595265492347721</v>
      </c>
      <c r="M14">
        <f>'[9]183 Tons'!E95</f>
        <v>21.507459907032942</v>
      </c>
      <c r="N14">
        <f>'[9]183 Tons'!F95</f>
        <v>51.513649009384856</v>
      </c>
      <c r="O14">
        <f>'[9]183 Tons'!G95</f>
        <v>131.32009336358507</v>
      </c>
      <c r="P14" t="str">
        <f t="shared" si="0"/>
        <v xml:space="preserve">RYW tons </v>
      </c>
      <c r="Q14">
        <f t="shared" si="1"/>
        <v>1154.0249446256694</v>
      </c>
    </row>
    <row r="15" spans="1:22" x14ac:dyDescent="0.2">
      <c r="A15" t="s">
        <v>55</v>
      </c>
      <c r="B15" t="s">
        <v>62</v>
      </c>
      <c r="C15" t="s">
        <v>56</v>
      </c>
      <c r="D15">
        <f>'[8]183 Tons'!H114</f>
        <v>0</v>
      </c>
      <c r="E15">
        <f>'[8]183 Tons'!I114</f>
        <v>0</v>
      </c>
      <c r="F15">
        <f>'[8]183 Tons'!J114</f>
        <v>1843</v>
      </c>
      <c r="G15">
        <f>'[8]183 Tons'!K114</f>
        <v>1882</v>
      </c>
      <c r="H15">
        <f>'[8]183 Tons'!L114</f>
        <v>1846</v>
      </c>
      <c r="I15">
        <f>'[8]183 Tons'!M114</f>
        <v>1855</v>
      </c>
      <c r="J15">
        <f>'[8]183 Tons'!N114</f>
        <v>1843</v>
      </c>
      <c r="K15">
        <f>'[8]183 Tons'!O114</f>
        <v>1845</v>
      </c>
      <c r="L15">
        <f>'[9]183 Tons'!D114</f>
        <v>1817</v>
      </c>
      <c r="M15">
        <f>'[9]183 Tons'!E114</f>
        <v>1837</v>
      </c>
      <c r="N15">
        <f>'[9]183 Tons'!F114</f>
        <v>1847</v>
      </c>
      <c r="O15">
        <f>'[9]183 Tons'!G114</f>
        <v>1816</v>
      </c>
      <c r="P15" t="str">
        <f t="shared" si="0"/>
        <v>RREC cust</v>
      </c>
      <c r="Q15">
        <f t="shared" si="1"/>
        <v>18431</v>
      </c>
    </row>
    <row r="16" spans="1:22" x14ac:dyDescent="0.2">
      <c r="A16" t="s">
        <v>55</v>
      </c>
      <c r="C16" t="s">
        <v>57</v>
      </c>
      <c r="D16">
        <f>'[8]183 Tons'!H115</f>
        <v>0</v>
      </c>
      <c r="E16">
        <f>'[8]183 Tons'!I115</f>
        <v>0</v>
      </c>
      <c r="F16">
        <f>'[8]183 Tons'!J115</f>
        <v>1141</v>
      </c>
      <c r="G16">
        <f>'[8]183 Tons'!K115</f>
        <v>1171</v>
      </c>
      <c r="H16">
        <f>'[8]183 Tons'!L115</f>
        <v>1155</v>
      </c>
      <c r="I16">
        <f>'[8]183 Tons'!M115</f>
        <v>1158</v>
      </c>
      <c r="J16">
        <f>'[8]183 Tons'!N115</f>
        <v>1143</v>
      </c>
      <c r="K16">
        <f>'[8]183 Tons'!O115</f>
        <v>1139</v>
      </c>
      <c r="L16">
        <f>'[9]183 Tons'!D115</f>
        <v>1126</v>
      </c>
      <c r="M16">
        <f>'[9]183 Tons'!E115</f>
        <v>1128</v>
      </c>
      <c r="N16">
        <f>'[9]183 Tons'!F115</f>
        <v>1134</v>
      </c>
      <c r="O16">
        <f>'[9]183 Tons'!G115</f>
        <v>1130</v>
      </c>
      <c r="P16" t="str">
        <f t="shared" si="0"/>
        <v>RYW cust</v>
      </c>
      <c r="Q16">
        <f t="shared" si="1"/>
        <v>11425</v>
      </c>
    </row>
    <row r="17" spans="1:17" x14ac:dyDescent="0.2">
      <c r="A17" t="s">
        <v>55</v>
      </c>
      <c r="D17">
        <f>'[8]183 Tons'!H116</f>
        <v>0</v>
      </c>
      <c r="E17">
        <f>'[8]183 Tons'!I116</f>
        <v>0</v>
      </c>
      <c r="F17">
        <f>'[8]183 Tons'!J116</f>
        <v>0</v>
      </c>
      <c r="G17">
        <f>'[8]183 Tons'!K116</f>
        <v>0</v>
      </c>
      <c r="H17">
        <f>'[8]183 Tons'!L116</f>
        <v>0</v>
      </c>
      <c r="I17">
        <f>'[8]183 Tons'!M116</f>
        <v>0</v>
      </c>
      <c r="J17">
        <f>'[8]183 Tons'!N116</f>
        <v>0</v>
      </c>
      <c r="K17">
        <f>'[8]183 Tons'!O116</f>
        <v>0</v>
      </c>
      <c r="L17">
        <f>'[9]183 Tons'!D116</f>
        <v>0</v>
      </c>
      <c r="M17">
        <f>'[9]183 Tons'!E116</f>
        <v>0</v>
      </c>
      <c r="N17">
        <f>'[9]183 Tons'!F116</f>
        <v>0</v>
      </c>
      <c r="O17">
        <f>'[9]183 Tons'!G116</f>
        <v>0</v>
      </c>
      <c r="P17" t="str">
        <f t="shared" si="0"/>
        <v>R</v>
      </c>
      <c r="Q17">
        <f t="shared" si="1"/>
        <v>0</v>
      </c>
    </row>
    <row r="18" spans="1:17" x14ac:dyDescent="0.2">
      <c r="A18" t="s">
        <v>55</v>
      </c>
      <c r="C18" t="s">
        <v>60</v>
      </c>
      <c r="D18">
        <f>'[8]183 Tons'!H117</f>
        <v>0</v>
      </c>
      <c r="E18">
        <f>'[8]183 Tons'!I117</f>
        <v>0</v>
      </c>
      <c r="F18">
        <f>'[8]183 Tons'!J117</f>
        <v>116.96544418719576</v>
      </c>
      <c r="G18">
        <f>'[8]183 Tons'!K117</f>
        <v>110.24889202254715</v>
      </c>
      <c r="H18">
        <f>'[8]183 Tons'!L117</f>
        <v>116.6145957647115</v>
      </c>
      <c r="I18">
        <f>'[8]183 Tons'!M117</f>
        <v>109.74448933125618</v>
      </c>
      <c r="J18">
        <f>'[8]183 Tons'!N117</f>
        <v>89.650673741624175</v>
      </c>
      <c r="K18">
        <f>'[8]183 Tons'!O117</f>
        <v>104.77793880227583</v>
      </c>
      <c r="L18">
        <f>'[9]183 Tons'!D117</f>
        <v>95.086063151948153</v>
      </c>
      <c r="M18">
        <f>'[9]183 Tons'!E117</f>
        <v>83.804476708025121</v>
      </c>
      <c r="N18">
        <f>'[9]183 Tons'!F117</f>
        <v>99.679518895030569</v>
      </c>
      <c r="O18">
        <f>'[9]183 Tons'!G117</f>
        <v>102.59512925818971</v>
      </c>
      <c r="P18" t="str">
        <f t="shared" si="0"/>
        <v>RMSW tons</v>
      </c>
      <c r="Q18">
        <f t="shared" si="1"/>
        <v>1029.1672218628041</v>
      </c>
    </row>
    <row r="19" spans="1:17" x14ac:dyDescent="0.2">
      <c r="A19" t="s">
        <v>55</v>
      </c>
      <c r="C19" t="s">
        <v>58</v>
      </c>
      <c r="D19">
        <f>'[8]183 Tons'!H118</f>
        <v>0</v>
      </c>
      <c r="E19">
        <f>'[8]183 Tons'!I118</f>
        <v>0</v>
      </c>
      <c r="F19">
        <f>'[8]183 Tons'!J118</f>
        <v>69.115620527154149</v>
      </c>
      <c r="G19">
        <f>'[8]183 Tons'!K118</f>
        <v>46.61901420069298</v>
      </c>
      <c r="H19">
        <f>'[8]183 Tons'!L118</f>
        <v>45.805649800982032</v>
      </c>
      <c r="I19">
        <f>'[8]183 Tons'!M118</f>
        <v>46.505867590278925</v>
      </c>
      <c r="J19">
        <f>'[8]183 Tons'!N118</f>
        <v>48.717834194415708</v>
      </c>
      <c r="K19">
        <f>'[8]183 Tons'!O118</f>
        <v>72.566355137403946</v>
      </c>
      <c r="L19">
        <f>'[9]183 Tons'!D118</f>
        <v>58.749421922204192</v>
      </c>
      <c r="M19">
        <f>'[9]183 Tons'!E118</f>
        <v>48.263473044873543</v>
      </c>
      <c r="N19">
        <f>'[9]183 Tons'!F118</f>
        <v>51.483666914559649</v>
      </c>
      <c r="O19">
        <f>'[9]183 Tons'!G118</f>
        <v>41.50314170632538</v>
      </c>
      <c r="P19" t="str">
        <f t="shared" si="0"/>
        <v>RRec tons</v>
      </c>
      <c r="Q19">
        <f t="shared" si="1"/>
        <v>529.33004503889049</v>
      </c>
    </row>
    <row r="20" spans="1:17" x14ac:dyDescent="0.2">
      <c r="A20" t="s">
        <v>55</v>
      </c>
      <c r="C20" t="s">
        <v>59</v>
      </c>
      <c r="D20">
        <f>'[8]183 Tons'!H119</f>
        <v>0</v>
      </c>
      <c r="E20">
        <f>'[8]183 Tons'!I119</f>
        <v>0</v>
      </c>
      <c r="F20">
        <f>'[8]183 Tons'!J119</f>
        <v>102.01117020964162</v>
      </c>
      <c r="G20">
        <f>'[8]183 Tons'!K119</f>
        <v>75.783897716962173</v>
      </c>
      <c r="H20">
        <f>'[8]183 Tons'!L119</f>
        <v>88.621609840230363</v>
      </c>
      <c r="I20">
        <f>'[8]183 Tons'!M119</f>
        <v>102.03965419343695</v>
      </c>
      <c r="J20">
        <f>'[8]183 Tons'!N119</f>
        <v>106.31160771997628</v>
      </c>
      <c r="K20">
        <f>'[8]183 Tons'!O119</f>
        <v>39.368578063059623</v>
      </c>
      <c r="L20">
        <f>'[9]183 Tons'!D119</f>
        <v>40.962024117101777</v>
      </c>
      <c r="M20">
        <f>'[9]183 Tons'!E119</f>
        <v>22.5333803652649</v>
      </c>
      <c r="N20">
        <f>'[9]183 Tons'!F119</f>
        <v>81.546488675591178</v>
      </c>
      <c r="O20">
        <f>'[9]183 Tons'!G119</f>
        <v>128.60012629512605</v>
      </c>
      <c r="P20" t="str">
        <f t="shared" si="0"/>
        <v xml:space="preserve">RYW tons </v>
      </c>
      <c r="Q20">
        <f t="shared" si="1"/>
        <v>787.77853719639086</v>
      </c>
    </row>
    <row r="21" spans="1:17" x14ac:dyDescent="0.2">
      <c r="A21" t="s">
        <v>65</v>
      </c>
      <c r="B21" t="s">
        <v>63</v>
      </c>
      <c r="C21" t="s">
        <v>56</v>
      </c>
      <c r="D21">
        <f>'[8]183 Tons'!H139</f>
        <v>1908</v>
      </c>
      <c r="E21">
        <f>'[8]183 Tons'!I139</f>
        <v>1924</v>
      </c>
      <c r="F21">
        <f>'[8]183 Tons'!J139</f>
        <v>1912</v>
      </c>
      <c r="G21">
        <f>'[8]183 Tons'!K139</f>
        <v>1916</v>
      </c>
      <c r="H21">
        <f>'[8]183 Tons'!L139</f>
        <v>1927</v>
      </c>
      <c r="I21">
        <f>'[8]183 Tons'!M139</f>
        <v>1932</v>
      </c>
      <c r="J21">
        <f>'[8]183 Tons'!N139</f>
        <v>1917</v>
      </c>
      <c r="K21">
        <f>'[8]183 Tons'!O139</f>
        <v>1924</v>
      </c>
      <c r="L21">
        <f>'[9]183 Tons'!D139</f>
        <v>1913</v>
      </c>
      <c r="M21">
        <f>'[9]183 Tons'!E139</f>
        <v>1914</v>
      </c>
      <c r="N21">
        <f>'[9]183 Tons'!F139</f>
        <v>1923</v>
      </c>
      <c r="O21">
        <f>'[9]183 Tons'!G139</f>
        <v>1927</v>
      </c>
      <c r="P21" t="str">
        <f t="shared" si="0"/>
        <v>NRREC cust</v>
      </c>
      <c r="Q21">
        <f t="shared" si="1"/>
        <v>23037</v>
      </c>
    </row>
    <row r="22" spans="1:17" x14ac:dyDescent="0.2">
      <c r="A22" t="s">
        <v>65</v>
      </c>
      <c r="C22" t="s">
        <v>57</v>
      </c>
      <c r="D22">
        <f>'[8]183 Tons'!H140</f>
        <v>1170</v>
      </c>
      <c r="E22">
        <f>'[8]183 Tons'!I140</f>
        <v>1188</v>
      </c>
      <c r="F22">
        <f>'[8]183 Tons'!J140</f>
        <v>1186</v>
      </c>
      <c r="G22">
        <f>'[8]183 Tons'!K140</f>
        <v>1196</v>
      </c>
      <c r="H22">
        <f>'[8]183 Tons'!L140</f>
        <v>1198</v>
      </c>
      <c r="I22">
        <f>'[8]183 Tons'!M140</f>
        <v>1205</v>
      </c>
      <c r="J22">
        <f>'[8]183 Tons'!N140</f>
        <v>1196</v>
      </c>
      <c r="K22">
        <f>'[8]183 Tons'!O140</f>
        <v>1195</v>
      </c>
      <c r="L22">
        <f>'[9]183 Tons'!D140</f>
        <v>1182</v>
      </c>
      <c r="M22">
        <f>'[9]183 Tons'!E140</f>
        <v>1184</v>
      </c>
      <c r="N22">
        <f>'[9]183 Tons'!F140</f>
        <v>1197</v>
      </c>
      <c r="O22">
        <f>'[9]183 Tons'!G140</f>
        <v>1206</v>
      </c>
      <c r="P22" t="str">
        <f t="shared" si="0"/>
        <v>NRYW cust</v>
      </c>
      <c r="Q22">
        <f t="shared" si="1"/>
        <v>14303</v>
      </c>
    </row>
    <row r="23" spans="1:17" x14ac:dyDescent="0.2">
      <c r="A23" t="s">
        <v>65</v>
      </c>
      <c r="D23">
        <f>'[8]183 Tons'!H141</f>
        <v>0</v>
      </c>
      <c r="E23">
        <f>'[8]183 Tons'!I141</f>
        <v>0</v>
      </c>
      <c r="F23">
        <f>'[8]183 Tons'!J141</f>
        <v>0</v>
      </c>
      <c r="G23">
        <f>'[8]183 Tons'!K141</f>
        <v>0</v>
      </c>
      <c r="H23">
        <f>'[8]183 Tons'!L141</f>
        <v>0</v>
      </c>
      <c r="I23">
        <f>'[8]183 Tons'!M141</f>
        <v>0</v>
      </c>
      <c r="J23">
        <f>'[8]183 Tons'!N141</f>
        <v>0</v>
      </c>
      <c r="K23">
        <f>'[8]183 Tons'!O141</f>
        <v>0</v>
      </c>
      <c r="L23">
        <f>'[9]183 Tons'!D141</f>
        <v>0</v>
      </c>
      <c r="M23">
        <f>'[9]183 Tons'!E141</f>
        <v>0</v>
      </c>
      <c r="N23">
        <f>'[9]183 Tons'!F141</f>
        <v>0</v>
      </c>
      <c r="O23">
        <f>'[9]183 Tons'!G141</f>
        <v>0</v>
      </c>
      <c r="P23" t="str">
        <f t="shared" si="0"/>
        <v>NR</v>
      </c>
      <c r="Q23">
        <f t="shared" si="1"/>
        <v>0</v>
      </c>
    </row>
    <row r="24" spans="1:17" x14ac:dyDescent="0.2">
      <c r="A24" t="s">
        <v>65</v>
      </c>
      <c r="C24" t="s">
        <v>60</v>
      </c>
      <c r="D24">
        <f>'[8]183 Tons'!H142</f>
        <v>103.60301462209382</v>
      </c>
      <c r="E24">
        <f>'[8]183 Tons'!I142</f>
        <v>94.281509152369679</v>
      </c>
      <c r="F24">
        <f>'[8]183 Tons'!J142</f>
        <v>123.67179199476534</v>
      </c>
      <c r="G24">
        <f>'[8]183 Tons'!K142</f>
        <v>43.751528204573347</v>
      </c>
      <c r="H24">
        <f>'[8]183 Tons'!L142</f>
        <v>45.162046604486939</v>
      </c>
      <c r="I24">
        <f>'[8]183 Tons'!M142</f>
        <v>114.97186789255313</v>
      </c>
      <c r="J24">
        <f>'[8]183 Tons'!N142</f>
        <v>95.114970929042983</v>
      </c>
      <c r="K24">
        <f>'[8]183 Tons'!O142</f>
        <v>112.70779691683407</v>
      </c>
      <c r="L24">
        <f>'[9]183 Tons'!D142</f>
        <v>97.918200566762479</v>
      </c>
      <c r="M24">
        <f>'[9]183 Tons'!E142</f>
        <v>72.763468856900417</v>
      </c>
      <c r="N24">
        <f>'[9]183 Tons'!F142</f>
        <v>71.647697932595122</v>
      </c>
      <c r="O24">
        <f>'[9]183 Tons'!G142</f>
        <v>104.66808939408629</v>
      </c>
      <c r="P24" t="str">
        <f t="shared" si="0"/>
        <v>NRMSW tons</v>
      </c>
      <c r="Q24">
        <f t="shared" si="1"/>
        <v>1080.2619830670637</v>
      </c>
    </row>
    <row r="25" spans="1:17" x14ac:dyDescent="0.2">
      <c r="A25" t="s">
        <v>65</v>
      </c>
      <c r="C25" t="s">
        <v>58</v>
      </c>
      <c r="D25">
        <f>'[8]183 Tons'!H143</f>
        <v>67.936571667558809</v>
      </c>
      <c r="E25">
        <f>'[8]183 Tons'!I143</f>
        <v>57.541109505769732</v>
      </c>
      <c r="F25">
        <f>'[8]183 Tons'!J143</f>
        <v>53.5607891694968</v>
      </c>
      <c r="G25">
        <f>'[8]183 Tons'!K143</f>
        <v>50.856765554839178</v>
      </c>
      <c r="H25">
        <f>'[8]183 Tons'!L143</f>
        <v>53.748029422856192</v>
      </c>
      <c r="I25">
        <f>'[8]183 Tons'!M143</f>
        <v>73.055328494305812</v>
      </c>
      <c r="J25">
        <f>'[8]183 Tons'!N143</f>
        <v>56.518589788367947</v>
      </c>
      <c r="K25">
        <f>'[8]183 Tons'!O143</f>
        <v>59.369223039463712</v>
      </c>
      <c r="L25">
        <f>'[9]183 Tons'!D143</f>
        <v>57.955126414445097</v>
      </c>
      <c r="M25">
        <f>'[9]183 Tons'!E143</f>
        <v>48.022940406872458</v>
      </c>
      <c r="N25">
        <f>'[9]183 Tons'!F143</f>
        <v>60.61142528243775</v>
      </c>
      <c r="O25">
        <f>'[9]183 Tons'!G143</f>
        <v>77.594354174969553</v>
      </c>
      <c r="P25" t="str">
        <f t="shared" si="0"/>
        <v>NRRec tons</v>
      </c>
      <c r="Q25">
        <f t="shared" si="1"/>
        <v>716.77025292138296</v>
      </c>
    </row>
    <row r="26" spans="1:17" x14ac:dyDescent="0.2">
      <c r="A26" t="s">
        <v>65</v>
      </c>
      <c r="C26" t="s">
        <v>59</v>
      </c>
      <c r="D26">
        <f>'[8]183 Tons'!H144</f>
        <v>109.42224740352515</v>
      </c>
      <c r="E26">
        <f>'[8]183 Tons'!I144</f>
        <v>105.52473714401782</v>
      </c>
      <c r="F26">
        <f>'[8]183 Tons'!J144</f>
        <v>122.60418348118277</v>
      </c>
      <c r="G26">
        <f>'[8]183 Tons'!K144</f>
        <v>71.204807719966624</v>
      </c>
      <c r="H26">
        <f>'[8]183 Tons'!L144</f>
        <v>70.746074286960607</v>
      </c>
      <c r="I26">
        <f>'[8]183 Tons'!M144</f>
        <v>75.238218974998119</v>
      </c>
      <c r="J26">
        <f>'[8]183 Tons'!N144</f>
        <v>86.464389612408041</v>
      </c>
      <c r="K26">
        <f>'[8]183 Tons'!O144</f>
        <v>70.279498030945661</v>
      </c>
      <c r="L26">
        <f>'[9]183 Tons'!D144</f>
        <v>67.663617219416906</v>
      </c>
      <c r="M26">
        <f>'[9]183 Tons'!E144</f>
        <v>38.678726536064801</v>
      </c>
      <c r="N26">
        <f>'[9]183 Tons'!F144</f>
        <v>89.241100816308247</v>
      </c>
      <c r="O26">
        <f>'[9]183 Tons'!G144</f>
        <v>108.68455227416295</v>
      </c>
      <c r="P26" t="str">
        <f t="shared" si="0"/>
        <v xml:space="preserve">NRYW tons </v>
      </c>
      <c r="Q26">
        <f t="shared" si="1"/>
        <v>1015.7521534999576</v>
      </c>
    </row>
    <row r="27" spans="1:17" x14ac:dyDescent="0.2">
      <c r="A27" t="s">
        <v>100</v>
      </c>
      <c r="B27" t="s">
        <v>64</v>
      </c>
      <c r="C27" t="s">
        <v>56</v>
      </c>
      <c r="D27">
        <f>'[8]183 Tons'!H164</f>
        <v>1697</v>
      </c>
      <c r="E27">
        <f>'[8]183 Tons'!I164</f>
        <v>1715</v>
      </c>
      <c r="F27">
        <f>'[8]183 Tons'!J164</f>
        <v>1687</v>
      </c>
      <c r="G27">
        <f>'[8]183 Tons'!K164</f>
        <v>1706</v>
      </c>
      <c r="H27">
        <f>'[8]183 Tons'!L164</f>
        <v>1791</v>
      </c>
      <c r="I27">
        <f>'[8]183 Tons'!M164</f>
        <v>1797</v>
      </c>
      <c r="J27">
        <f>'[8]183 Tons'!N164</f>
        <v>1776</v>
      </c>
      <c r="K27">
        <f>'[8]183 Tons'!O164</f>
        <v>1795</v>
      </c>
      <c r="L27">
        <f>'[9]183 Tons'!D164</f>
        <v>1759</v>
      </c>
      <c r="M27">
        <f>'[9]183 Tons'!E164</f>
        <v>1780</v>
      </c>
      <c r="N27">
        <f>'[9]183 Tons'!F164</f>
        <v>1802</v>
      </c>
      <c r="O27">
        <f>'[9]183 Tons'!G164</f>
        <v>1766</v>
      </c>
      <c r="P27" t="str">
        <f t="shared" si="0"/>
        <v>MRREC cust</v>
      </c>
      <c r="Q27">
        <f t="shared" si="1"/>
        <v>21071</v>
      </c>
    </row>
    <row r="28" spans="1:17" x14ac:dyDescent="0.2">
      <c r="A28" t="s">
        <v>100</v>
      </c>
      <c r="C28" t="s">
        <v>57</v>
      </c>
      <c r="D28">
        <f>'[8]183 Tons'!H165</f>
        <v>842</v>
      </c>
      <c r="E28">
        <f>'[8]183 Tons'!I165</f>
        <v>855</v>
      </c>
      <c r="F28">
        <f>'[8]183 Tons'!J165</f>
        <v>845</v>
      </c>
      <c r="G28">
        <f>'[8]183 Tons'!K165</f>
        <v>854</v>
      </c>
      <c r="H28">
        <f>'[8]183 Tons'!L165</f>
        <v>876</v>
      </c>
      <c r="I28">
        <f>'[8]183 Tons'!M165</f>
        <v>877</v>
      </c>
      <c r="J28">
        <f>'[8]183 Tons'!N165</f>
        <v>868</v>
      </c>
      <c r="K28">
        <f>'[8]183 Tons'!O165</f>
        <v>879</v>
      </c>
      <c r="L28">
        <f>'[9]183 Tons'!D165</f>
        <v>864</v>
      </c>
      <c r="M28">
        <f>'[9]183 Tons'!E165</f>
        <v>865</v>
      </c>
      <c r="N28">
        <f>'[9]183 Tons'!F165</f>
        <v>873</v>
      </c>
      <c r="O28">
        <f>'[9]183 Tons'!G165</f>
        <v>873</v>
      </c>
      <c r="P28" t="str">
        <f t="shared" si="0"/>
        <v>MRYW cust</v>
      </c>
      <c r="Q28">
        <f t="shared" si="1"/>
        <v>10371</v>
      </c>
    </row>
    <row r="29" spans="1:17" x14ac:dyDescent="0.2">
      <c r="A29" t="s">
        <v>100</v>
      </c>
      <c r="D29">
        <f>'[8]183 Tons'!H166</f>
        <v>0</v>
      </c>
      <c r="E29">
        <f>'[8]183 Tons'!I166</f>
        <v>0</v>
      </c>
      <c r="F29">
        <f>'[8]183 Tons'!J166</f>
        <v>0</v>
      </c>
      <c r="G29">
        <f>'[8]183 Tons'!K166</f>
        <v>0</v>
      </c>
      <c r="H29">
        <f>'[8]183 Tons'!L166</f>
        <v>0</v>
      </c>
      <c r="I29">
        <f>'[8]183 Tons'!M166</f>
        <v>0</v>
      </c>
      <c r="J29">
        <f>'[8]183 Tons'!N166</f>
        <v>0</v>
      </c>
      <c r="K29">
        <f>'[8]183 Tons'!O166</f>
        <v>0</v>
      </c>
      <c r="L29">
        <f>'[9]183 Tons'!D166</f>
        <v>0</v>
      </c>
      <c r="M29">
        <f>'[9]183 Tons'!E166</f>
        <v>0</v>
      </c>
      <c r="N29">
        <f>'[9]183 Tons'!F166</f>
        <v>0</v>
      </c>
      <c r="O29">
        <f>'[9]183 Tons'!G166</f>
        <v>0</v>
      </c>
      <c r="P29" t="str">
        <f t="shared" si="0"/>
        <v>MR</v>
      </c>
      <c r="Q29">
        <f t="shared" si="1"/>
        <v>0</v>
      </c>
    </row>
    <row r="30" spans="1:17" x14ac:dyDescent="0.2">
      <c r="A30" t="s">
        <v>100</v>
      </c>
      <c r="C30" t="s">
        <v>60</v>
      </c>
      <c r="D30">
        <f>'[8]183 Tons'!H167</f>
        <v>113.73132520415047</v>
      </c>
      <c r="E30">
        <f>'[8]183 Tons'!I167</f>
        <v>90.520560640027966</v>
      </c>
      <c r="F30">
        <f>'[8]183 Tons'!J167</f>
        <v>94.779928301445182</v>
      </c>
      <c r="G30">
        <f>'[8]183 Tons'!K167</f>
        <v>119.95287870800979</v>
      </c>
      <c r="H30">
        <f>'[8]183 Tons'!L167</f>
        <v>77.785049828307891</v>
      </c>
      <c r="I30">
        <f>'[8]183 Tons'!M167</f>
        <v>82.868635581311381</v>
      </c>
      <c r="J30">
        <f>'[8]183 Tons'!N167</f>
        <v>103.30804721923536</v>
      </c>
      <c r="K30">
        <f>'[8]183 Tons'!O167</f>
        <v>91.392123916948577</v>
      </c>
      <c r="L30">
        <f>'[9]183 Tons'!D167</f>
        <v>109.84873855719695</v>
      </c>
      <c r="M30">
        <f>'[9]183 Tons'!E167</f>
        <v>82.48011034077966</v>
      </c>
      <c r="N30">
        <f>'[9]183 Tons'!F167</f>
        <v>95.198021308166901</v>
      </c>
      <c r="O30">
        <f>'[9]183 Tons'!G167</f>
        <v>97.997762787529581</v>
      </c>
      <c r="P30" t="str">
        <f t="shared" si="0"/>
        <v>MRMSW tons</v>
      </c>
      <c r="Q30">
        <f t="shared" si="1"/>
        <v>1159.8631823931098</v>
      </c>
    </row>
    <row r="31" spans="1:17" x14ac:dyDescent="0.2">
      <c r="A31" t="s">
        <v>100</v>
      </c>
      <c r="C31" t="s">
        <v>58</v>
      </c>
      <c r="D31">
        <f>'[8]183 Tons'!H168</f>
        <v>39.399799824262601</v>
      </c>
      <c r="E31">
        <f>'[8]183 Tons'!I168</f>
        <v>34.446701863814859</v>
      </c>
      <c r="F31">
        <f>'[8]183 Tons'!J168</f>
        <v>43.747409304896841</v>
      </c>
      <c r="G31">
        <f>'[8]183 Tons'!K168</f>
        <v>57.587375496036529</v>
      </c>
      <c r="H31">
        <f>'[8]183 Tons'!L168</f>
        <v>40.312759247183529</v>
      </c>
      <c r="I31">
        <f>'[8]183 Tons'!M168</f>
        <v>44.688844030511497</v>
      </c>
      <c r="J31">
        <f>'[8]183 Tons'!N168</f>
        <v>33.112343506307504</v>
      </c>
      <c r="K31">
        <f>'[8]183 Tons'!O168</f>
        <v>40.41466877322263</v>
      </c>
      <c r="L31">
        <f>'[9]183 Tons'!D168</f>
        <v>61.825575557264507</v>
      </c>
      <c r="M31">
        <f>'[9]183 Tons'!E168</f>
        <v>41.363097254843296</v>
      </c>
      <c r="N31">
        <f>'[9]183 Tons'!F168</f>
        <v>42.591865190860439</v>
      </c>
      <c r="O31">
        <f>'[9]183 Tons'!G168</f>
        <v>41.342282137525672</v>
      </c>
      <c r="P31" t="str">
        <f t="shared" si="0"/>
        <v>MRRec tons</v>
      </c>
      <c r="Q31">
        <f t="shared" si="1"/>
        <v>520.83272218673005</v>
      </c>
    </row>
    <row r="32" spans="1:17" x14ac:dyDescent="0.2">
      <c r="A32" t="s">
        <v>100</v>
      </c>
      <c r="C32" t="s">
        <v>59</v>
      </c>
      <c r="D32">
        <f>'[8]183 Tons'!H169</f>
        <v>108.43094214245642</v>
      </c>
      <c r="E32">
        <f>'[8]183 Tons'!I169</f>
        <v>94.408659533963771</v>
      </c>
      <c r="F32">
        <f>'[8]183 Tons'!J169</f>
        <v>77.188912655032567</v>
      </c>
      <c r="G32">
        <f>'[8]183 Tons'!K169</f>
        <v>73.626310411118112</v>
      </c>
      <c r="H32">
        <f>'[8]183 Tons'!L169</f>
        <v>70.943413258170324</v>
      </c>
      <c r="I32">
        <f>'[8]183 Tons'!M169</f>
        <v>63.337172717544902</v>
      </c>
      <c r="J32">
        <f>'[8]183 Tons'!N169</f>
        <v>70.746790947887519</v>
      </c>
      <c r="K32">
        <f>'[8]183 Tons'!O169</f>
        <v>15.871614525210006</v>
      </c>
      <c r="L32">
        <f>'[9]183 Tons'!D169</f>
        <v>35.503172848173968</v>
      </c>
      <c r="M32">
        <f>'[9]183 Tons'!E169</f>
        <v>16.030663988397198</v>
      </c>
      <c r="N32">
        <f>'[9]183 Tons'!F169</f>
        <v>52.278048820761327</v>
      </c>
      <c r="O32">
        <f>'[9]183 Tons'!G169</f>
        <v>86.873200229531108</v>
      </c>
      <c r="P32" t="str">
        <f t="shared" si="0"/>
        <v xml:space="preserve">MRYW tons </v>
      </c>
      <c r="Q32">
        <f t="shared" si="1"/>
        <v>765.23890207824729</v>
      </c>
    </row>
    <row r="33" spans="1:17" x14ac:dyDescent="0.2">
      <c r="A33" t="s">
        <v>65</v>
      </c>
      <c r="B33" t="s">
        <v>66</v>
      </c>
      <c r="C33" t="s">
        <v>56</v>
      </c>
      <c r="D33">
        <f>'[8]183 Tons'!H188</f>
        <v>3925</v>
      </c>
      <c r="E33">
        <f>'[8]183 Tons'!I188</f>
        <v>3966</v>
      </c>
      <c r="F33">
        <f>'[8]183 Tons'!J188</f>
        <v>3929</v>
      </c>
      <c r="G33">
        <f>'[8]183 Tons'!K188</f>
        <v>3898</v>
      </c>
      <c r="H33">
        <f>'[8]183 Tons'!L188</f>
        <v>3958</v>
      </c>
      <c r="I33">
        <f>'[8]183 Tons'!M188</f>
        <v>3983</v>
      </c>
      <c r="J33">
        <f>'[8]183 Tons'!N188</f>
        <v>3906</v>
      </c>
      <c r="K33">
        <f>'[8]183 Tons'!O188</f>
        <v>3961</v>
      </c>
      <c r="L33">
        <f>'[9]183 Tons'!D188</f>
        <v>3925</v>
      </c>
      <c r="M33">
        <f>'[9]183 Tons'!E188</f>
        <v>3949</v>
      </c>
      <c r="N33">
        <f>'[9]183 Tons'!F188</f>
        <v>3998</v>
      </c>
      <c r="O33">
        <f>'[9]183 Tons'!G188</f>
        <v>3970</v>
      </c>
      <c r="P33" t="str">
        <f t="shared" si="0"/>
        <v>NRREC cust</v>
      </c>
      <c r="Q33">
        <f t="shared" si="1"/>
        <v>47368</v>
      </c>
    </row>
    <row r="34" spans="1:17" x14ac:dyDescent="0.2">
      <c r="A34" t="s">
        <v>65</v>
      </c>
      <c r="C34" t="s">
        <v>57</v>
      </c>
      <c r="D34">
        <f>'[8]183 Tons'!H189</f>
        <v>1381</v>
      </c>
      <c r="E34">
        <f>'[8]183 Tons'!I189</f>
        <v>1408</v>
      </c>
      <c r="F34">
        <f>'[8]183 Tons'!J189</f>
        <v>1414</v>
      </c>
      <c r="G34">
        <f>'[8]183 Tons'!K189</f>
        <v>1416</v>
      </c>
      <c r="H34">
        <f>'[8]183 Tons'!L189</f>
        <v>1427</v>
      </c>
      <c r="I34">
        <f>'[8]183 Tons'!M189</f>
        <v>1426</v>
      </c>
      <c r="J34">
        <f>'[8]183 Tons'!N189</f>
        <v>1392</v>
      </c>
      <c r="K34">
        <f>'[8]183 Tons'!O189</f>
        <v>1397</v>
      </c>
      <c r="L34">
        <f>'[9]183 Tons'!D189</f>
        <v>1394</v>
      </c>
      <c r="M34">
        <f>'[9]183 Tons'!E189</f>
        <v>1383</v>
      </c>
      <c r="N34">
        <f>'[9]183 Tons'!F189</f>
        <v>1427</v>
      </c>
      <c r="O34">
        <f>'[9]183 Tons'!G189</f>
        <v>1441</v>
      </c>
      <c r="P34" t="str">
        <f t="shared" si="0"/>
        <v>NRYW cust</v>
      </c>
      <c r="Q34">
        <f t="shared" si="1"/>
        <v>16906</v>
      </c>
    </row>
    <row r="35" spans="1:17" x14ac:dyDescent="0.2">
      <c r="A35" t="s">
        <v>65</v>
      </c>
      <c r="D35">
        <f>'[8]183 Tons'!H190</f>
        <v>0</v>
      </c>
      <c r="E35">
        <f>'[8]183 Tons'!I190</f>
        <v>0</v>
      </c>
      <c r="F35">
        <f>'[8]183 Tons'!J190</f>
        <v>0</v>
      </c>
      <c r="G35">
        <f>'[8]183 Tons'!K190</f>
        <v>0</v>
      </c>
      <c r="H35">
        <f>'[8]183 Tons'!L190</f>
        <v>0</v>
      </c>
      <c r="I35">
        <f>'[8]183 Tons'!M190</f>
        <v>0</v>
      </c>
      <c r="J35">
        <f>'[8]183 Tons'!N190</f>
        <v>0</v>
      </c>
      <c r="K35">
        <f>'[8]183 Tons'!O190</f>
        <v>0</v>
      </c>
      <c r="L35">
        <f>'[9]183 Tons'!D190</f>
        <v>0</v>
      </c>
      <c r="M35">
        <f>'[9]183 Tons'!E190</f>
        <v>0</v>
      </c>
      <c r="N35">
        <f>'[9]183 Tons'!F190</f>
        <v>0</v>
      </c>
      <c r="O35">
        <f>'[9]183 Tons'!G190</f>
        <v>0</v>
      </c>
      <c r="P35" t="str">
        <f t="shared" si="0"/>
        <v>NR</v>
      </c>
      <c r="Q35">
        <f t="shared" si="1"/>
        <v>0</v>
      </c>
    </row>
    <row r="36" spans="1:17" x14ac:dyDescent="0.2">
      <c r="A36" t="s">
        <v>65</v>
      </c>
      <c r="C36" t="s">
        <v>60</v>
      </c>
      <c r="D36">
        <f>'[8]183 Tons'!H191</f>
        <v>259.04472374043291</v>
      </c>
      <c r="E36">
        <f>'[8]183 Tons'!I191</f>
        <v>225.24289296399266</v>
      </c>
      <c r="F36">
        <f>'[8]183 Tons'!J191</f>
        <v>253.20379729947169</v>
      </c>
      <c r="G36">
        <f>'[8]183 Tons'!K191</f>
        <v>246.88619616610455</v>
      </c>
      <c r="H36">
        <f>'[8]183 Tons'!L191</f>
        <v>244.77674528096529</v>
      </c>
      <c r="I36">
        <f>'[8]183 Tons'!M191</f>
        <v>262.6622740401196</v>
      </c>
      <c r="J36">
        <f>'[8]183 Tons'!N191</f>
        <v>236.72075645855804</v>
      </c>
      <c r="K36">
        <f>'[8]183 Tons'!O191</f>
        <v>223.70602869188474</v>
      </c>
      <c r="L36">
        <f>'[9]183 Tons'!D191</f>
        <v>255.42843976876679</v>
      </c>
      <c r="M36">
        <f>'[9]183 Tons'!E191</f>
        <v>216.62312817016647</v>
      </c>
      <c r="N36">
        <f>'[9]183 Tons'!F191</f>
        <v>228.13502457427074</v>
      </c>
      <c r="O36">
        <f>'[9]183 Tons'!G191</f>
        <v>231.72458130923627</v>
      </c>
      <c r="P36" t="str">
        <f t="shared" si="0"/>
        <v>NRMSW tons</v>
      </c>
      <c r="Q36">
        <f t="shared" si="1"/>
        <v>2884.15458846397</v>
      </c>
    </row>
    <row r="37" spans="1:17" x14ac:dyDescent="0.2">
      <c r="A37" t="s">
        <v>65</v>
      </c>
      <c r="C37" t="s">
        <v>58</v>
      </c>
      <c r="D37">
        <f>'[8]183 Tons'!H192</f>
        <v>136.42431213469388</v>
      </c>
      <c r="E37">
        <f>'[8]183 Tons'!I192</f>
        <v>103.66091178320748</v>
      </c>
      <c r="F37">
        <f>'[8]183 Tons'!J192</f>
        <v>94.306179160652462</v>
      </c>
      <c r="G37">
        <f>'[8]183 Tons'!K192</f>
        <v>94.523015266549379</v>
      </c>
      <c r="H37">
        <f>'[8]183 Tons'!L192</f>
        <v>119.1997562700803</v>
      </c>
      <c r="I37">
        <f>'[8]183 Tons'!M192</f>
        <v>128.7954623327455</v>
      </c>
      <c r="J37">
        <f>'[8]183 Tons'!N192</f>
        <v>118.66879351254551</v>
      </c>
      <c r="K37">
        <f>'[8]183 Tons'!O192</f>
        <v>110.29520506491673</v>
      </c>
      <c r="L37">
        <f>'[9]183 Tons'!D192</f>
        <v>96.112200357212188</v>
      </c>
      <c r="M37">
        <f>'[9]183 Tons'!E192</f>
        <v>99.254644955392735</v>
      </c>
      <c r="N37">
        <f>'[9]183 Tons'!F192</f>
        <v>105.29809798231983</v>
      </c>
      <c r="O37">
        <f>'[9]183 Tons'!G192</f>
        <v>126.87932505046543</v>
      </c>
      <c r="P37" t="str">
        <f t="shared" si="0"/>
        <v>NRRec tons</v>
      </c>
      <c r="Q37">
        <f t="shared" si="1"/>
        <v>1333.4179038707814</v>
      </c>
    </row>
    <row r="38" spans="1:17" x14ac:dyDescent="0.2">
      <c r="A38" t="s">
        <v>65</v>
      </c>
      <c r="C38" t="s">
        <v>59</v>
      </c>
      <c r="D38">
        <f>'[8]183 Tons'!H193</f>
        <v>155.97178393516168</v>
      </c>
      <c r="E38">
        <f>'[8]183 Tons'!I193</f>
        <v>115.61905146819784</v>
      </c>
      <c r="F38">
        <f>'[8]183 Tons'!J193</f>
        <v>96.125379064709847</v>
      </c>
      <c r="G38">
        <f>'[8]183 Tons'!K193</f>
        <v>59.047982230237849</v>
      </c>
      <c r="H38">
        <f>'[8]183 Tons'!L193</f>
        <v>89.924036751727158</v>
      </c>
      <c r="I38">
        <f>'[8]183 Tons'!M193</f>
        <v>68.293374127918781</v>
      </c>
      <c r="J38">
        <f>'[8]183 Tons'!N193</f>
        <v>102.15660788654424</v>
      </c>
      <c r="K38">
        <f>'[8]183 Tons'!O193</f>
        <v>47.469837410391278</v>
      </c>
      <c r="L38">
        <f>'[9]183 Tons'!D193</f>
        <v>28.827535535272563</v>
      </c>
      <c r="M38">
        <f>'[9]183 Tons'!E193</f>
        <v>18.000979949678278</v>
      </c>
      <c r="N38">
        <f>'[9]183 Tons'!F193</f>
        <v>35.192655063540023</v>
      </c>
      <c r="O38">
        <f>'[9]183 Tons'!G193</f>
        <v>70.80028196623509</v>
      </c>
      <c r="P38" t="str">
        <f t="shared" si="0"/>
        <v xml:space="preserve">NRYW tons </v>
      </c>
      <c r="Q38">
        <f t="shared" si="1"/>
        <v>887.42950538961441</v>
      </c>
    </row>
    <row r="39" spans="1:17" x14ac:dyDescent="0.2">
      <c r="A39" s="319">
        <v>176</v>
      </c>
      <c r="B39" s="319"/>
      <c r="P39" t="str">
        <f t="shared" si="0"/>
        <v>176</v>
      </c>
      <c r="Q39">
        <f t="shared" si="1"/>
        <v>0</v>
      </c>
    </row>
    <row r="40" spans="1:17" x14ac:dyDescent="0.2">
      <c r="A40" t="s">
        <v>100</v>
      </c>
      <c r="B40" t="s">
        <v>67</v>
      </c>
      <c r="C40" t="s">
        <v>56</v>
      </c>
      <c r="D40">
        <f>'[10]176 Tons'!H66</f>
        <v>2652</v>
      </c>
      <c r="E40">
        <f>'[10]176 Tons'!I66</f>
        <v>2652</v>
      </c>
      <c r="F40">
        <f>'[10]176 Tons'!J66</f>
        <v>2638</v>
      </c>
      <c r="G40">
        <f>'[10]176 Tons'!K66</f>
        <v>2651</v>
      </c>
      <c r="H40">
        <f>'[10]176 Tons'!L66</f>
        <v>2719</v>
      </c>
      <c r="I40">
        <f>'[10]176 Tons'!M66</f>
        <v>2750</v>
      </c>
      <c r="J40">
        <f>'[10]176 Tons'!N66</f>
        <v>2729</v>
      </c>
      <c r="K40">
        <f>'[10]176 Tons'!O66</f>
        <v>2774</v>
      </c>
      <c r="L40">
        <f>'[11]176 Tons'!D66</f>
        <v>2756</v>
      </c>
      <c r="M40">
        <f>'[11]176 Tons'!E66</f>
        <v>2780</v>
      </c>
      <c r="N40">
        <f>'[11]176 Tons'!F66</f>
        <v>2802</v>
      </c>
      <c r="O40">
        <f>'[11]176 Tons'!G66</f>
        <v>2817</v>
      </c>
      <c r="P40" t="str">
        <f t="shared" si="0"/>
        <v>MRREC cust</v>
      </c>
      <c r="Q40">
        <f t="shared" si="1"/>
        <v>32720</v>
      </c>
    </row>
    <row r="41" spans="1:17" x14ac:dyDescent="0.2">
      <c r="A41" t="s">
        <v>100</v>
      </c>
      <c r="C41" t="s">
        <v>57</v>
      </c>
      <c r="D41">
        <f>'[10]176 Tons'!H67</f>
        <v>1210</v>
      </c>
      <c r="E41">
        <f>'[10]176 Tons'!I67</f>
        <v>1223</v>
      </c>
      <c r="F41">
        <f>'[10]176 Tons'!J67</f>
        <v>1229</v>
      </c>
      <c r="G41">
        <f>'[10]176 Tons'!K67</f>
        <v>1226</v>
      </c>
      <c r="H41">
        <f>'[10]176 Tons'!L67</f>
        <v>1243</v>
      </c>
      <c r="I41">
        <f>'[10]176 Tons'!M67</f>
        <v>1242</v>
      </c>
      <c r="J41">
        <f>'[10]176 Tons'!N67</f>
        <v>1222</v>
      </c>
      <c r="K41">
        <f>'[10]176 Tons'!O67</f>
        <v>1226</v>
      </c>
      <c r="L41">
        <f>'[11]176 Tons'!D67</f>
        <v>1208</v>
      </c>
      <c r="M41">
        <f>'[11]176 Tons'!E67</f>
        <v>1220</v>
      </c>
      <c r="N41">
        <f>'[11]176 Tons'!F67</f>
        <v>1230</v>
      </c>
      <c r="O41">
        <f>'[11]176 Tons'!G67</f>
        <v>1254</v>
      </c>
      <c r="P41" t="str">
        <f t="shared" si="0"/>
        <v>MRYW cust</v>
      </c>
      <c r="Q41">
        <f t="shared" si="1"/>
        <v>14733</v>
      </c>
    </row>
    <row r="42" spans="1:17" x14ac:dyDescent="0.2">
      <c r="A42" t="s">
        <v>100</v>
      </c>
      <c r="D42">
        <f>'[10]176 Tons'!H68</f>
        <v>0</v>
      </c>
      <c r="E42">
        <f>'[10]176 Tons'!I68</f>
        <v>0</v>
      </c>
      <c r="F42">
        <f>'[10]176 Tons'!J68</f>
        <v>0</v>
      </c>
      <c r="G42">
        <f>'[10]176 Tons'!K68</f>
        <v>0</v>
      </c>
      <c r="H42">
        <f>'[10]176 Tons'!L68</f>
        <v>0</v>
      </c>
      <c r="I42">
        <f>'[10]176 Tons'!M68</f>
        <v>0</v>
      </c>
      <c r="J42">
        <f>'[10]176 Tons'!N68</f>
        <v>0</v>
      </c>
      <c r="K42">
        <f>'[10]176 Tons'!O68</f>
        <v>0</v>
      </c>
      <c r="L42">
        <f>'[11]176 Tons'!D68</f>
        <v>0</v>
      </c>
      <c r="M42">
        <f>'[11]176 Tons'!E68</f>
        <v>0</v>
      </c>
      <c r="N42">
        <f>'[11]176 Tons'!F68</f>
        <v>0</v>
      </c>
      <c r="O42">
        <f>'[11]176 Tons'!G68</f>
        <v>0</v>
      </c>
      <c r="P42" t="str">
        <f t="shared" si="0"/>
        <v>MR</v>
      </c>
      <c r="Q42">
        <f t="shared" si="1"/>
        <v>0</v>
      </c>
    </row>
    <row r="43" spans="1:17" x14ac:dyDescent="0.2">
      <c r="A43" t="s">
        <v>100</v>
      </c>
      <c r="C43" t="s">
        <v>58</v>
      </c>
      <c r="D43">
        <f>'[10]176 Tons'!H69</f>
        <v>87.652281695923151</v>
      </c>
      <c r="E43">
        <f>'[10]176 Tons'!I69</f>
        <v>58.50757626326552</v>
      </c>
      <c r="F43">
        <f>'[10]176 Tons'!J69</f>
        <v>88.269284404372826</v>
      </c>
      <c r="G43">
        <f>'[10]176 Tons'!K69</f>
        <v>55.858525827438186</v>
      </c>
      <c r="H43">
        <f>'[10]176 Tons'!L69</f>
        <v>72.15380187439284</v>
      </c>
      <c r="I43">
        <f>'[10]176 Tons'!M69</f>
        <v>79.233895438574308</v>
      </c>
      <c r="J43">
        <f>'[10]176 Tons'!N69</f>
        <v>72.564870769657105</v>
      </c>
      <c r="K43">
        <f>'[10]176 Tons'!O69</f>
        <v>59.766389820307133</v>
      </c>
      <c r="L43">
        <f>'[11]176 Tons'!D69</f>
        <v>66.239527442239009</v>
      </c>
      <c r="M43">
        <f>'[11]176 Tons'!E69</f>
        <v>62.988523401211559</v>
      </c>
      <c r="N43">
        <f>'[11]176 Tons'!F69</f>
        <v>72.564406629869367</v>
      </c>
      <c r="O43">
        <f>'[11]176 Tons'!G69</f>
        <v>70.942858933109008</v>
      </c>
      <c r="P43" t="str">
        <f t="shared" si="0"/>
        <v>MRRec tons</v>
      </c>
      <c r="Q43">
        <f t="shared" si="1"/>
        <v>846.7419425003601</v>
      </c>
    </row>
    <row r="44" spans="1:17" x14ac:dyDescent="0.2">
      <c r="A44" t="s">
        <v>100</v>
      </c>
      <c r="C44" t="s">
        <v>59</v>
      </c>
      <c r="D44">
        <f>'[10]176 Tons'!H70</f>
        <v>123.56426850629202</v>
      </c>
      <c r="E44">
        <f>'[10]176 Tons'!I70</f>
        <v>135.7458865088139</v>
      </c>
      <c r="F44">
        <f>'[10]176 Tons'!J70</f>
        <v>74.601306896747062</v>
      </c>
      <c r="G44">
        <f>'[10]176 Tons'!K70</f>
        <v>10.69520912488499</v>
      </c>
      <c r="H44">
        <f>'[10]176 Tons'!L70</f>
        <v>37.301397226730089</v>
      </c>
      <c r="I44">
        <f>'[10]176 Tons'!M70</f>
        <v>49.87780498122995</v>
      </c>
      <c r="J44">
        <f>'[10]176 Tons'!N70</f>
        <v>82.077041257170094</v>
      </c>
      <c r="K44">
        <f>'[10]176 Tons'!O70</f>
        <v>56.42</v>
      </c>
      <c r="L44">
        <f>'[11]176 Tons'!D70</f>
        <v>0.12834040307055461</v>
      </c>
      <c r="M44">
        <f>'[11]176 Tons'!E70</f>
        <v>7.1441016108364272E-2</v>
      </c>
      <c r="N44">
        <f>'[11]176 Tons'!F70</f>
        <v>0.17497447615697315</v>
      </c>
      <c r="O44">
        <f>'[11]176 Tons'!G70</f>
        <v>63.38833488613411</v>
      </c>
      <c r="P44" t="str">
        <f t="shared" si="0"/>
        <v xml:space="preserve">MRYW tons </v>
      </c>
      <c r="Q44">
        <f t="shared" si="1"/>
        <v>634.04600528333799</v>
      </c>
    </row>
    <row r="45" spans="1:17" x14ac:dyDescent="0.2">
      <c r="A45" t="s">
        <v>100</v>
      </c>
      <c r="C45" t="s">
        <v>60</v>
      </c>
      <c r="D45">
        <f>'[10]176 Tons'!H71</f>
        <v>181.16682299127271</v>
      </c>
      <c r="E45">
        <f>'[10]176 Tons'!I71</f>
        <v>171.69774018972996</v>
      </c>
      <c r="F45">
        <f>'[10]176 Tons'!J71</f>
        <v>191.53825161309217</v>
      </c>
      <c r="G45">
        <f>'[10]176 Tons'!K71</f>
        <v>188.45206300310198</v>
      </c>
      <c r="H45">
        <f>'[10]176 Tons'!L71</f>
        <v>184.36316859146274</v>
      </c>
      <c r="I45">
        <f>'[10]176 Tons'!M71</f>
        <v>179.61286474880848</v>
      </c>
      <c r="J45">
        <f>'[10]176 Tons'!N71</f>
        <v>168.74172663542552</v>
      </c>
      <c r="K45">
        <f>'[10]176 Tons'!O71</f>
        <v>174.86857739022045</v>
      </c>
      <c r="L45">
        <f>'[11]176 Tons'!D71</f>
        <v>170.84141335915047</v>
      </c>
      <c r="M45">
        <f>'[11]176 Tons'!E71</f>
        <v>149.9780051936774</v>
      </c>
      <c r="N45">
        <f>'[11]176 Tons'!F71</f>
        <v>159.95633782559517</v>
      </c>
      <c r="O45">
        <f>'[11]176 Tons'!G71</f>
        <v>187.13388193653142</v>
      </c>
      <c r="P45" t="str">
        <f t="shared" si="0"/>
        <v>MRMSW tons</v>
      </c>
      <c r="Q45">
        <f t="shared" si="1"/>
        <v>2108.3508534780685</v>
      </c>
    </row>
    <row r="46" spans="1:17" x14ac:dyDescent="0.2">
      <c r="A46" t="s">
        <v>55</v>
      </c>
      <c r="B46" t="s">
        <v>68</v>
      </c>
      <c r="C46" t="s">
        <v>56</v>
      </c>
      <c r="D46">
        <f>'[10]176 Tons'!H90</f>
        <v>1152</v>
      </c>
      <c r="E46">
        <f>'[10]176 Tons'!I90</f>
        <v>1153</v>
      </c>
      <c r="F46">
        <f>'[10]176 Tons'!J90</f>
        <v>1153</v>
      </c>
      <c r="G46">
        <f>'[10]176 Tons'!K90</f>
        <v>1153</v>
      </c>
      <c r="H46">
        <f>'[10]176 Tons'!L90</f>
        <v>1141</v>
      </c>
      <c r="I46">
        <f>'[10]176 Tons'!M90</f>
        <v>1151</v>
      </c>
      <c r="J46">
        <f>'[10]176 Tons'!N90</f>
        <v>1139</v>
      </c>
      <c r="K46">
        <f>'[10]176 Tons'!O90</f>
        <v>1145</v>
      </c>
      <c r="L46">
        <f>'[11]176 Tons'!D90</f>
        <v>1145</v>
      </c>
      <c r="M46">
        <f>'[11]176 Tons'!E90</f>
        <v>1149</v>
      </c>
      <c r="N46">
        <f>'[11]176 Tons'!F90</f>
        <v>1155</v>
      </c>
      <c r="O46">
        <f>'[11]176 Tons'!G90</f>
        <v>1141</v>
      </c>
      <c r="P46" t="str">
        <f t="shared" si="0"/>
        <v>RREC cust</v>
      </c>
      <c r="Q46">
        <f t="shared" si="1"/>
        <v>13777</v>
      </c>
    </row>
    <row r="47" spans="1:17" x14ac:dyDescent="0.2">
      <c r="A47" t="s">
        <v>55</v>
      </c>
      <c r="C47" t="s">
        <v>57</v>
      </c>
      <c r="D47">
        <f>'[10]176 Tons'!H91</f>
        <v>528</v>
      </c>
      <c r="E47">
        <f>'[10]176 Tons'!I91</f>
        <v>525</v>
      </c>
      <c r="F47">
        <f>'[10]176 Tons'!J91</f>
        <v>525</v>
      </c>
      <c r="G47">
        <f>'[10]176 Tons'!K91</f>
        <v>518</v>
      </c>
      <c r="H47">
        <f>'[10]176 Tons'!L91</f>
        <v>511</v>
      </c>
      <c r="I47">
        <f>'[10]176 Tons'!M91</f>
        <v>515</v>
      </c>
      <c r="J47">
        <f>'[10]176 Tons'!N91</f>
        <v>508</v>
      </c>
      <c r="K47">
        <f>'[10]176 Tons'!O91</f>
        <v>512</v>
      </c>
      <c r="L47">
        <f>'[11]176 Tons'!D91</f>
        <v>508</v>
      </c>
      <c r="M47">
        <f>'[11]176 Tons'!E91</f>
        <v>507</v>
      </c>
      <c r="N47">
        <f>'[11]176 Tons'!F91</f>
        <v>519</v>
      </c>
      <c r="O47">
        <f>'[11]176 Tons'!G91</f>
        <v>525</v>
      </c>
      <c r="P47" t="str">
        <f t="shared" si="0"/>
        <v>RYW cust</v>
      </c>
      <c r="Q47">
        <f t="shared" si="1"/>
        <v>6201</v>
      </c>
    </row>
    <row r="48" spans="1:17" x14ac:dyDescent="0.2">
      <c r="A48" t="s">
        <v>55</v>
      </c>
      <c r="D48">
        <f>'[10]176 Tons'!H92</f>
        <v>0</v>
      </c>
      <c r="E48">
        <f>'[10]176 Tons'!I92</f>
        <v>0</v>
      </c>
      <c r="F48">
        <f>'[10]176 Tons'!J92</f>
        <v>0</v>
      </c>
      <c r="G48">
        <f>'[10]176 Tons'!K92</f>
        <v>0</v>
      </c>
      <c r="H48">
        <f>'[10]176 Tons'!L92</f>
        <v>0</v>
      </c>
      <c r="I48">
        <f>'[10]176 Tons'!M92</f>
        <v>0</v>
      </c>
      <c r="J48">
        <f>'[10]176 Tons'!N92</f>
        <v>0</v>
      </c>
      <c r="K48">
        <f>'[10]176 Tons'!O92</f>
        <v>0</v>
      </c>
      <c r="L48">
        <f>'[11]176 Tons'!D92</f>
        <v>0</v>
      </c>
      <c r="M48">
        <f>'[11]176 Tons'!E92</f>
        <v>0</v>
      </c>
      <c r="N48">
        <f>'[11]176 Tons'!F92</f>
        <v>0</v>
      </c>
      <c r="O48">
        <f>'[11]176 Tons'!G92</f>
        <v>0</v>
      </c>
      <c r="P48" t="str">
        <f t="shared" si="0"/>
        <v>R</v>
      </c>
      <c r="Q48">
        <f t="shared" si="1"/>
        <v>0</v>
      </c>
    </row>
    <row r="49" spans="1:17" x14ac:dyDescent="0.2">
      <c r="A49" t="s">
        <v>55</v>
      </c>
      <c r="C49" t="s">
        <v>58</v>
      </c>
      <c r="D49">
        <f>'[10]176 Tons'!H93</f>
        <v>40.217487172240773</v>
      </c>
      <c r="E49">
        <f>'[10]176 Tons'!I93</f>
        <v>23.100847772697772</v>
      </c>
      <c r="F49">
        <f>'[10]176 Tons'!J93</f>
        <v>24.30620103591999</v>
      </c>
      <c r="G49">
        <f>'[10]176 Tons'!K93</f>
        <v>34.187550519622384</v>
      </c>
      <c r="H49">
        <f>'[10]176 Tons'!L93</f>
        <v>32.196366744478716</v>
      </c>
      <c r="I49">
        <f>'[10]176 Tons'!M93</f>
        <v>40.943982568045236</v>
      </c>
      <c r="J49">
        <f>'[10]176 Tons'!N93</f>
        <v>33.431018691577925</v>
      </c>
      <c r="K49">
        <f>'[10]176 Tons'!O93</f>
        <v>31.052311054743328</v>
      </c>
      <c r="L49">
        <f>'[11]176 Tons'!D93</f>
        <v>30.011134695738114</v>
      </c>
      <c r="M49">
        <f>'[11]176 Tons'!E93</f>
        <v>28.888945019997795</v>
      </c>
      <c r="N49">
        <f>'[11]176 Tons'!F93</f>
        <v>31.576917497709101</v>
      </c>
      <c r="O49">
        <f>'[11]176 Tons'!G93</f>
        <v>33.144732678391172</v>
      </c>
      <c r="P49" t="str">
        <f t="shared" si="0"/>
        <v>RRec tons</v>
      </c>
      <c r="Q49">
        <f t="shared" si="1"/>
        <v>383.05749545116225</v>
      </c>
    </row>
    <row r="50" spans="1:17" x14ac:dyDescent="0.2">
      <c r="A50" t="s">
        <v>55</v>
      </c>
      <c r="C50" t="s">
        <v>59</v>
      </c>
      <c r="D50">
        <f>'[10]176 Tons'!H94</f>
        <v>57.263574853526322</v>
      </c>
      <c r="E50">
        <f>'[10]176 Tons'!I94</f>
        <v>84.655073251460109</v>
      </c>
      <c r="F50">
        <f>'[10]176 Tons'!J94</f>
        <v>69.162866669809262</v>
      </c>
      <c r="G50">
        <f>'[10]176 Tons'!K94</f>
        <v>41.451254419403945</v>
      </c>
      <c r="H50">
        <f>'[10]176 Tons'!L94</f>
        <v>49.02299787609256</v>
      </c>
      <c r="I50">
        <f>'[10]176 Tons'!M94</f>
        <v>54.4448490025773</v>
      </c>
      <c r="J50">
        <f>'[10]176 Tons'!N94</f>
        <v>45.318424118548755</v>
      </c>
      <c r="K50">
        <f>'[10]176 Tons'!O94</f>
        <v>28.999080518584563</v>
      </c>
      <c r="L50">
        <f>'[11]176 Tons'!D94</f>
        <v>28.642785367345056</v>
      </c>
      <c r="M50">
        <f>'[11]176 Tons'!E94</f>
        <v>16.899625919830534</v>
      </c>
      <c r="N50">
        <f>'[11]176 Tons'!F94</f>
        <v>43.734349393134472</v>
      </c>
      <c r="O50">
        <f>'[11]176 Tons'!G94</f>
        <v>61.31046571358015</v>
      </c>
      <c r="P50" t="str">
        <f t="shared" si="0"/>
        <v xml:space="preserve">RYW tons </v>
      </c>
      <c r="Q50">
        <f t="shared" si="1"/>
        <v>580.90534710389306</v>
      </c>
    </row>
    <row r="51" spans="1:17" x14ac:dyDescent="0.2">
      <c r="A51" t="s">
        <v>55</v>
      </c>
      <c r="C51" t="s">
        <v>60</v>
      </c>
      <c r="D51">
        <f>'[10]176 Tons'!H95</f>
        <v>66.36443432392015</v>
      </c>
      <c r="E51">
        <f>'[10]176 Tons'!I95</f>
        <v>62.747945757203865</v>
      </c>
      <c r="F51">
        <f>'[10]176 Tons'!J95</f>
        <v>75.73095159418375</v>
      </c>
      <c r="G51">
        <f>'[10]176 Tons'!K95</f>
        <v>70.583493105392705</v>
      </c>
      <c r="H51">
        <f>'[10]176 Tons'!L95</f>
        <v>72.880951575524335</v>
      </c>
      <c r="I51">
        <f>'[10]176 Tons'!M95</f>
        <v>84.990679665510697</v>
      </c>
      <c r="J51">
        <f>'[10]176 Tons'!N95</f>
        <v>75.393403746858851</v>
      </c>
      <c r="K51">
        <f>'[10]176 Tons'!O95</f>
        <v>67.56450947871619</v>
      </c>
      <c r="L51">
        <f>'[11]176 Tons'!D95</f>
        <v>72.768772834569589</v>
      </c>
      <c r="M51">
        <f>'[11]176 Tons'!E95</f>
        <v>64.470987005316815</v>
      </c>
      <c r="N51">
        <f>'[11]176 Tons'!F95</f>
        <v>55.786102084041993</v>
      </c>
      <c r="O51">
        <f>'[11]176 Tons'!G95</f>
        <v>71.802002328155737</v>
      </c>
      <c r="P51" t="str">
        <f t="shared" si="0"/>
        <v>RMSW tons</v>
      </c>
      <c r="Q51">
        <f t="shared" si="1"/>
        <v>841.08423349939471</v>
      </c>
    </row>
    <row r="52" spans="1:17" x14ac:dyDescent="0.2">
      <c r="A52" t="s">
        <v>55</v>
      </c>
      <c r="B52" t="s">
        <v>61</v>
      </c>
      <c r="C52" t="s">
        <v>56</v>
      </c>
      <c r="D52">
        <f>'[10]176 Tons'!H114</f>
        <v>17909</v>
      </c>
      <c r="E52">
        <f>'[10]176 Tons'!I114</f>
        <v>17964</v>
      </c>
      <c r="F52">
        <f>'[10]176 Tons'!J114</f>
        <v>17877</v>
      </c>
      <c r="G52">
        <f>'[10]176 Tons'!K114</f>
        <v>17930</v>
      </c>
      <c r="H52">
        <f>'[10]176 Tons'!L114</f>
        <v>17839</v>
      </c>
      <c r="I52">
        <f>'[10]176 Tons'!M114</f>
        <v>17954</v>
      </c>
      <c r="J52">
        <f>'[10]176 Tons'!N114</f>
        <v>17818</v>
      </c>
      <c r="K52">
        <f>'[10]176 Tons'!O114</f>
        <v>17947</v>
      </c>
      <c r="L52">
        <f>'[11]176 Tons'!D114</f>
        <v>17893</v>
      </c>
      <c r="M52">
        <f>'[11]176 Tons'!E114</f>
        <v>17922</v>
      </c>
      <c r="N52">
        <f>'[11]176 Tons'!F114</f>
        <v>17942</v>
      </c>
      <c r="O52">
        <f>'[11]176 Tons'!G114</f>
        <v>17982</v>
      </c>
      <c r="P52" t="str">
        <f t="shared" si="0"/>
        <v>RREC cust</v>
      </c>
      <c r="Q52">
        <f t="shared" si="1"/>
        <v>214977</v>
      </c>
    </row>
    <row r="53" spans="1:17" x14ac:dyDescent="0.2">
      <c r="A53" t="s">
        <v>55</v>
      </c>
      <c r="C53" t="s">
        <v>57</v>
      </c>
      <c r="D53">
        <f>'[10]176 Tons'!H115</f>
        <v>5535</v>
      </c>
      <c r="E53">
        <f>'[10]176 Tons'!I115</f>
        <v>5597</v>
      </c>
      <c r="F53">
        <f>'[10]176 Tons'!J115</f>
        <v>5601</v>
      </c>
      <c r="G53">
        <f>'[10]176 Tons'!K115</f>
        <v>5659</v>
      </c>
      <c r="H53">
        <f>'[10]176 Tons'!L115</f>
        <v>5577</v>
      </c>
      <c r="I53">
        <f>'[10]176 Tons'!M115</f>
        <v>5573</v>
      </c>
      <c r="J53">
        <f>'[10]176 Tons'!N115</f>
        <v>5520</v>
      </c>
      <c r="K53">
        <f>'[10]176 Tons'!O115</f>
        <v>5527</v>
      </c>
      <c r="L53">
        <f>'[11]176 Tons'!D115</f>
        <v>5501</v>
      </c>
      <c r="M53">
        <f>'[11]176 Tons'!E115</f>
        <v>5517</v>
      </c>
      <c r="N53">
        <f>'[11]176 Tons'!F115</f>
        <v>5571</v>
      </c>
      <c r="O53">
        <f>'[11]176 Tons'!G115</f>
        <v>5667</v>
      </c>
      <c r="P53" t="str">
        <f t="shared" si="0"/>
        <v>RYW cust</v>
      </c>
      <c r="Q53">
        <f t="shared" si="1"/>
        <v>66845</v>
      </c>
    </row>
    <row r="54" spans="1:17" x14ac:dyDescent="0.2">
      <c r="A54" t="s">
        <v>55</v>
      </c>
      <c r="D54">
        <f>'[10]176 Tons'!H116</f>
        <v>0</v>
      </c>
      <c r="E54">
        <f>'[10]176 Tons'!I116</f>
        <v>0</v>
      </c>
      <c r="F54">
        <f>'[10]176 Tons'!J116</f>
        <v>0</v>
      </c>
      <c r="G54">
        <f>'[10]176 Tons'!K116</f>
        <v>0</v>
      </c>
      <c r="H54">
        <f>'[10]176 Tons'!L116</f>
        <v>0</v>
      </c>
      <c r="I54">
        <f>'[10]176 Tons'!M116</f>
        <v>0</v>
      </c>
      <c r="J54">
        <f>'[10]176 Tons'!N116</f>
        <v>0</v>
      </c>
      <c r="K54">
        <f>'[10]176 Tons'!O116</f>
        <v>0</v>
      </c>
      <c r="L54">
        <f>'[11]176 Tons'!D116</f>
        <v>0</v>
      </c>
      <c r="M54">
        <f>'[11]176 Tons'!E116</f>
        <v>0</v>
      </c>
      <c r="N54">
        <f>'[11]176 Tons'!F116</f>
        <v>0</v>
      </c>
      <c r="O54">
        <f>'[11]176 Tons'!G116</f>
        <v>0</v>
      </c>
      <c r="P54" t="str">
        <f t="shared" si="0"/>
        <v>R</v>
      </c>
      <c r="Q54">
        <f t="shared" si="1"/>
        <v>0</v>
      </c>
    </row>
    <row r="55" spans="1:17" x14ac:dyDescent="0.2">
      <c r="A55" t="s">
        <v>55</v>
      </c>
      <c r="C55" t="s">
        <v>58</v>
      </c>
      <c r="D55">
        <f>'[10]176 Tons'!H117</f>
        <v>559.58586543842512</v>
      </c>
      <c r="E55">
        <f>'[10]176 Tons'!I117</f>
        <v>484.34223931179253</v>
      </c>
      <c r="F55">
        <f>'[10]176 Tons'!J117</f>
        <v>541.85120501213555</v>
      </c>
      <c r="G55">
        <f>'[10]176 Tons'!K117</f>
        <v>526.63910474905219</v>
      </c>
      <c r="H55">
        <f>'[10]176 Tons'!L117</f>
        <v>530.49534518679047</v>
      </c>
      <c r="I55">
        <f>'[10]176 Tons'!M117</f>
        <v>529.35970924907713</v>
      </c>
      <c r="J55">
        <f>'[10]176 Tons'!N117</f>
        <v>484.53215122710372</v>
      </c>
      <c r="K55">
        <f>'[10]176 Tons'!O117</f>
        <v>540.86836495138925</v>
      </c>
      <c r="L55">
        <f>'[11]176 Tons'!D117</f>
        <v>612.34064522051392</v>
      </c>
      <c r="M55">
        <f>'[11]176 Tons'!E117</f>
        <v>447.9939001634234</v>
      </c>
      <c r="N55">
        <f>'[11]176 Tons'!F117</f>
        <v>487.65370245924686</v>
      </c>
      <c r="O55">
        <f>'[11]176 Tons'!G117</f>
        <v>542.32027697054968</v>
      </c>
      <c r="P55" t="str">
        <f t="shared" si="0"/>
        <v>RRec tons</v>
      </c>
      <c r="Q55">
        <f t="shared" si="1"/>
        <v>6287.9825099395002</v>
      </c>
    </row>
    <row r="56" spans="1:17" x14ac:dyDescent="0.2">
      <c r="A56" t="s">
        <v>55</v>
      </c>
      <c r="C56" t="s">
        <v>59</v>
      </c>
      <c r="D56">
        <f>'[10]176 Tons'!H118</f>
        <v>534.8238681849906</v>
      </c>
      <c r="E56">
        <f>'[10]176 Tons'!I118</f>
        <v>569.63626152173458</v>
      </c>
      <c r="F56">
        <f>'[10]176 Tons'!J118</f>
        <v>494.73474744669528</v>
      </c>
      <c r="G56">
        <f>'[10]176 Tons'!K118</f>
        <v>419.00495824168809</v>
      </c>
      <c r="H56">
        <f>'[10]176 Tons'!L118</f>
        <v>446.97787651389137</v>
      </c>
      <c r="I56">
        <f>'[10]176 Tons'!M118</f>
        <v>406.33912245112867</v>
      </c>
      <c r="J56">
        <f>'[10]176 Tons'!N118</f>
        <v>523.53580022113636</v>
      </c>
      <c r="K56">
        <f>'[10]176 Tons'!O118</f>
        <v>295.64500912520742</v>
      </c>
      <c r="L56">
        <f>'[11]176 Tons'!D118</f>
        <v>238.04012845878293</v>
      </c>
      <c r="M56">
        <f>'[11]176 Tons'!E118</f>
        <v>158.3482291629546</v>
      </c>
      <c r="N56">
        <f>'[11]176 Tons'!F118</f>
        <v>339.86979810005704</v>
      </c>
      <c r="O56">
        <f>'[11]176 Tons'!G118</f>
        <v>521.70911425324812</v>
      </c>
      <c r="P56" t="str">
        <f t="shared" si="0"/>
        <v xml:space="preserve">RYW tons </v>
      </c>
      <c r="Q56">
        <f t="shared" si="1"/>
        <v>4948.6649136815149</v>
      </c>
    </row>
    <row r="57" spans="1:17" x14ac:dyDescent="0.2">
      <c r="A57" t="s">
        <v>55</v>
      </c>
      <c r="C57" t="s">
        <v>60</v>
      </c>
      <c r="D57">
        <f>'[10]176 Tons'!H119</f>
        <v>1180.3349004385116</v>
      </c>
      <c r="E57">
        <f>'[10]176 Tons'!I119</f>
        <v>1107.5511549700541</v>
      </c>
      <c r="F57">
        <f>'[10]176 Tons'!J119</f>
        <v>1338.9467021145304</v>
      </c>
      <c r="G57">
        <f>'[10]176 Tons'!K119</f>
        <v>1193.0292750597989</v>
      </c>
      <c r="H57">
        <f>'[10]176 Tons'!L119</f>
        <v>1150.9977070525433</v>
      </c>
      <c r="I57">
        <f>'[10]176 Tons'!M119</f>
        <v>1151.6753163351998</v>
      </c>
      <c r="J57">
        <f>'[10]176 Tons'!N119</f>
        <v>1108.0682134264052</v>
      </c>
      <c r="K57">
        <f>'[10]176 Tons'!O119</f>
        <v>1109.3857763130484</v>
      </c>
      <c r="L57">
        <f>'[11]176 Tons'!D119</f>
        <v>1178.1405106832819</v>
      </c>
      <c r="M57">
        <f>'[11]176 Tons'!E119</f>
        <v>971.41903935153925</v>
      </c>
      <c r="N57">
        <f>'[11]176 Tons'!F119</f>
        <v>1070.0516897887273</v>
      </c>
      <c r="O57">
        <f>'[11]176 Tons'!G119</f>
        <v>1110.3114790369725</v>
      </c>
      <c r="P57" t="str">
        <f t="shared" si="0"/>
        <v>RMSW tons</v>
      </c>
      <c r="Q57">
        <f t="shared" si="1"/>
        <v>13669.911764570614</v>
      </c>
    </row>
    <row r="58" spans="1:17" x14ac:dyDescent="0.2">
      <c r="A58" t="s">
        <v>65</v>
      </c>
      <c r="B58" t="s">
        <v>69</v>
      </c>
      <c r="C58" t="s">
        <v>56</v>
      </c>
      <c r="D58">
        <f>'[10]176 Tons'!H138</f>
        <v>4568</v>
      </c>
      <c r="E58">
        <f>'[10]176 Tons'!I138</f>
        <v>4603</v>
      </c>
      <c r="P58" t="str">
        <f t="shared" si="0"/>
        <v>NRREC cust</v>
      </c>
      <c r="Q58">
        <f t="shared" si="1"/>
        <v>9171</v>
      </c>
    </row>
    <row r="59" spans="1:17" x14ac:dyDescent="0.2">
      <c r="A59" t="s">
        <v>65</v>
      </c>
      <c r="C59" t="s">
        <v>57</v>
      </c>
      <c r="D59">
        <f>'[10]176 Tons'!H139</f>
        <v>2553</v>
      </c>
      <c r="E59">
        <f>'[10]176 Tons'!I139</f>
        <v>2653</v>
      </c>
      <c r="P59" t="str">
        <f t="shared" si="0"/>
        <v>NRYW cust</v>
      </c>
      <c r="Q59">
        <f t="shared" si="1"/>
        <v>5206</v>
      </c>
    </row>
    <row r="60" spans="1:17" x14ac:dyDescent="0.2">
      <c r="A60" t="s">
        <v>65</v>
      </c>
      <c r="D60">
        <f>'[10]176 Tons'!H140</f>
        <v>0</v>
      </c>
      <c r="E60">
        <f>'[10]176 Tons'!I140</f>
        <v>0</v>
      </c>
      <c r="P60" t="str">
        <f t="shared" si="0"/>
        <v>NR</v>
      </c>
      <c r="Q60">
        <f t="shared" si="1"/>
        <v>0</v>
      </c>
    </row>
    <row r="61" spans="1:17" x14ac:dyDescent="0.2">
      <c r="A61" t="s">
        <v>65</v>
      </c>
      <c r="C61" t="s">
        <v>58</v>
      </c>
      <c r="D61">
        <f>'[10]176 Tons'!H141</f>
        <v>104.43053968993928</v>
      </c>
      <c r="E61">
        <f>'[10]176 Tons'!I141</f>
        <v>110.03645724777121</v>
      </c>
      <c r="P61" t="str">
        <f t="shared" si="0"/>
        <v>NRRec tons</v>
      </c>
      <c r="Q61">
        <f t="shared" si="1"/>
        <v>214.46699693771049</v>
      </c>
    </row>
    <row r="62" spans="1:17" x14ac:dyDescent="0.2">
      <c r="A62" t="s">
        <v>65</v>
      </c>
      <c r="C62" t="s">
        <v>59</v>
      </c>
      <c r="D62">
        <f>'[10]176 Tons'!H142</f>
        <v>131.58346556702929</v>
      </c>
      <c r="E62">
        <f>'[10]176 Tons'!I142</f>
        <v>209.90127648304707</v>
      </c>
      <c r="P62" t="str">
        <f t="shared" si="0"/>
        <v xml:space="preserve">NRYW tons </v>
      </c>
      <c r="Q62">
        <f t="shared" si="1"/>
        <v>341.48474205007636</v>
      </c>
    </row>
    <row r="63" spans="1:17" x14ac:dyDescent="0.2">
      <c r="A63" t="s">
        <v>65</v>
      </c>
      <c r="C63" t="s">
        <v>60</v>
      </c>
      <c r="D63">
        <f>'[10]176 Tons'!H143</f>
        <v>293.55436081288974</v>
      </c>
      <c r="E63">
        <f>'[10]176 Tons'!I143</f>
        <v>260.37565496029123</v>
      </c>
      <c r="P63" t="str">
        <f t="shared" si="0"/>
        <v>NRMSW tons</v>
      </c>
      <c r="Q63">
        <f t="shared" si="1"/>
        <v>553.93001577318091</v>
      </c>
    </row>
    <row r="64" spans="1:17" x14ac:dyDescent="0.2">
      <c r="A64" t="s">
        <v>65</v>
      </c>
      <c r="B64" t="s">
        <v>70</v>
      </c>
      <c r="C64" t="s">
        <v>56</v>
      </c>
      <c r="D64">
        <f>'[10]176 Tons'!H162</f>
        <v>23321</v>
      </c>
      <c r="E64">
        <f>'[10]176 Tons'!I162</f>
        <v>23231</v>
      </c>
      <c r="F64">
        <f>'[10]176 Tons'!J162</f>
        <v>23097</v>
      </c>
      <c r="G64">
        <f>'[10]176 Tons'!K162</f>
        <v>22965</v>
      </c>
      <c r="H64">
        <f>'[10]176 Tons'!L162</f>
        <v>23425</v>
      </c>
      <c r="I64">
        <f>'[10]176 Tons'!M162</f>
        <v>23539</v>
      </c>
      <c r="J64">
        <f>'[10]176 Tons'!N162</f>
        <v>23447</v>
      </c>
      <c r="K64">
        <f>'[10]176 Tons'!O162</f>
        <v>23541</v>
      </c>
      <c r="L64">
        <f>'[11]176 Tons'!D162</f>
        <v>23315</v>
      </c>
      <c r="M64">
        <f>'[11]176 Tons'!E162</f>
        <v>23528</v>
      </c>
      <c r="N64">
        <f>'[11]176 Tons'!F162</f>
        <v>23502</v>
      </c>
      <c r="O64">
        <f>'[11]176 Tons'!G162</f>
        <v>23546</v>
      </c>
      <c r="P64" t="str">
        <f t="shared" si="0"/>
        <v>NRREC cust</v>
      </c>
      <c r="Q64">
        <f t="shared" si="1"/>
        <v>280457</v>
      </c>
    </row>
    <row r="65" spans="1:17" x14ac:dyDescent="0.2">
      <c r="A65" t="s">
        <v>65</v>
      </c>
      <c r="C65" t="s">
        <v>57</v>
      </c>
      <c r="D65">
        <f>'[10]176 Tons'!H163</f>
        <v>22526</v>
      </c>
      <c r="E65">
        <f>'[10]176 Tons'!I163</f>
        <v>22432</v>
      </c>
      <c r="F65">
        <f>'[10]176 Tons'!J163</f>
        <v>22290</v>
      </c>
      <c r="G65">
        <f>'[10]176 Tons'!K163</f>
        <v>22013</v>
      </c>
      <c r="H65">
        <f>'[10]176 Tons'!L163</f>
        <v>22542</v>
      </c>
      <c r="I65">
        <f>'[10]176 Tons'!M163</f>
        <v>22648</v>
      </c>
      <c r="J65">
        <f>'[10]176 Tons'!N163</f>
        <v>22556</v>
      </c>
      <c r="K65">
        <f>'[10]176 Tons'!O163</f>
        <v>22621</v>
      </c>
      <c r="L65">
        <f>'[11]176 Tons'!D163</f>
        <v>22391</v>
      </c>
      <c r="M65">
        <f>'[11]176 Tons'!E163</f>
        <v>22586</v>
      </c>
      <c r="N65">
        <f>'[11]176 Tons'!F163</f>
        <v>22545</v>
      </c>
      <c r="O65">
        <f>'[11]176 Tons'!G163</f>
        <v>22578</v>
      </c>
      <c r="P65" t="str">
        <f t="shared" si="0"/>
        <v>NRYW cust</v>
      </c>
      <c r="Q65">
        <f t="shared" si="1"/>
        <v>269728</v>
      </c>
    </row>
    <row r="66" spans="1:17" x14ac:dyDescent="0.2">
      <c r="A66" t="s">
        <v>65</v>
      </c>
      <c r="D66">
        <f>'[10]176 Tons'!H164</f>
        <v>0</v>
      </c>
      <c r="E66">
        <f>'[10]176 Tons'!I164</f>
        <v>0</v>
      </c>
      <c r="F66">
        <f>'[10]176 Tons'!J164</f>
        <v>0</v>
      </c>
      <c r="G66">
        <f>'[10]176 Tons'!K164</f>
        <v>0</v>
      </c>
      <c r="H66">
        <f>'[10]176 Tons'!L164</f>
        <v>0</v>
      </c>
      <c r="I66">
        <f>'[10]176 Tons'!M164</f>
        <v>0</v>
      </c>
      <c r="J66">
        <f>'[10]176 Tons'!N164</f>
        <v>0</v>
      </c>
      <c r="K66">
        <f>'[10]176 Tons'!O164</f>
        <v>0</v>
      </c>
      <c r="L66">
        <f>'[11]176 Tons'!D164</f>
        <v>0</v>
      </c>
      <c r="M66">
        <f>'[11]176 Tons'!E164</f>
        <v>0</v>
      </c>
      <c r="N66">
        <f>'[11]176 Tons'!F164</f>
        <v>0</v>
      </c>
      <c r="O66">
        <f>'[11]176 Tons'!G164</f>
        <v>0</v>
      </c>
      <c r="P66" t="str">
        <f t="shared" si="0"/>
        <v>NR</v>
      </c>
      <c r="Q66">
        <f t="shared" si="1"/>
        <v>0</v>
      </c>
    </row>
    <row r="67" spans="1:17" x14ac:dyDescent="0.2">
      <c r="A67" t="s">
        <v>65</v>
      </c>
      <c r="C67" t="s">
        <v>58</v>
      </c>
      <c r="D67">
        <f>'[10]176 Tons'!H165</f>
        <v>572.17036868930688</v>
      </c>
      <c r="E67">
        <f>'[10]176 Tons'!I165</f>
        <v>544.28992276585609</v>
      </c>
      <c r="F67">
        <f>'[10]176 Tons'!J165</f>
        <v>613.92759882595124</v>
      </c>
      <c r="G67">
        <f>'[10]176 Tons'!K165</f>
        <v>614.42231245164544</v>
      </c>
      <c r="H67">
        <f>'[10]176 Tons'!L165</f>
        <v>561.23805827042054</v>
      </c>
      <c r="I67">
        <f>'[10]176 Tons'!M165</f>
        <v>562.9248769547138</v>
      </c>
      <c r="J67">
        <f>'[10]176 Tons'!N165</f>
        <v>526.1192638782336</v>
      </c>
      <c r="K67">
        <f>'[10]176 Tons'!O165</f>
        <v>553.15516565987377</v>
      </c>
      <c r="L67">
        <f>'[11]176 Tons'!D165</f>
        <v>694.48154887409726</v>
      </c>
      <c r="M67">
        <f>'[11]176 Tons'!E165</f>
        <v>510.49504915225145</v>
      </c>
      <c r="N67">
        <f>'[11]176 Tons'!F165</f>
        <v>546.56618566516204</v>
      </c>
      <c r="O67">
        <f>'[11]176 Tons'!G165</f>
        <v>579.16724690277726</v>
      </c>
      <c r="P67" t="str">
        <f t="shared" si="0"/>
        <v>NRRec tons</v>
      </c>
      <c r="Q67">
        <f t="shared" si="1"/>
        <v>6878.9575980902891</v>
      </c>
    </row>
    <row r="68" spans="1:17" x14ac:dyDescent="0.2">
      <c r="A68" t="s">
        <v>65</v>
      </c>
      <c r="C68" t="s">
        <v>59</v>
      </c>
      <c r="D68">
        <f>'[10]176 Tons'!H166</f>
        <v>1531.0180410209084</v>
      </c>
      <c r="E68">
        <f>'[10]176 Tons'!I166</f>
        <v>1174.1936249286714</v>
      </c>
      <c r="F68">
        <f>'[10]176 Tons'!J166</f>
        <v>997.35623062977663</v>
      </c>
      <c r="G68">
        <f>'[10]176 Tons'!K166</f>
        <v>677.81616275624231</v>
      </c>
      <c r="H68">
        <f>'[10]176 Tons'!L166</f>
        <v>789.23984119859801</v>
      </c>
      <c r="I68">
        <f>'[10]176 Tons'!M166</f>
        <v>950.81100138929708</v>
      </c>
      <c r="J68">
        <f>'[10]176 Tons'!N166</f>
        <v>939.61736782151945</v>
      </c>
      <c r="K68">
        <f>'[10]176 Tons'!O166</f>
        <v>530.51640720971943</v>
      </c>
      <c r="L68">
        <f>'[11]176 Tons'!D166</f>
        <v>454.71241730031812</v>
      </c>
      <c r="M68">
        <f>'[11]176 Tons'!E166</f>
        <v>307.2146031970243</v>
      </c>
      <c r="N68">
        <f>'[11]176 Tons'!F166</f>
        <v>591.03309379570646</v>
      </c>
      <c r="O68">
        <f>'[11]176 Tons'!G166</f>
        <v>1211.546001111944</v>
      </c>
      <c r="P68" t="str">
        <f t="shared" ref="P68:P131" si="2">CONCATENATE(A68,C68)</f>
        <v xml:space="preserve">NRYW tons </v>
      </c>
      <c r="Q68">
        <f t="shared" ref="Q68:Q131" si="3">SUM(D68:O68)</f>
        <v>10155.074792359726</v>
      </c>
    </row>
    <row r="69" spans="1:17" x14ac:dyDescent="0.2">
      <c r="A69" t="s">
        <v>65</v>
      </c>
      <c r="C69" t="s">
        <v>60</v>
      </c>
      <c r="D69">
        <f>'[10]176 Tons'!H167</f>
        <v>1154.8030514256873</v>
      </c>
      <c r="E69">
        <f>'[10]176 Tons'!I167</f>
        <v>1062.3065302980663</v>
      </c>
      <c r="F69">
        <f>'[10]176 Tons'!J167</f>
        <v>1226.5921370967849</v>
      </c>
      <c r="G69">
        <f>'[10]176 Tons'!K167</f>
        <v>1191.10064228633</v>
      </c>
      <c r="H69">
        <f>'[10]176 Tons'!L167</f>
        <v>1183.6710316807412</v>
      </c>
      <c r="I69">
        <f>'[10]176 Tons'!M167</f>
        <v>1174.0146959983904</v>
      </c>
      <c r="J69">
        <f>'[10]176 Tons'!N167</f>
        <v>1165.2319797817502</v>
      </c>
      <c r="K69">
        <f>'[10]176 Tons'!O167</f>
        <v>1138.9975574384434</v>
      </c>
      <c r="L69">
        <f>'[11]176 Tons'!D167</f>
        <v>1227.1622470717823</v>
      </c>
      <c r="M69">
        <f>'[11]176 Tons'!E167</f>
        <v>983.73351696677855</v>
      </c>
      <c r="N69">
        <f>'[11]176 Tons'!F167</f>
        <v>1089.3542964067933</v>
      </c>
      <c r="O69">
        <f>'[11]176 Tons'!G167</f>
        <v>1190.4847248950543</v>
      </c>
      <c r="P69" t="str">
        <f t="shared" si="2"/>
        <v>NRMSW tons</v>
      </c>
      <c r="Q69">
        <f t="shared" si="3"/>
        <v>13787.452411346601</v>
      </c>
    </row>
    <row r="70" spans="1:17" x14ac:dyDescent="0.2">
      <c r="A70" t="s">
        <v>65</v>
      </c>
      <c r="B70" t="s">
        <v>71</v>
      </c>
      <c r="C70" t="s">
        <v>56</v>
      </c>
      <c r="D70">
        <f>'[10]176 Tons'!H186</f>
        <v>477</v>
      </c>
      <c r="E70">
        <f>'[10]176 Tons'!I186</f>
        <v>479</v>
      </c>
      <c r="F70">
        <f>'[10]176 Tons'!J186</f>
        <v>478</v>
      </c>
      <c r="G70">
        <f>'[10]176 Tons'!K186</f>
        <v>478</v>
      </c>
      <c r="H70">
        <f>'[10]176 Tons'!L186</f>
        <v>521</v>
      </c>
      <c r="I70">
        <f>'[10]176 Tons'!M186</f>
        <v>524</v>
      </c>
      <c r="J70">
        <f>'[10]176 Tons'!N186</f>
        <v>519</v>
      </c>
      <c r="K70">
        <f>'[10]176 Tons'!O186</f>
        <v>525</v>
      </c>
      <c r="L70">
        <f>'[11]176 Tons'!D186</f>
        <v>531</v>
      </c>
      <c r="M70">
        <f>'[11]176 Tons'!E186</f>
        <v>521</v>
      </c>
      <c r="N70">
        <f>'[11]176 Tons'!F186</f>
        <v>527</v>
      </c>
      <c r="O70">
        <f>'[11]176 Tons'!G186</f>
        <v>527</v>
      </c>
      <c r="P70" t="str">
        <f t="shared" si="2"/>
        <v>NRREC cust</v>
      </c>
      <c r="Q70">
        <f t="shared" si="3"/>
        <v>6107</v>
      </c>
    </row>
    <row r="71" spans="1:17" x14ac:dyDescent="0.2">
      <c r="A71" t="s">
        <v>65</v>
      </c>
      <c r="C71" t="s">
        <v>57</v>
      </c>
      <c r="D71">
        <f>'[10]176 Tons'!H187</f>
        <v>332</v>
      </c>
      <c r="E71">
        <f>'[10]176 Tons'!I187</f>
        <v>329</v>
      </c>
      <c r="F71">
        <f>'[10]176 Tons'!J187</f>
        <v>327</v>
      </c>
      <c r="G71">
        <f>'[10]176 Tons'!K187</f>
        <v>331</v>
      </c>
      <c r="H71">
        <f>'[10]176 Tons'!L187</f>
        <v>359</v>
      </c>
      <c r="I71">
        <f>'[10]176 Tons'!M187</f>
        <v>362</v>
      </c>
      <c r="J71">
        <f>'[10]176 Tons'!N187</f>
        <v>356</v>
      </c>
      <c r="K71">
        <f>'[10]176 Tons'!O187</f>
        <v>357</v>
      </c>
      <c r="L71">
        <f>'[11]176 Tons'!D187</f>
        <v>360</v>
      </c>
      <c r="M71">
        <f>'[11]176 Tons'!E187</f>
        <v>354</v>
      </c>
      <c r="N71">
        <f>'[11]176 Tons'!F187</f>
        <v>360</v>
      </c>
      <c r="O71">
        <f>'[11]176 Tons'!G187</f>
        <v>360</v>
      </c>
      <c r="P71" t="str">
        <f t="shared" si="2"/>
        <v>NRYW cust</v>
      </c>
      <c r="Q71">
        <f t="shared" si="3"/>
        <v>4187</v>
      </c>
    </row>
    <row r="72" spans="1:17" x14ac:dyDescent="0.2">
      <c r="A72" t="s">
        <v>65</v>
      </c>
      <c r="D72">
        <f>'[10]176 Tons'!H188</f>
        <v>0</v>
      </c>
      <c r="E72">
        <f>'[10]176 Tons'!I188</f>
        <v>0</v>
      </c>
      <c r="F72">
        <f>'[10]176 Tons'!J188</f>
        <v>0</v>
      </c>
      <c r="G72">
        <f>'[10]176 Tons'!K188</f>
        <v>0</v>
      </c>
      <c r="H72">
        <f>'[10]176 Tons'!L188</f>
        <v>0</v>
      </c>
      <c r="I72">
        <f>'[10]176 Tons'!M188</f>
        <v>0</v>
      </c>
      <c r="J72">
        <f>'[10]176 Tons'!N188</f>
        <v>0</v>
      </c>
      <c r="K72">
        <f>'[10]176 Tons'!O188</f>
        <v>0</v>
      </c>
      <c r="L72">
        <f>'[11]176 Tons'!D188</f>
        <v>0</v>
      </c>
      <c r="M72">
        <f>'[11]176 Tons'!E188</f>
        <v>0</v>
      </c>
      <c r="N72">
        <f>'[11]176 Tons'!F188</f>
        <v>0</v>
      </c>
      <c r="O72">
        <f>'[11]176 Tons'!G188</f>
        <v>0</v>
      </c>
      <c r="P72" t="str">
        <f t="shared" si="2"/>
        <v>NR</v>
      </c>
      <c r="Q72">
        <f t="shared" si="3"/>
        <v>0</v>
      </c>
    </row>
    <row r="73" spans="1:17" x14ac:dyDescent="0.2">
      <c r="A73" t="s">
        <v>65</v>
      </c>
      <c r="C73" t="s">
        <v>58</v>
      </c>
      <c r="D73">
        <f>'[10]176 Tons'!H189</f>
        <v>14.221804239564227</v>
      </c>
      <c r="E73">
        <f>'[10]176 Tons'!I189</f>
        <v>17.316397699276632</v>
      </c>
      <c r="F73">
        <f>'[10]176 Tons'!J189</f>
        <v>23.089780728980557</v>
      </c>
      <c r="G73">
        <f>'[10]176 Tons'!K189</f>
        <v>13.218155461506782</v>
      </c>
      <c r="H73">
        <f>'[10]176 Tons'!L189</f>
        <v>11.270073729641465</v>
      </c>
      <c r="I73">
        <f>'[10]176 Tons'!M189</f>
        <v>20.017708997151907</v>
      </c>
      <c r="J73">
        <f>'[10]176 Tons'!N189</f>
        <v>15.71189613977814</v>
      </c>
      <c r="K73">
        <f>'[10]176 Tons'!O189</f>
        <v>16.167535718397982</v>
      </c>
      <c r="L73">
        <f>'[11]176 Tons'!D189</f>
        <v>15.207799309360921</v>
      </c>
      <c r="M73">
        <f>'[11]176 Tons'!E189</f>
        <v>11.317624288785469</v>
      </c>
      <c r="N73">
        <f>'[11]176 Tons'!F189</f>
        <v>9.6583540012491422</v>
      </c>
      <c r="O73">
        <f>'[11]176 Tons'!G189</f>
        <v>23.677920287612299</v>
      </c>
      <c r="P73" t="str">
        <f t="shared" si="2"/>
        <v>NRRec tons</v>
      </c>
      <c r="Q73">
        <f t="shared" si="3"/>
        <v>190.8750506013055</v>
      </c>
    </row>
    <row r="74" spans="1:17" x14ac:dyDescent="0.2">
      <c r="A74" t="s">
        <v>65</v>
      </c>
      <c r="C74" t="s">
        <v>59</v>
      </c>
      <c r="D74">
        <f>'[10]176 Tons'!H190</f>
        <v>30.995248040890466</v>
      </c>
      <c r="E74">
        <f>'[10]176 Tons'!I190</f>
        <v>19.972121891206861</v>
      </c>
      <c r="F74">
        <f>'[10]176 Tons'!J190</f>
        <v>29.258443611557489</v>
      </c>
      <c r="G74">
        <f>'[10]176 Tons'!K190</f>
        <v>16.604844191528525</v>
      </c>
      <c r="H74">
        <f>'[10]176 Tons'!L190</f>
        <v>21.700290729660953</v>
      </c>
      <c r="I74">
        <f>'[10]176 Tons'!M190</f>
        <v>11.92670049571727</v>
      </c>
      <c r="J74">
        <f>'[10]176 Tons'!N190</f>
        <v>22.353822080050829</v>
      </c>
      <c r="K74">
        <f>'[10]176 Tons'!O190</f>
        <v>25.25932703659976</v>
      </c>
      <c r="L74">
        <f>'[11]176 Tons'!D190</f>
        <v>19.79099960645415</v>
      </c>
      <c r="M74">
        <f>'[11]176 Tons'!E190</f>
        <v>12.059291617473434</v>
      </c>
      <c r="N74">
        <f>'[11]176 Tons'!F190</f>
        <v>26.336696182605266</v>
      </c>
      <c r="O74">
        <f>'[11]176 Tons'!G190</f>
        <v>25.739163715072806</v>
      </c>
      <c r="P74" t="str">
        <f t="shared" si="2"/>
        <v xml:space="preserve">NRYW tons </v>
      </c>
      <c r="Q74">
        <f t="shared" si="3"/>
        <v>261.99694919881784</v>
      </c>
    </row>
    <row r="75" spans="1:17" x14ac:dyDescent="0.2">
      <c r="A75" t="s">
        <v>65</v>
      </c>
      <c r="C75" t="s">
        <v>60</v>
      </c>
      <c r="D75">
        <f>'[10]176 Tons'!H191</f>
        <v>38.815365906295526</v>
      </c>
      <c r="E75">
        <f>'[10]176 Tons'!I191</f>
        <v>24.759859254670744</v>
      </c>
      <c r="F75">
        <f>'[10]176 Tons'!J191</f>
        <v>42.743493061131019</v>
      </c>
      <c r="G75">
        <f>'[10]176 Tons'!K191</f>
        <v>30.938071835703205</v>
      </c>
      <c r="H75">
        <f>'[10]176 Tons'!L191</f>
        <v>35.847130540970959</v>
      </c>
      <c r="I75">
        <f>'[10]176 Tons'!M191</f>
        <v>36.850790417873633</v>
      </c>
      <c r="J75">
        <f>'[10]176 Tons'!N191</f>
        <v>31.669855047934128</v>
      </c>
      <c r="K75">
        <f>'[10]176 Tons'!O191</f>
        <v>34.693026957057327</v>
      </c>
      <c r="L75">
        <f>'[11]176 Tons'!D191</f>
        <v>42.415584375314467</v>
      </c>
      <c r="M75">
        <f>'[11]176 Tons'!E191</f>
        <v>30.228896883866767</v>
      </c>
      <c r="N75">
        <f>'[11]176 Tons'!F191</f>
        <v>35.712556863284192</v>
      </c>
      <c r="O75">
        <f>'[11]176 Tons'!G191</f>
        <v>42.406499522461296</v>
      </c>
      <c r="P75" t="str">
        <f t="shared" si="2"/>
        <v>NRMSW tons</v>
      </c>
      <c r="Q75">
        <f t="shared" si="3"/>
        <v>427.08113066656318</v>
      </c>
    </row>
    <row r="76" spans="1:17" x14ac:dyDescent="0.2">
      <c r="A76" t="s">
        <v>100</v>
      </c>
      <c r="B76" t="s">
        <v>64</v>
      </c>
      <c r="C76" t="s">
        <v>56</v>
      </c>
      <c r="D76">
        <f>'[10]176 Tons'!H211</f>
        <v>2502</v>
      </c>
      <c r="E76">
        <f>'[10]176 Tons'!I211</f>
        <v>2502</v>
      </c>
      <c r="F76">
        <f>'[10]176 Tons'!J211</f>
        <v>2502</v>
      </c>
      <c r="G76">
        <f>'[10]176 Tons'!K211</f>
        <v>2507</v>
      </c>
      <c r="H76">
        <f>'[10]176 Tons'!L211</f>
        <v>2651</v>
      </c>
      <c r="I76">
        <f>'[10]176 Tons'!M211</f>
        <v>2653</v>
      </c>
      <c r="J76">
        <f>'[10]176 Tons'!N211</f>
        <v>2651</v>
      </c>
      <c r="K76">
        <f>'[10]176 Tons'!O211</f>
        <v>2671</v>
      </c>
      <c r="L76">
        <f>'[11]176 Tons'!D211</f>
        <v>2678</v>
      </c>
      <c r="M76">
        <f>'[11]176 Tons'!E211</f>
        <v>2679</v>
      </c>
      <c r="N76">
        <f>'[11]176 Tons'!F211</f>
        <v>2701</v>
      </c>
      <c r="O76">
        <f>'[11]176 Tons'!G211</f>
        <v>2712</v>
      </c>
      <c r="P76" t="str">
        <f t="shared" si="2"/>
        <v>MRREC cust</v>
      </c>
      <c r="Q76">
        <f t="shared" si="3"/>
        <v>31409</v>
      </c>
    </row>
    <row r="77" spans="1:17" x14ac:dyDescent="0.2">
      <c r="A77" t="s">
        <v>100</v>
      </c>
      <c r="C77" t="s">
        <v>57</v>
      </c>
      <c r="D77">
        <f>'[10]176 Tons'!H212</f>
        <v>1375</v>
      </c>
      <c r="E77">
        <f>'[10]176 Tons'!I212</f>
        <v>1395</v>
      </c>
      <c r="F77">
        <f>'[10]176 Tons'!J212</f>
        <v>1401</v>
      </c>
      <c r="G77">
        <f>'[10]176 Tons'!K212</f>
        <v>1405</v>
      </c>
      <c r="H77">
        <f>'[10]176 Tons'!L212</f>
        <v>1480</v>
      </c>
      <c r="I77">
        <f>'[10]176 Tons'!M212</f>
        <v>1478</v>
      </c>
      <c r="J77">
        <f>'[10]176 Tons'!N212</f>
        <v>1463</v>
      </c>
      <c r="K77">
        <f>'[10]176 Tons'!O212</f>
        <v>1462</v>
      </c>
      <c r="L77">
        <f>'[11]176 Tons'!D212</f>
        <v>1451</v>
      </c>
      <c r="M77">
        <f>'[11]176 Tons'!E212</f>
        <v>1449</v>
      </c>
      <c r="N77">
        <f>'[11]176 Tons'!F212</f>
        <v>1477</v>
      </c>
      <c r="O77">
        <f>'[11]176 Tons'!G212</f>
        <v>1536</v>
      </c>
      <c r="P77" t="str">
        <f t="shared" si="2"/>
        <v>MRYW cust</v>
      </c>
      <c r="Q77">
        <f t="shared" si="3"/>
        <v>17372</v>
      </c>
    </row>
    <row r="78" spans="1:17" x14ac:dyDescent="0.2">
      <c r="A78" t="s">
        <v>100</v>
      </c>
      <c r="D78">
        <f>'[10]176 Tons'!H213</f>
        <v>0</v>
      </c>
      <c r="E78">
        <f>'[10]176 Tons'!I213</f>
        <v>0</v>
      </c>
      <c r="F78">
        <f>'[10]176 Tons'!J213</f>
        <v>0</v>
      </c>
      <c r="G78">
        <f>'[10]176 Tons'!K213</f>
        <v>0</v>
      </c>
      <c r="H78">
        <f>'[10]176 Tons'!L213</f>
        <v>0</v>
      </c>
      <c r="I78">
        <f>'[10]176 Tons'!M213</f>
        <v>0</v>
      </c>
      <c r="J78">
        <f>'[10]176 Tons'!N213</f>
        <v>0</v>
      </c>
      <c r="K78">
        <f>'[10]176 Tons'!O213</f>
        <v>0</v>
      </c>
      <c r="L78">
        <f>'[11]176 Tons'!D213</f>
        <v>0</v>
      </c>
      <c r="M78">
        <f>'[11]176 Tons'!E213</f>
        <v>0</v>
      </c>
      <c r="N78">
        <f>'[11]176 Tons'!F213</f>
        <v>0</v>
      </c>
      <c r="O78">
        <f>'[11]176 Tons'!G213</f>
        <v>0</v>
      </c>
      <c r="P78" t="str">
        <f t="shared" si="2"/>
        <v>MR</v>
      </c>
      <c r="Q78">
        <f t="shared" si="3"/>
        <v>0</v>
      </c>
    </row>
    <row r="79" spans="1:17" x14ac:dyDescent="0.2">
      <c r="A79" t="s">
        <v>100</v>
      </c>
      <c r="C79" t="s">
        <v>58</v>
      </c>
      <c r="D79">
        <f>'[10]176 Tons'!H214</f>
        <v>66.674626248369535</v>
      </c>
      <c r="E79">
        <f>'[10]176 Tons'!I214</f>
        <v>61.676615227305128</v>
      </c>
      <c r="F79">
        <f>'[10]176 Tons'!J214</f>
        <v>86.848399464293919</v>
      </c>
      <c r="G79">
        <f>'[10]176 Tons'!K214</f>
        <v>74.136527571275849</v>
      </c>
      <c r="H79">
        <f>'[10]176 Tons'!L214</f>
        <v>62.212661227870313</v>
      </c>
      <c r="I79">
        <f>'[10]176 Tons'!M214</f>
        <v>64.626748611299192</v>
      </c>
      <c r="J79">
        <f>'[10]176 Tons'!N214</f>
        <v>59.504610979907135</v>
      </c>
      <c r="K79">
        <f>'[10]176 Tons'!O214</f>
        <v>81.20225028569368</v>
      </c>
      <c r="L79">
        <f>'[11]176 Tons'!D214</f>
        <v>99.324505203571704</v>
      </c>
      <c r="M79">
        <f>'[11]176 Tons'!E214</f>
        <v>62.886829456668664</v>
      </c>
      <c r="N79">
        <f>'[11]176 Tons'!F214</f>
        <v>61.186874902644583</v>
      </c>
      <c r="O79">
        <f>'[11]176 Tons'!G214</f>
        <v>66.220801123663236</v>
      </c>
      <c r="P79" t="str">
        <f t="shared" si="2"/>
        <v>MRRec tons</v>
      </c>
      <c r="Q79">
        <f t="shared" si="3"/>
        <v>846.50145030256294</v>
      </c>
    </row>
    <row r="80" spans="1:17" x14ac:dyDescent="0.2">
      <c r="A80" t="s">
        <v>100</v>
      </c>
      <c r="C80" t="s">
        <v>59</v>
      </c>
      <c r="D80">
        <f>'[10]176 Tons'!H215</f>
        <v>162.23953956674609</v>
      </c>
      <c r="E80">
        <f>'[10]176 Tons'!I215</f>
        <v>118.26133900258738</v>
      </c>
      <c r="F80">
        <f>'[10]176 Tons'!J215</f>
        <v>100.22649356715598</v>
      </c>
      <c r="G80">
        <f>'[10]176 Tons'!K215</f>
        <v>86.230077385555219</v>
      </c>
      <c r="H80">
        <f>'[10]176 Tons'!L215</f>
        <v>92.435665962572756</v>
      </c>
      <c r="I80">
        <f>'[10]176 Tons'!M215</f>
        <v>94.273213447190216</v>
      </c>
      <c r="J80">
        <f>'[10]176 Tons'!N215</f>
        <v>102.62306063835014</v>
      </c>
      <c r="K80">
        <f>'[10]176 Tons'!O215</f>
        <v>44.08872123646352</v>
      </c>
      <c r="L80">
        <f>'[11]176 Tons'!D215</f>
        <v>46.884662225670077</v>
      </c>
      <c r="M80">
        <f>'[11]176 Tons'!E215</f>
        <v>34.99770977546946</v>
      </c>
      <c r="N80">
        <f>'[11]176 Tons'!F215</f>
        <v>74.304118809214174</v>
      </c>
      <c r="O80">
        <f>'[11]176 Tons'!G215</f>
        <v>136.99633877015609</v>
      </c>
      <c r="P80" t="str">
        <f t="shared" si="2"/>
        <v xml:space="preserve">MRYW tons </v>
      </c>
      <c r="Q80">
        <f t="shared" si="3"/>
        <v>1093.560940387131</v>
      </c>
    </row>
    <row r="81" spans="1:17" x14ac:dyDescent="0.2">
      <c r="A81" t="s">
        <v>100</v>
      </c>
      <c r="C81" t="s">
        <v>60</v>
      </c>
      <c r="D81">
        <f>'[10]176 Tons'!H216</f>
        <v>169.83250587141112</v>
      </c>
      <c r="E81">
        <f>'[10]176 Tons'!I216</f>
        <v>163.85606607362482</v>
      </c>
      <c r="F81">
        <f>'[10]176 Tons'!J216</f>
        <v>135.45996466972804</v>
      </c>
      <c r="G81">
        <f>'[10]176 Tons'!K216</f>
        <v>150.91529420668306</v>
      </c>
      <c r="H81">
        <f>'[10]176 Tons'!L216</f>
        <v>146.32972156260456</v>
      </c>
      <c r="I81">
        <f>'[10]176 Tons'!M216</f>
        <v>149.36903641447827</v>
      </c>
      <c r="J81">
        <f>'[10]176 Tons'!N216</f>
        <v>145.35858780826345</v>
      </c>
      <c r="K81">
        <f>'[10]176 Tons'!O216</f>
        <v>145.55538123427735</v>
      </c>
      <c r="L81">
        <f>'[11]176 Tons'!D216</f>
        <v>161.70796231133863</v>
      </c>
      <c r="M81">
        <f>'[11]176 Tons'!E216</f>
        <v>129.79788460779673</v>
      </c>
      <c r="N81">
        <f>'[11]176 Tons'!F216</f>
        <v>139.63426682612953</v>
      </c>
      <c r="O81">
        <f>'[11]176 Tons'!G216</f>
        <v>157.7863986948598</v>
      </c>
      <c r="P81" t="str">
        <f t="shared" si="2"/>
        <v>MRMSW tons</v>
      </c>
      <c r="Q81">
        <f t="shared" si="3"/>
        <v>1795.6030702811954</v>
      </c>
    </row>
    <row r="82" spans="1:17" x14ac:dyDescent="0.2">
      <c r="A82" t="s">
        <v>55</v>
      </c>
      <c r="B82" t="s">
        <v>72</v>
      </c>
      <c r="C82" t="s">
        <v>56</v>
      </c>
      <c r="D82">
        <f>'[12]ES TONS'!H63</f>
        <v>156</v>
      </c>
      <c r="E82">
        <f>'[12]ES TONS'!I63</f>
        <v>156</v>
      </c>
      <c r="F82">
        <f>'[12]ES TONS'!J63</f>
        <v>151</v>
      </c>
      <c r="G82">
        <f>'[12]ES TONS'!K63</f>
        <v>153</v>
      </c>
      <c r="H82">
        <f>'[12]ES TONS'!L63</f>
        <v>154</v>
      </c>
      <c r="I82">
        <f>'[12]ES TONS'!M63</f>
        <v>155</v>
      </c>
      <c r="J82">
        <f>'[12]ES TONS'!N63</f>
        <v>154</v>
      </c>
      <c r="K82">
        <f>'[12]ES TONS'!O63</f>
        <v>153</v>
      </c>
      <c r="L82">
        <f>'[13]ES TONS'!D63</f>
        <v>147</v>
      </c>
      <c r="M82">
        <f>'[13]ES TONS'!E63</f>
        <v>148</v>
      </c>
      <c r="N82">
        <f>'[13]ES TONS'!F63</f>
        <v>151</v>
      </c>
      <c r="O82">
        <f>'[13]ES TONS'!G63</f>
        <v>150</v>
      </c>
      <c r="P82" t="str">
        <f t="shared" si="2"/>
        <v>RREC cust</v>
      </c>
      <c r="Q82">
        <f t="shared" si="3"/>
        <v>1828</v>
      </c>
    </row>
    <row r="83" spans="1:17" x14ac:dyDescent="0.2">
      <c r="A83" t="s">
        <v>55</v>
      </c>
      <c r="C83" t="s">
        <v>57</v>
      </c>
      <c r="D83">
        <f>'[12]ES TONS'!H64</f>
        <v>90</v>
      </c>
      <c r="E83">
        <f>'[12]ES TONS'!I64</f>
        <v>90</v>
      </c>
      <c r="F83">
        <f>'[12]ES TONS'!J64</f>
        <v>88</v>
      </c>
      <c r="G83">
        <f>'[12]ES TONS'!K64</f>
        <v>88</v>
      </c>
      <c r="H83">
        <f>'[12]ES TONS'!L64</f>
        <v>90</v>
      </c>
      <c r="I83">
        <f>'[12]ES TONS'!M64</f>
        <v>91</v>
      </c>
      <c r="J83">
        <f>'[12]ES TONS'!N64</f>
        <v>91</v>
      </c>
      <c r="K83">
        <f>'[12]ES TONS'!O64</f>
        <v>91</v>
      </c>
      <c r="L83">
        <f>'[13]ES TONS'!D64</f>
        <v>89</v>
      </c>
      <c r="M83">
        <f>'[13]ES TONS'!E64</f>
        <v>89</v>
      </c>
      <c r="N83">
        <f>'[13]ES TONS'!F64</f>
        <v>90</v>
      </c>
      <c r="O83">
        <f>'[13]ES TONS'!G64</f>
        <v>89</v>
      </c>
      <c r="P83" t="str">
        <f t="shared" si="2"/>
        <v>RYW cust</v>
      </c>
      <c r="Q83">
        <f t="shared" si="3"/>
        <v>1076</v>
      </c>
    </row>
    <row r="84" spans="1:17" x14ac:dyDescent="0.2">
      <c r="A84" t="s">
        <v>55</v>
      </c>
      <c r="D84">
        <f>'[12]ES TONS'!H65</f>
        <v>0</v>
      </c>
      <c r="E84">
        <f>'[12]ES TONS'!I65</f>
        <v>0</v>
      </c>
      <c r="F84">
        <f>'[12]ES TONS'!J65</f>
        <v>0</v>
      </c>
      <c r="G84">
        <f>'[12]ES TONS'!K65</f>
        <v>0</v>
      </c>
      <c r="H84">
        <f>'[12]ES TONS'!L65</f>
        <v>0</v>
      </c>
      <c r="I84">
        <f>'[12]ES TONS'!M65</f>
        <v>0</v>
      </c>
      <c r="J84">
        <f>'[12]ES TONS'!N65</f>
        <v>0</v>
      </c>
      <c r="K84">
        <f>'[12]ES TONS'!O65</f>
        <v>0</v>
      </c>
      <c r="L84">
        <f>'[13]ES TONS'!D65</f>
        <v>0</v>
      </c>
      <c r="M84">
        <f>'[13]ES TONS'!E65</f>
        <v>0</v>
      </c>
      <c r="N84">
        <f>'[13]ES TONS'!F65</f>
        <v>0</v>
      </c>
      <c r="O84">
        <f>'[13]ES TONS'!G65</f>
        <v>0</v>
      </c>
      <c r="P84" t="str">
        <f t="shared" si="2"/>
        <v>R</v>
      </c>
      <c r="Q84">
        <f t="shared" si="3"/>
        <v>0</v>
      </c>
    </row>
    <row r="85" spans="1:17" x14ac:dyDescent="0.2">
      <c r="A85" t="s">
        <v>55</v>
      </c>
      <c r="C85" t="s">
        <v>58</v>
      </c>
      <c r="D85">
        <f>'[12]ES TONS'!H66</f>
        <v>6.30737861314668</v>
      </c>
      <c r="E85">
        <f>'[12]ES TONS'!I66</f>
        <v>6.2803229157282114</v>
      </c>
      <c r="F85">
        <f>'[12]ES TONS'!J66</f>
        <v>5.7638948758435449</v>
      </c>
      <c r="G85">
        <f>'[12]ES TONS'!K66</f>
        <v>8.713856197676682</v>
      </c>
      <c r="H85">
        <f>'[12]ES TONS'!L66</f>
        <v>4.7020675669265097</v>
      </c>
      <c r="I85">
        <f>'[12]ES TONS'!M66</f>
        <v>4.4942821452634201</v>
      </c>
      <c r="J85">
        <f>'[12]ES TONS'!N66</f>
        <v>4.3354716643743254</v>
      </c>
      <c r="K85">
        <f>'[12]ES TONS'!O66</f>
        <v>4.4685133208735897</v>
      </c>
      <c r="L85">
        <f>'[13]ES TONS'!D66</f>
        <v>7.6332360572814562</v>
      </c>
      <c r="M85">
        <f>'[13]ES TONS'!E66</f>
        <v>4.1934774535649453</v>
      </c>
      <c r="N85">
        <f>'[13]ES TONS'!F66</f>
        <v>4.8610067486874788</v>
      </c>
      <c r="O85">
        <f>'[13]ES TONS'!G66</f>
        <v>3.8900009770262165</v>
      </c>
      <c r="P85" t="str">
        <f t="shared" si="2"/>
        <v>RRec tons</v>
      </c>
      <c r="Q85">
        <f t="shared" si="3"/>
        <v>65.643508536393057</v>
      </c>
    </row>
    <row r="86" spans="1:17" x14ac:dyDescent="0.2">
      <c r="A86" t="s">
        <v>55</v>
      </c>
      <c r="C86" t="s">
        <v>59</v>
      </c>
      <c r="D86">
        <f>'[12]ES TONS'!H67</f>
        <v>15.156684806708405</v>
      </c>
      <c r="E86">
        <f>'[12]ES TONS'!I67</f>
        <v>10.639688319316894</v>
      </c>
      <c r="F86">
        <f>'[12]ES TONS'!J67</f>
        <v>7.6079806680290645</v>
      </c>
      <c r="G86">
        <f>'[12]ES TONS'!K67</f>
        <v>8.0058339443938067</v>
      </c>
      <c r="H86">
        <f>'[12]ES TONS'!L67</f>
        <v>8.7258670921014581</v>
      </c>
      <c r="I86">
        <f>'[12]ES TONS'!M67</f>
        <v>11.430920220959123</v>
      </c>
      <c r="J86">
        <f>'[12]ES TONS'!N67</f>
        <v>11.290802165332193</v>
      </c>
      <c r="K86">
        <f>'[12]ES TONS'!O67</f>
        <v>7.6233695953930383</v>
      </c>
      <c r="L86">
        <f>'[13]ES TONS'!D67</f>
        <v>7.6626641461083356</v>
      </c>
      <c r="M86">
        <f>'[13]ES TONS'!E67</f>
        <v>5.0053061741891156</v>
      </c>
      <c r="N86">
        <f>'[13]ES TONS'!F67</f>
        <v>6.4468119452447272</v>
      </c>
      <c r="O86">
        <f>'[13]ES TONS'!G67</f>
        <v>10.449119299599197</v>
      </c>
      <c r="P86" t="str">
        <f t="shared" si="2"/>
        <v xml:space="preserve">RYW tons </v>
      </c>
      <c r="Q86">
        <f t="shared" si="3"/>
        <v>110.04504837737537</v>
      </c>
    </row>
    <row r="87" spans="1:17" x14ac:dyDescent="0.2">
      <c r="A87" t="s">
        <v>55</v>
      </c>
      <c r="C87" t="s">
        <v>60</v>
      </c>
      <c r="D87">
        <f>'[12]ES TONS'!H68</f>
        <v>12.886862577372174</v>
      </c>
      <c r="E87">
        <f>'[12]ES TONS'!I68</f>
        <v>10.550076694190386</v>
      </c>
      <c r="F87">
        <f>'[12]ES TONS'!J68</f>
        <v>10.795649247403189</v>
      </c>
      <c r="G87">
        <f>'[12]ES TONS'!K68</f>
        <v>13.224090820029982</v>
      </c>
      <c r="H87">
        <f>'[12]ES TONS'!L68</f>
        <v>10.627178932758778</v>
      </c>
      <c r="I87">
        <f>'[12]ES TONS'!M68</f>
        <v>11.605262306310623</v>
      </c>
      <c r="J87">
        <f>'[12]ES TONS'!N68</f>
        <v>9.8820436732326602</v>
      </c>
      <c r="K87">
        <f>'[12]ES TONS'!O68</f>
        <v>10.275836738128168</v>
      </c>
      <c r="L87">
        <f>'[13]ES TONS'!D68</f>
        <v>12.086693430332753</v>
      </c>
      <c r="M87">
        <f>'[13]ES TONS'!E68</f>
        <v>8.6641682124586161</v>
      </c>
      <c r="N87">
        <f>'[13]ES TONS'!F68</f>
        <v>9.0105008002561267</v>
      </c>
      <c r="O87">
        <f>'[13]ES TONS'!G68</f>
        <v>8.2500509791463799</v>
      </c>
      <c r="P87" t="str">
        <f t="shared" si="2"/>
        <v>RMSW tons</v>
      </c>
      <c r="Q87">
        <f t="shared" si="3"/>
        <v>127.85841441161983</v>
      </c>
    </row>
    <row r="88" spans="1:17" x14ac:dyDescent="0.2">
      <c r="A88" t="s">
        <v>55</v>
      </c>
      <c r="B88" t="s">
        <v>73</v>
      </c>
      <c r="C88" t="s">
        <v>56</v>
      </c>
      <c r="D88">
        <f>'[12]ES TONS'!H85</f>
        <v>108</v>
      </c>
      <c r="E88">
        <f>'[12]ES TONS'!I85</f>
        <v>108</v>
      </c>
      <c r="F88">
        <f>'[12]ES TONS'!J85</f>
        <v>108</v>
      </c>
      <c r="G88">
        <f>'[12]ES TONS'!K85</f>
        <v>104</v>
      </c>
      <c r="H88">
        <f>'[12]ES TONS'!L85</f>
        <v>107</v>
      </c>
      <c r="I88">
        <f>'[12]ES TONS'!M85</f>
        <v>107</v>
      </c>
      <c r="J88">
        <f>'[12]ES TONS'!N85</f>
        <v>107</v>
      </c>
      <c r="K88">
        <f>'[12]ES TONS'!O85</f>
        <v>107</v>
      </c>
      <c r="L88">
        <f>'[13]ES TONS'!D85</f>
        <v>106</v>
      </c>
      <c r="M88">
        <f>'[13]ES TONS'!E85</f>
        <v>108</v>
      </c>
      <c r="N88">
        <f>'[13]ES TONS'!F85</f>
        <v>108</v>
      </c>
      <c r="O88">
        <f>'[13]ES TONS'!G85</f>
        <v>108</v>
      </c>
      <c r="P88" t="str">
        <f t="shared" si="2"/>
        <v>RREC cust</v>
      </c>
      <c r="Q88">
        <f t="shared" si="3"/>
        <v>1286</v>
      </c>
    </row>
    <row r="89" spans="1:17" x14ac:dyDescent="0.2">
      <c r="A89" t="s">
        <v>55</v>
      </c>
      <c r="C89" t="s">
        <v>57</v>
      </c>
      <c r="D89">
        <f>'[12]ES TONS'!H86</f>
        <v>97</v>
      </c>
      <c r="E89">
        <f>'[12]ES TONS'!I86</f>
        <v>97</v>
      </c>
      <c r="F89">
        <f>'[12]ES TONS'!J86</f>
        <v>97</v>
      </c>
      <c r="G89">
        <f>'[12]ES TONS'!K86</f>
        <v>93</v>
      </c>
      <c r="H89">
        <f>'[12]ES TONS'!L86</f>
        <v>96</v>
      </c>
      <c r="I89">
        <f>'[12]ES TONS'!M86</f>
        <v>96</v>
      </c>
      <c r="J89">
        <f>'[12]ES TONS'!N86</f>
        <v>96</v>
      </c>
      <c r="K89">
        <f>'[12]ES TONS'!O86</f>
        <v>95</v>
      </c>
      <c r="L89">
        <f>'[13]ES TONS'!D86</f>
        <v>94</v>
      </c>
      <c r="M89">
        <f>'[13]ES TONS'!E86</f>
        <v>96</v>
      </c>
      <c r="N89">
        <f>'[13]ES TONS'!F86</f>
        <v>96</v>
      </c>
      <c r="O89">
        <f>'[13]ES TONS'!G86</f>
        <v>98</v>
      </c>
      <c r="P89" t="str">
        <f t="shared" si="2"/>
        <v>RYW cust</v>
      </c>
      <c r="Q89">
        <f t="shared" si="3"/>
        <v>1151</v>
      </c>
    </row>
    <row r="90" spans="1:17" x14ac:dyDescent="0.2">
      <c r="A90" t="s">
        <v>55</v>
      </c>
      <c r="D90">
        <f>'[12]ES TONS'!H87</f>
        <v>0</v>
      </c>
      <c r="E90">
        <f>'[12]ES TONS'!I87</f>
        <v>0</v>
      </c>
      <c r="F90">
        <f>'[12]ES TONS'!J87</f>
        <v>0</v>
      </c>
      <c r="G90">
        <f>'[12]ES TONS'!K87</f>
        <v>0</v>
      </c>
      <c r="H90">
        <f>'[12]ES TONS'!L87</f>
        <v>0</v>
      </c>
      <c r="I90">
        <f>'[12]ES TONS'!M87</f>
        <v>0</v>
      </c>
      <c r="J90">
        <f>'[12]ES TONS'!N87</f>
        <v>0</v>
      </c>
      <c r="K90">
        <f>'[12]ES TONS'!O87</f>
        <v>0</v>
      </c>
      <c r="L90">
        <f>'[13]ES TONS'!D87</f>
        <v>0</v>
      </c>
      <c r="M90">
        <f>'[13]ES TONS'!E87</f>
        <v>0</v>
      </c>
      <c r="N90">
        <f>'[13]ES TONS'!F87</f>
        <v>0</v>
      </c>
      <c r="O90">
        <f>'[13]ES TONS'!G87</f>
        <v>0</v>
      </c>
      <c r="P90" t="str">
        <f t="shared" si="2"/>
        <v>R</v>
      </c>
      <c r="Q90">
        <f t="shared" si="3"/>
        <v>0</v>
      </c>
    </row>
    <row r="91" spans="1:17" x14ac:dyDescent="0.2">
      <c r="A91" t="s">
        <v>55</v>
      </c>
      <c r="C91" t="s">
        <v>58</v>
      </c>
      <c r="D91">
        <f>'[12]ES TONS'!H88</f>
        <v>5.3524370396032239</v>
      </c>
      <c r="E91">
        <f>'[12]ES TONS'!I88</f>
        <v>5.0519105956788115</v>
      </c>
      <c r="F91">
        <f>'[12]ES TONS'!J88</f>
        <v>5.4190900691859492</v>
      </c>
      <c r="G91">
        <f>'[12]ES TONS'!K88</f>
        <v>4.3877983659315287</v>
      </c>
      <c r="H91">
        <f>'[12]ES TONS'!L88</f>
        <v>4.5025109309620337</v>
      </c>
      <c r="I91">
        <f>'[12]ES TONS'!M88</f>
        <v>4.1835898096705568</v>
      </c>
      <c r="J91">
        <f>'[12]ES TONS'!N88</f>
        <v>4.3112089313325139</v>
      </c>
      <c r="K91">
        <f>'[12]ES TONS'!O88</f>
        <v>4.9493339739377058</v>
      </c>
      <c r="L91">
        <f>'[13]ES TONS'!D88</f>
        <v>6.980574165622647</v>
      </c>
      <c r="M91">
        <f>'[13]ES TONS'!E88</f>
        <v>4.7216165791843077</v>
      </c>
      <c r="N91">
        <f>'[13]ES TONS'!F88</f>
        <v>4.6073266044653103</v>
      </c>
      <c r="O91">
        <f>'[13]ES TONS'!G88</f>
        <v>5.2027133940484038</v>
      </c>
      <c r="P91" t="str">
        <f t="shared" si="2"/>
        <v>RRec tons</v>
      </c>
      <c r="Q91">
        <f t="shared" si="3"/>
        <v>59.67011045962299</v>
      </c>
    </row>
    <row r="92" spans="1:17" x14ac:dyDescent="0.2">
      <c r="A92" t="s">
        <v>55</v>
      </c>
      <c r="C92" t="s">
        <v>59</v>
      </c>
      <c r="D92">
        <f>'[12]ES TONS'!H89</f>
        <v>7.6615654956568502</v>
      </c>
      <c r="E92">
        <f>'[12]ES TONS'!I89</f>
        <v>5.3773681878915234</v>
      </c>
      <c r="F92">
        <f>'[12]ES TONS'!J89</f>
        <v>5.1347602643143384</v>
      </c>
      <c r="G92">
        <f>'[12]ES TONS'!K89</f>
        <v>3.3239511856610804</v>
      </c>
      <c r="H92">
        <f>'[12]ES TONS'!L89</f>
        <v>3.9434510532871552</v>
      </c>
      <c r="I92">
        <f>'[12]ES TONS'!M89</f>
        <v>5.3757396965931017</v>
      </c>
      <c r="J92">
        <f>'[12]ES TONS'!N89</f>
        <v>8.4017829443024521</v>
      </c>
      <c r="K92">
        <f>'[12]ES TONS'!O89</f>
        <v>1.9637868695127925</v>
      </c>
      <c r="L92">
        <f>'[13]ES TONS'!D89</f>
        <v>4.0697913016429217</v>
      </c>
      <c r="M92">
        <f>'[13]ES TONS'!E89</f>
        <v>2.3323049032087235</v>
      </c>
      <c r="N92">
        <f>'[13]ES TONS'!F89</f>
        <v>3.6274022366803238</v>
      </c>
      <c r="O92">
        <f>'[13]ES TONS'!G89</f>
        <v>6.212284270755231</v>
      </c>
      <c r="P92" t="str">
        <f t="shared" si="2"/>
        <v xml:space="preserve">RYW tons </v>
      </c>
      <c r="Q92">
        <f t="shared" si="3"/>
        <v>57.424188409506499</v>
      </c>
    </row>
    <row r="93" spans="1:17" x14ac:dyDescent="0.2">
      <c r="A93" t="s">
        <v>55</v>
      </c>
      <c r="C93" t="s">
        <v>60</v>
      </c>
      <c r="D93">
        <f>'[12]ES TONS'!H90</f>
        <v>5.6995630344683654</v>
      </c>
      <c r="E93">
        <f>'[12]ES TONS'!I90</f>
        <v>4.6662441160004828</v>
      </c>
      <c r="F93">
        <f>'[12]ES TONS'!J90</f>
        <v>5.9543677871141751</v>
      </c>
      <c r="G93">
        <f>'[12]ES TONS'!K90</f>
        <v>4.9931286998221545</v>
      </c>
      <c r="H93">
        <f>'[12]ES TONS'!L90</f>
        <v>4.9886780201981713</v>
      </c>
      <c r="I93">
        <f>'[12]ES TONS'!M90</f>
        <v>5.5357783917682939</v>
      </c>
      <c r="J93">
        <f>'[12]ES TONS'!N90</f>
        <v>4.7770261528201212</v>
      </c>
      <c r="K93">
        <f>'[12]ES TONS'!O90</f>
        <v>4.8871295027306685</v>
      </c>
      <c r="L93">
        <f>'[13]ES TONS'!D90</f>
        <v>5.9063609641087078</v>
      </c>
      <c r="M93">
        <f>'[13]ES TONS'!E90</f>
        <v>4.5177481824121593</v>
      </c>
      <c r="N93">
        <f>'[13]ES TONS'!F90</f>
        <v>4.4829345248676802</v>
      </c>
      <c r="O93">
        <f>'[13]ES TONS'!G90</f>
        <v>5.5293304078199679</v>
      </c>
      <c r="P93" t="str">
        <f t="shared" si="2"/>
        <v>RMSW tons</v>
      </c>
      <c r="Q93">
        <f t="shared" si="3"/>
        <v>61.938289784130951</v>
      </c>
    </row>
    <row r="94" spans="1:17" x14ac:dyDescent="0.2">
      <c r="A94" t="s">
        <v>65</v>
      </c>
      <c r="B94" t="s">
        <v>74</v>
      </c>
      <c r="C94" t="s">
        <v>56</v>
      </c>
      <c r="D94">
        <f>'[12]ES TONS'!H107</f>
        <v>3933</v>
      </c>
      <c r="E94">
        <f>'[12]ES TONS'!I107</f>
        <v>3938</v>
      </c>
      <c r="F94">
        <f>'[12]ES TONS'!J107</f>
        <v>3919</v>
      </c>
      <c r="G94">
        <f>'[12]ES TONS'!K107</f>
        <v>3929</v>
      </c>
      <c r="H94">
        <f>'[12]ES TONS'!L107</f>
        <v>3929</v>
      </c>
      <c r="I94">
        <f>'[12]ES TONS'!M107</f>
        <v>3942</v>
      </c>
      <c r="J94">
        <f>'[12]ES TONS'!N107</f>
        <v>3931</v>
      </c>
      <c r="K94">
        <f>'[12]ES TONS'!O107</f>
        <v>3947</v>
      </c>
      <c r="L94">
        <f>'[13]ES TONS'!D107</f>
        <v>3931</v>
      </c>
      <c r="M94">
        <f>'[13]ES TONS'!E107</f>
        <v>3935</v>
      </c>
      <c r="N94">
        <f>'[13]ES TONS'!F107</f>
        <v>3949</v>
      </c>
      <c r="O94">
        <f>'[13]ES TONS'!G107</f>
        <v>3983</v>
      </c>
      <c r="P94" t="str">
        <f t="shared" si="2"/>
        <v>NRREC cust</v>
      </c>
      <c r="Q94">
        <f t="shared" si="3"/>
        <v>47266</v>
      </c>
    </row>
    <row r="95" spans="1:17" x14ac:dyDescent="0.2">
      <c r="A95" t="s">
        <v>65</v>
      </c>
      <c r="C95" t="s">
        <v>57</v>
      </c>
      <c r="D95">
        <f>'[12]ES TONS'!H108</f>
        <v>3655</v>
      </c>
      <c r="E95">
        <f>'[12]ES TONS'!I108</f>
        <v>3663</v>
      </c>
      <c r="F95">
        <f>'[12]ES TONS'!J108</f>
        <v>3650</v>
      </c>
      <c r="G95">
        <f>'[12]ES TONS'!K108</f>
        <v>3664</v>
      </c>
      <c r="H95">
        <f>'[12]ES TONS'!L108</f>
        <v>3686</v>
      </c>
      <c r="I95">
        <f>'[12]ES TONS'!M108</f>
        <v>3771</v>
      </c>
      <c r="J95">
        <f>'[12]ES TONS'!N108</f>
        <v>3786</v>
      </c>
      <c r="K95">
        <f>'[12]ES TONS'!O108</f>
        <v>3805</v>
      </c>
      <c r="L95">
        <f>'[13]ES TONS'!D108</f>
        <v>3794</v>
      </c>
      <c r="M95">
        <f>'[13]ES TONS'!E108</f>
        <v>3801</v>
      </c>
      <c r="N95">
        <f>'[13]ES TONS'!F108</f>
        <v>3820</v>
      </c>
      <c r="O95">
        <f>'[13]ES TONS'!G108</f>
        <v>3859</v>
      </c>
      <c r="P95" t="str">
        <f t="shared" si="2"/>
        <v>NRYW cust</v>
      </c>
      <c r="Q95">
        <f t="shared" si="3"/>
        <v>44954</v>
      </c>
    </row>
    <row r="96" spans="1:17" x14ac:dyDescent="0.2">
      <c r="A96" t="s">
        <v>65</v>
      </c>
      <c r="D96">
        <f>'[12]ES TONS'!H109</f>
        <v>0</v>
      </c>
      <c r="E96">
        <f>'[12]ES TONS'!I109</f>
        <v>0</v>
      </c>
      <c r="F96">
        <f>'[12]ES TONS'!J109</f>
        <v>0</v>
      </c>
      <c r="G96">
        <f>'[12]ES TONS'!K109</f>
        <v>0</v>
      </c>
      <c r="H96">
        <f>'[12]ES TONS'!L109</f>
        <v>0</v>
      </c>
      <c r="I96">
        <f>'[12]ES TONS'!M109</f>
        <v>0</v>
      </c>
      <c r="J96">
        <f>'[12]ES TONS'!N109</f>
        <v>0</v>
      </c>
      <c r="K96">
        <f>'[12]ES TONS'!O109</f>
        <v>0</v>
      </c>
      <c r="L96">
        <f>'[13]ES TONS'!D109</f>
        <v>0</v>
      </c>
      <c r="M96">
        <f>'[13]ES TONS'!E109</f>
        <v>0</v>
      </c>
      <c r="N96">
        <f>'[13]ES TONS'!F109</f>
        <v>0</v>
      </c>
      <c r="O96">
        <f>'[13]ES TONS'!G109</f>
        <v>0</v>
      </c>
      <c r="P96" t="str">
        <f t="shared" si="2"/>
        <v>NR</v>
      </c>
      <c r="Q96">
        <f t="shared" si="3"/>
        <v>0</v>
      </c>
    </row>
    <row r="97" spans="1:17" x14ac:dyDescent="0.2">
      <c r="A97" t="s">
        <v>65</v>
      </c>
      <c r="C97" t="s">
        <v>58</v>
      </c>
      <c r="D97">
        <f>'[12]ES TONS'!H110</f>
        <v>160.62679157537349</v>
      </c>
      <c r="E97">
        <f>'[12]ES TONS'!I110</f>
        <v>133.5931479827336</v>
      </c>
      <c r="F97">
        <f>'[12]ES TONS'!J110</f>
        <v>153.97466291261583</v>
      </c>
      <c r="G97">
        <f>'[12]ES TONS'!K110</f>
        <v>137.67858358683208</v>
      </c>
      <c r="H97">
        <f>'[12]ES TONS'!L110</f>
        <v>124.31886163547929</v>
      </c>
      <c r="I97">
        <f>'[12]ES TONS'!M110</f>
        <v>128.29149643920357</v>
      </c>
      <c r="J97">
        <f>'[12]ES TONS'!N110</f>
        <v>142.51515221774301</v>
      </c>
      <c r="K97">
        <f>'[12]ES TONS'!O110</f>
        <v>162.36762743925001</v>
      </c>
      <c r="L97">
        <f>'[13]ES TONS'!D110</f>
        <v>151.96706911664057</v>
      </c>
      <c r="M97">
        <f>'[13]ES TONS'!E110</f>
        <v>112.78356673414933</v>
      </c>
      <c r="N97">
        <f>'[13]ES TONS'!F110</f>
        <v>118.49254573897545</v>
      </c>
      <c r="O97">
        <f>'[13]ES TONS'!G110</f>
        <v>134.09010730417833</v>
      </c>
      <c r="P97" t="str">
        <f t="shared" si="2"/>
        <v>NRRec tons</v>
      </c>
      <c r="Q97">
        <f t="shared" si="3"/>
        <v>1660.6996126831746</v>
      </c>
    </row>
    <row r="98" spans="1:17" x14ac:dyDescent="0.2">
      <c r="A98" t="s">
        <v>65</v>
      </c>
      <c r="C98" t="s">
        <v>59</v>
      </c>
      <c r="D98">
        <f>'[12]ES TONS'!H111</f>
        <v>316.13424536023729</v>
      </c>
      <c r="E98">
        <f>'[12]ES TONS'!I111</f>
        <v>280.77724144829352</v>
      </c>
      <c r="F98">
        <f>'[12]ES TONS'!J111</f>
        <v>237.61895445204473</v>
      </c>
      <c r="G98">
        <f>'[12]ES TONS'!K111</f>
        <v>190.94073313953308</v>
      </c>
      <c r="H98">
        <f>'[12]ES TONS'!L111</f>
        <v>202.6606990570609</v>
      </c>
      <c r="I98">
        <f>'[12]ES TONS'!M111</f>
        <v>233.86133770350665</v>
      </c>
      <c r="J98">
        <f>'[12]ES TONS'!N111</f>
        <v>414.4421967809526</v>
      </c>
      <c r="K98">
        <f>'[12]ES TONS'!O111</f>
        <v>149.44837385071702</v>
      </c>
      <c r="L98">
        <f>'[13]ES TONS'!D111</f>
        <v>166.78127871858212</v>
      </c>
      <c r="M98">
        <f>'[13]ES TONS'!E111</f>
        <v>114.10738047096633</v>
      </c>
      <c r="N98">
        <f>'[13]ES TONS'!F111</f>
        <v>222.60345349297623</v>
      </c>
      <c r="O98">
        <f>'[13]ES TONS'!G111</f>
        <v>316.94646245622937</v>
      </c>
      <c r="P98" t="str">
        <f t="shared" si="2"/>
        <v xml:space="preserve">NRYW tons </v>
      </c>
      <c r="Q98">
        <f t="shared" si="3"/>
        <v>2846.3223569310994</v>
      </c>
    </row>
    <row r="99" spans="1:17" x14ac:dyDescent="0.2">
      <c r="A99" t="s">
        <v>65</v>
      </c>
      <c r="C99" t="s">
        <v>60</v>
      </c>
      <c r="D99">
        <f>'[12]ES TONS'!H112</f>
        <v>183.37293821991685</v>
      </c>
      <c r="E99">
        <f>'[12]ES TONS'!I112</f>
        <v>168.40068719374892</v>
      </c>
      <c r="F99">
        <f>'[12]ES TONS'!J112</f>
        <v>186.31873730043867</v>
      </c>
      <c r="G99">
        <f>'[12]ES TONS'!K112</f>
        <v>188.29449314130011</v>
      </c>
      <c r="H99">
        <f>'[12]ES TONS'!L112</f>
        <v>174.0045766136854</v>
      </c>
      <c r="I99">
        <f>'[12]ES TONS'!M112</f>
        <v>174.35842926115575</v>
      </c>
      <c r="J99">
        <f>'[12]ES TONS'!N112</f>
        <v>172.46074552536965</v>
      </c>
      <c r="K99">
        <f>'[12]ES TONS'!O112</f>
        <v>168.69159190824138</v>
      </c>
      <c r="L99">
        <f>'[13]ES TONS'!D112</f>
        <v>183.23407823124825</v>
      </c>
      <c r="M99">
        <f>'[13]ES TONS'!E112</f>
        <v>143.66103329089952</v>
      </c>
      <c r="N99">
        <f>'[13]ES TONS'!F112</f>
        <v>157.69639438201037</v>
      </c>
      <c r="O99">
        <f>'[13]ES TONS'!G112</f>
        <v>169.37020792769692</v>
      </c>
      <c r="P99" t="str">
        <f t="shared" si="2"/>
        <v>NRMSW tons</v>
      </c>
      <c r="Q99">
        <f t="shared" si="3"/>
        <v>2069.8639129957119</v>
      </c>
    </row>
    <row r="100" spans="1:17" x14ac:dyDescent="0.2">
      <c r="A100" t="s">
        <v>65</v>
      </c>
      <c r="B100" t="s">
        <v>75</v>
      </c>
      <c r="C100" t="s">
        <v>56</v>
      </c>
      <c r="D100">
        <f>'[12]ES TONS'!H129</f>
        <v>29206</v>
      </c>
      <c r="E100">
        <f>'[12]ES TONS'!I129</f>
        <v>29248</v>
      </c>
      <c r="F100">
        <f>'[12]ES TONS'!J129</f>
        <v>29173</v>
      </c>
      <c r="G100">
        <f>'[12]ES TONS'!K129</f>
        <v>29178</v>
      </c>
      <c r="H100">
        <f>'[12]ES TONS'!L129</f>
        <v>29352</v>
      </c>
      <c r="I100">
        <f>'[12]ES TONS'!M129</f>
        <v>29351</v>
      </c>
      <c r="J100">
        <f>'[12]ES TONS'!N129</f>
        <v>29202</v>
      </c>
      <c r="K100">
        <f>'[12]ES TONS'!O129</f>
        <v>29340</v>
      </c>
      <c r="L100">
        <f>'[13]ES TONS'!D129</f>
        <v>29178</v>
      </c>
      <c r="M100">
        <f>'[13]ES TONS'!E129</f>
        <v>29195</v>
      </c>
      <c r="N100">
        <f>'[13]ES TONS'!F129</f>
        <v>29261</v>
      </c>
      <c r="O100">
        <f>'[13]ES TONS'!G129</f>
        <v>29358</v>
      </c>
      <c r="P100" t="str">
        <f t="shared" si="2"/>
        <v>NRREC cust</v>
      </c>
      <c r="Q100">
        <f t="shared" si="3"/>
        <v>351042</v>
      </c>
    </row>
    <row r="101" spans="1:17" x14ac:dyDescent="0.2">
      <c r="A101" t="s">
        <v>65</v>
      </c>
      <c r="C101" t="s">
        <v>57</v>
      </c>
      <c r="D101">
        <f>'[12]ES TONS'!H130</f>
        <v>26403</v>
      </c>
      <c r="E101">
        <f>'[12]ES TONS'!I130</f>
        <v>26456</v>
      </c>
      <c r="F101">
        <f>'[12]ES TONS'!J130</f>
        <v>26415</v>
      </c>
      <c r="G101">
        <f>'[12]ES TONS'!K130</f>
        <v>26452</v>
      </c>
      <c r="H101">
        <f>'[12]ES TONS'!L130</f>
        <v>26626</v>
      </c>
      <c r="I101">
        <f>'[12]ES TONS'!M130</f>
        <v>26629</v>
      </c>
      <c r="J101">
        <f>'[12]ES TONS'!N130</f>
        <v>26514</v>
      </c>
      <c r="K101">
        <f>'[12]ES TONS'!O130</f>
        <v>26656</v>
      </c>
      <c r="L101">
        <f>'[13]ES TONS'!D130</f>
        <v>26509</v>
      </c>
      <c r="M101">
        <f>'[13]ES TONS'!E130</f>
        <v>26519</v>
      </c>
      <c r="N101">
        <f>'[13]ES TONS'!F130</f>
        <v>26583</v>
      </c>
      <c r="O101">
        <f>'[13]ES TONS'!G130</f>
        <v>26700</v>
      </c>
      <c r="P101" t="str">
        <f t="shared" si="2"/>
        <v>NRYW cust</v>
      </c>
      <c r="Q101">
        <f t="shared" si="3"/>
        <v>318462</v>
      </c>
    </row>
    <row r="102" spans="1:17" x14ac:dyDescent="0.2">
      <c r="A102" t="s">
        <v>65</v>
      </c>
      <c r="D102">
        <f>'[12]ES TONS'!H131</f>
        <v>0</v>
      </c>
      <c r="E102">
        <f>'[12]ES TONS'!I131</f>
        <v>0</v>
      </c>
      <c r="F102">
        <f>'[12]ES TONS'!J131</f>
        <v>0</v>
      </c>
      <c r="G102">
        <f>'[12]ES TONS'!K131</f>
        <v>0</v>
      </c>
      <c r="H102">
        <f>'[12]ES TONS'!L131</f>
        <v>0</v>
      </c>
      <c r="I102">
        <f>'[12]ES TONS'!M131</f>
        <v>0</v>
      </c>
      <c r="J102">
        <f>'[12]ES TONS'!N131</f>
        <v>0</v>
      </c>
      <c r="K102">
        <f>'[12]ES TONS'!O131</f>
        <v>0</v>
      </c>
      <c r="L102">
        <f>'[13]ES TONS'!D131</f>
        <v>0</v>
      </c>
      <c r="M102">
        <f>'[13]ES TONS'!E131</f>
        <v>0</v>
      </c>
      <c r="N102">
        <f>'[13]ES TONS'!F131</f>
        <v>0</v>
      </c>
      <c r="O102">
        <f>'[13]ES TONS'!G131</f>
        <v>0</v>
      </c>
      <c r="P102" t="str">
        <f t="shared" si="2"/>
        <v>NR</v>
      </c>
      <c r="Q102">
        <f t="shared" si="3"/>
        <v>0</v>
      </c>
    </row>
    <row r="103" spans="1:17" x14ac:dyDescent="0.2">
      <c r="A103" t="s">
        <v>65</v>
      </c>
      <c r="C103" t="s">
        <v>58</v>
      </c>
      <c r="D103">
        <f>'[12]ES TONS'!H132</f>
        <v>1077.8550380230843</v>
      </c>
      <c r="E103">
        <f>'[12]ES TONS'!I132</f>
        <v>980.08487097751322</v>
      </c>
      <c r="F103">
        <f>'[12]ES TONS'!J132</f>
        <v>1119.3292021986194</v>
      </c>
      <c r="G103">
        <f>'[12]ES TONS'!K132</f>
        <v>1016.3948996549619</v>
      </c>
      <c r="H103">
        <f>'[12]ES TONS'!L132</f>
        <v>1033.2558449320809</v>
      </c>
      <c r="I103">
        <f>'[12]ES TONS'!M132</f>
        <v>1060.9704980001845</v>
      </c>
      <c r="J103">
        <f>'[12]ES TONS'!N132</f>
        <v>1009.6294680430091</v>
      </c>
      <c r="K103">
        <f>'[12]ES TONS'!O132</f>
        <v>1189.9982941657784</v>
      </c>
      <c r="L103">
        <f>'[13]ES TONS'!D132</f>
        <v>1139.5130737051543</v>
      </c>
      <c r="M103">
        <f>'[13]ES TONS'!E132</f>
        <v>897.65584741691714</v>
      </c>
      <c r="N103">
        <f>'[13]ES TONS'!F132</f>
        <v>978.12523692569243</v>
      </c>
      <c r="O103">
        <f>'[13]ES TONS'!G132</f>
        <v>1038.3731751179632</v>
      </c>
      <c r="P103" t="str">
        <f t="shared" si="2"/>
        <v>NRRec tons</v>
      </c>
      <c r="Q103">
        <f t="shared" si="3"/>
        <v>12541.185449160961</v>
      </c>
    </row>
    <row r="104" spans="1:17" x14ac:dyDescent="0.2">
      <c r="A104" t="s">
        <v>65</v>
      </c>
      <c r="C104" t="s">
        <v>59</v>
      </c>
      <c r="D104">
        <f>'[12]ES TONS'!H133</f>
        <v>2704.3741160205414</v>
      </c>
      <c r="E104">
        <f>'[12]ES TONS'!I133</f>
        <v>2271.5827517317075</v>
      </c>
      <c r="F104">
        <f>'[12]ES TONS'!J133</f>
        <v>2011.2594781707489</v>
      </c>
      <c r="G104">
        <f>'[12]ES TONS'!K133</f>
        <v>1424.934677059364</v>
      </c>
      <c r="H104">
        <f>'[12]ES TONS'!L133</f>
        <v>1578.5105409460898</v>
      </c>
      <c r="I104">
        <f>'[12]ES TONS'!M133</f>
        <v>1859.9732157494886</v>
      </c>
      <c r="J104">
        <f>'[12]ES TONS'!N133</f>
        <v>2916.8400752851176</v>
      </c>
      <c r="K104">
        <f>'[12]ES TONS'!O133</f>
        <v>1101.1482755877421</v>
      </c>
      <c r="L104">
        <f>'[13]ES TONS'!D133</f>
        <v>1225.6314100787629</v>
      </c>
      <c r="M104">
        <f>'[13]ES TONS'!E133</f>
        <v>740.06388121802797</v>
      </c>
      <c r="N104">
        <f>'[13]ES TONS'!F133</f>
        <v>1540.9397095443965</v>
      </c>
      <c r="O104">
        <f>'[13]ES TONS'!G133</f>
        <v>2201.9385504711372</v>
      </c>
      <c r="P104" t="str">
        <f t="shared" si="2"/>
        <v xml:space="preserve">NRYW tons </v>
      </c>
      <c r="Q104">
        <f t="shared" si="3"/>
        <v>21577.196681863126</v>
      </c>
    </row>
    <row r="105" spans="1:17" x14ac:dyDescent="0.2">
      <c r="A105" t="s">
        <v>65</v>
      </c>
      <c r="C105" t="s">
        <v>60</v>
      </c>
      <c r="D105">
        <f>'[12]ES TONS'!H134</f>
        <v>1427.411540457219</v>
      </c>
      <c r="E105">
        <f>'[12]ES TONS'!I134</f>
        <v>1291.8851543851042</v>
      </c>
      <c r="F105">
        <f>'[12]ES TONS'!J134</f>
        <v>1487.7970264793428</v>
      </c>
      <c r="G105">
        <f>'[12]ES TONS'!K134</f>
        <v>1369.4236176962181</v>
      </c>
      <c r="H105">
        <f>'[12]ES TONS'!L134</f>
        <v>1363.4264047492672</v>
      </c>
      <c r="I105">
        <f>'[12]ES TONS'!M134</f>
        <v>1352.1998375940689</v>
      </c>
      <c r="J105">
        <f>'[12]ES TONS'!N134</f>
        <v>1258.5017941915742</v>
      </c>
      <c r="K105">
        <f>'[12]ES TONS'!O134</f>
        <v>1339.1675772256995</v>
      </c>
      <c r="L105">
        <f>'[13]ES TONS'!D134</f>
        <v>1378.0284186251106</v>
      </c>
      <c r="M105">
        <f>'[13]ES TONS'!E134</f>
        <v>1107.820940565216</v>
      </c>
      <c r="N105">
        <f>'[13]ES TONS'!F134</f>
        <v>1233.640881276965</v>
      </c>
      <c r="O105">
        <f>'[13]ES TONS'!G134</f>
        <v>1310.6502364485341</v>
      </c>
      <c r="P105" t="str">
        <f t="shared" si="2"/>
        <v>NRMSW tons</v>
      </c>
      <c r="Q105">
        <f t="shared" si="3"/>
        <v>15919.95342969432</v>
      </c>
    </row>
    <row r="106" spans="1:17" x14ac:dyDescent="0.2">
      <c r="A106" t="s">
        <v>65</v>
      </c>
      <c r="B106" t="s">
        <v>76</v>
      </c>
      <c r="C106" t="s">
        <v>56</v>
      </c>
      <c r="D106">
        <f>'[12]ES TONS'!H151</f>
        <v>998</v>
      </c>
      <c r="E106">
        <f>'[12]ES TONS'!I151</f>
        <v>999</v>
      </c>
      <c r="F106">
        <f>'[12]ES TONS'!J151</f>
        <v>997</v>
      </c>
      <c r="G106">
        <f>'[12]ES TONS'!K151</f>
        <v>1002</v>
      </c>
      <c r="H106">
        <f>'[12]ES TONS'!L151</f>
        <v>1008</v>
      </c>
      <c r="I106">
        <f>'[12]ES TONS'!M151</f>
        <v>1001</v>
      </c>
      <c r="J106">
        <f>'[12]ES TONS'!N151</f>
        <v>1003</v>
      </c>
      <c r="K106">
        <f>'[12]ES TONS'!O151</f>
        <v>1005</v>
      </c>
      <c r="L106">
        <f>'[13]ES TONS'!D151</f>
        <v>997</v>
      </c>
      <c r="M106">
        <f>'[13]ES TONS'!E151</f>
        <v>995</v>
      </c>
      <c r="N106">
        <f>'[13]ES TONS'!F151</f>
        <v>997</v>
      </c>
      <c r="O106">
        <f>'[13]ES TONS'!G151</f>
        <v>1001</v>
      </c>
      <c r="P106" t="str">
        <f t="shared" si="2"/>
        <v>NRREC cust</v>
      </c>
      <c r="Q106">
        <f t="shared" si="3"/>
        <v>12003</v>
      </c>
    </row>
    <row r="107" spans="1:17" x14ac:dyDescent="0.2">
      <c r="A107" t="s">
        <v>65</v>
      </c>
      <c r="C107" t="s">
        <v>57</v>
      </c>
      <c r="D107">
        <f>'[12]ES TONS'!H152</f>
        <v>780</v>
      </c>
      <c r="E107">
        <f>'[12]ES TONS'!I152</f>
        <v>778</v>
      </c>
      <c r="F107">
        <f>'[12]ES TONS'!J152</f>
        <v>775</v>
      </c>
      <c r="G107">
        <f>'[12]ES TONS'!K152</f>
        <v>780</v>
      </c>
      <c r="H107">
        <f>'[12]ES TONS'!L152</f>
        <v>784</v>
      </c>
      <c r="I107">
        <f>'[12]ES TONS'!M152</f>
        <v>775</v>
      </c>
      <c r="J107">
        <f>'[12]ES TONS'!N152</f>
        <v>772</v>
      </c>
      <c r="K107">
        <f>'[12]ES TONS'!O152</f>
        <v>767</v>
      </c>
      <c r="L107">
        <f>'[13]ES TONS'!D152</f>
        <v>760</v>
      </c>
      <c r="M107">
        <f>'[13]ES TONS'!E152</f>
        <v>758</v>
      </c>
      <c r="N107">
        <f>'[13]ES TONS'!F152</f>
        <v>759</v>
      </c>
      <c r="O107">
        <f>'[13]ES TONS'!G152</f>
        <v>772</v>
      </c>
      <c r="P107" t="str">
        <f t="shared" si="2"/>
        <v>NRYW cust</v>
      </c>
      <c r="Q107">
        <f t="shared" si="3"/>
        <v>9260</v>
      </c>
    </row>
    <row r="108" spans="1:17" x14ac:dyDescent="0.2">
      <c r="A108" t="s">
        <v>65</v>
      </c>
      <c r="D108">
        <f>'[12]ES TONS'!H153</f>
        <v>0</v>
      </c>
      <c r="E108">
        <f>'[12]ES TONS'!I153</f>
        <v>0</v>
      </c>
      <c r="F108">
        <f>'[12]ES TONS'!J153</f>
        <v>0</v>
      </c>
      <c r="G108">
        <f>'[12]ES TONS'!K153</f>
        <v>0</v>
      </c>
      <c r="H108">
        <f>'[12]ES TONS'!L153</f>
        <v>0</v>
      </c>
      <c r="I108">
        <f>'[12]ES TONS'!M153</f>
        <v>0</v>
      </c>
      <c r="J108">
        <f>'[12]ES TONS'!N153</f>
        <v>0</v>
      </c>
      <c r="K108">
        <f>'[12]ES TONS'!O153</f>
        <v>0</v>
      </c>
      <c r="L108">
        <f>'[13]ES TONS'!D153</f>
        <v>0</v>
      </c>
      <c r="M108">
        <f>'[13]ES TONS'!E153</f>
        <v>0</v>
      </c>
      <c r="N108">
        <f>'[13]ES TONS'!F153</f>
        <v>0</v>
      </c>
      <c r="O108">
        <f>'[13]ES TONS'!G153</f>
        <v>0</v>
      </c>
      <c r="P108" t="str">
        <f t="shared" si="2"/>
        <v>NR</v>
      </c>
      <c r="Q108">
        <f t="shared" si="3"/>
        <v>0</v>
      </c>
    </row>
    <row r="109" spans="1:17" x14ac:dyDescent="0.2">
      <c r="A109" t="s">
        <v>65</v>
      </c>
      <c r="C109" t="s">
        <v>58</v>
      </c>
      <c r="D109">
        <f>'[12]ES TONS'!H154</f>
        <v>45.238263673439441</v>
      </c>
      <c r="E109">
        <f>'[12]ES TONS'!I154</f>
        <v>40.095934902062467</v>
      </c>
      <c r="F109">
        <f>'[12]ES TONS'!J154</f>
        <v>37.998320912446985</v>
      </c>
      <c r="G109">
        <f>'[12]ES TONS'!K154</f>
        <v>45.910948426397844</v>
      </c>
      <c r="H109">
        <f>'[12]ES TONS'!L154</f>
        <v>40.290451715853358</v>
      </c>
      <c r="I109">
        <f>'[12]ES TONS'!M154</f>
        <v>45.506083672311746</v>
      </c>
      <c r="J109">
        <f>'[12]ES TONS'!N154</f>
        <v>48.850378104023441</v>
      </c>
      <c r="K109">
        <f>'[12]ES TONS'!O154</f>
        <v>35.853207246807273</v>
      </c>
      <c r="L109">
        <f>'[13]ES TONS'!D154</f>
        <v>50.381107723497017</v>
      </c>
      <c r="M109">
        <f>'[13]ES TONS'!E154</f>
        <v>32.481342505790984</v>
      </c>
      <c r="N109">
        <f>'[13]ES TONS'!F154</f>
        <v>36.508489421086416</v>
      </c>
      <c r="O109">
        <f>'[13]ES TONS'!G154</f>
        <v>30.141272460635911</v>
      </c>
      <c r="P109" t="str">
        <f t="shared" si="2"/>
        <v>NRRec tons</v>
      </c>
      <c r="Q109">
        <f t="shared" si="3"/>
        <v>489.2558007643529</v>
      </c>
    </row>
    <row r="110" spans="1:17" x14ac:dyDescent="0.2">
      <c r="A110" t="s">
        <v>65</v>
      </c>
      <c r="C110" t="s">
        <v>59</v>
      </c>
      <c r="D110">
        <f>'[12]ES TONS'!H155</f>
        <v>108.77558246733605</v>
      </c>
      <c r="E110">
        <f>'[12]ES TONS'!I155</f>
        <v>80.09056438727346</v>
      </c>
      <c r="F110">
        <f>'[12]ES TONS'!J155</f>
        <v>57.253981580598243</v>
      </c>
      <c r="G110">
        <f>'[12]ES TONS'!K155</f>
        <v>72.840600420040275</v>
      </c>
      <c r="H110">
        <f>'[12]ES TONS'!L155</f>
        <v>64.007324562820585</v>
      </c>
      <c r="I110">
        <f>'[12]ES TONS'!M155</f>
        <v>77.746291813177848</v>
      </c>
      <c r="J110">
        <f>'[12]ES TONS'!N155</f>
        <v>91.348713677164184</v>
      </c>
      <c r="K110">
        <f>'[12]ES TONS'!O155</f>
        <v>30.72635735897094</v>
      </c>
      <c r="L110">
        <f>'[13]ES TONS'!D155</f>
        <v>50.889687814127761</v>
      </c>
      <c r="M110">
        <f>'[13]ES TONS'!E155</f>
        <v>28.926037316718336</v>
      </c>
      <c r="N110">
        <f>'[13]ES TONS'!F155</f>
        <v>47.212668539767435</v>
      </c>
      <c r="O110">
        <f>'[13]ES TONS'!G155</f>
        <v>78.491636092700688</v>
      </c>
      <c r="P110" t="str">
        <f t="shared" si="2"/>
        <v xml:space="preserve">NRYW tons </v>
      </c>
      <c r="Q110">
        <f t="shared" si="3"/>
        <v>788.30944603069588</v>
      </c>
    </row>
    <row r="111" spans="1:17" x14ac:dyDescent="0.2">
      <c r="A111" t="s">
        <v>65</v>
      </c>
      <c r="C111" t="s">
        <v>60</v>
      </c>
      <c r="D111">
        <f>'[12]ES TONS'!H156</f>
        <v>69.731497693374848</v>
      </c>
      <c r="E111">
        <f>'[12]ES TONS'!I156</f>
        <v>59.194506817249682</v>
      </c>
      <c r="F111">
        <f>'[12]ES TONS'!J156</f>
        <v>57.518752114712655</v>
      </c>
      <c r="G111">
        <f>'[12]ES TONS'!K156</f>
        <v>70.005585371751394</v>
      </c>
      <c r="H111">
        <f>'[12]ES TONS'!L156</f>
        <v>57.432690924153682</v>
      </c>
      <c r="I111">
        <f>'[12]ES TONS'!M156</f>
        <v>55.177769344641057</v>
      </c>
      <c r="J111">
        <f>'[12]ES TONS'!N156</f>
        <v>67.660440087241739</v>
      </c>
      <c r="K111">
        <f>'[12]ES TONS'!O156</f>
        <v>61.086700658126119</v>
      </c>
      <c r="L111">
        <f>'[13]ES TONS'!D156</f>
        <v>65.62038130125903</v>
      </c>
      <c r="M111">
        <f>'[13]ES TONS'!E156</f>
        <v>47.645677967306057</v>
      </c>
      <c r="N111">
        <f>'[13]ES TONS'!F156</f>
        <v>50.126607011202289</v>
      </c>
      <c r="O111">
        <f>'[13]ES TONS'!G156</f>
        <v>49.441772020227141</v>
      </c>
      <c r="P111" t="str">
        <f t="shared" si="2"/>
        <v>NRMSW tons</v>
      </c>
      <c r="Q111">
        <f t="shared" si="3"/>
        <v>710.64238131124569</v>
      </c>
    </row>
    <row r="112" spans="1:17" x14ac:dyDescent="0.2">
      <c r="A112" t="s">
        <v>55</v>
      </c>
      <c r="B112" t="s">
        <v>77</v>
      </c>
      <c r="C112" t="s">
        <v>56</v>
      </c>
      <c r="D112">
        <f>'[12]ES TONS'!H173</f>
        <v>1021</v>
      </c>
      <c r="E112">
        <f>'[12]ES TONS'!I173</f>
        <v>1016</v>
      </c>
      <c r="F112">
        <f>'[12]ES TONS'!J173</f>
        <v>1012</v>
      </c>
      <c r="G112">
        <f>'[12]ES TONS'!K173</f>
        <v>1008</v>
      </c>
      <c r="H112">
        <f>'[12]ES TONS'!L173</f>
        <v>1012</v>
      </c>
      <c r="I112">
        <f>'[12]ES TONS'!M173</f>
        <v>1013</v>
      </c>
      <c r="J112">
        <f>'[12]ES TONS'!N173</f>
        <v>1006</v>
      </c>
      <c r="K112">
        <f>'[12]ES TONS'!O173</f>
        <v>1008</v>
      </c>
      <c r="L112">
        <f>'[13]ES TONS'!D173</f>
        <v>1006</v>
      </c>
      <c r="M112">
        <f>'[13]ES TONS'!E173</f>
        <v>1010</v>
      </c>
      <c r="N112">
        <f>'[13]ES TONS'!F173</f>
        <v>1008</v>
      </c>
      <c r="O112">
        <f>'[13]ES TONS'!G173</f>
        <v>1016</v>
      </c>
      <c r="P112" t="str">
        <f t="shared" si="2"/>
        <v>RREC cust</v>
      </c>
      <c r="Q112">
        <f t="shared" si="3"/>
        <v>12136</v>
      </c>
    </row>
    <row r="113" spans="1:17" x14ac:dyDescent="0.2">
      <c r="A113" t="s">
        <v>55</v>
      </c>
      <c r="C113" t="s">
        <v>57</v>
      </c>
      <c r="D113">
        <f>'[12]ES TONS'!H174</f>
        <v>719</v>
      </c>
      <c r="E113">
        <f>'[12]ES TONS'!I174</f>
        <v>711</v>
      </c>
      <c r="F113">
        <f>'[12]ES TONS'!J174</f>
        <v>723</v>
      </c>
      <c r="G113">
        <f>'[12]ES TONS'!K174</f>
        <v>715</v>
      </c>
      <c r="H113">
        <f>'[12]ES TONS'!L174</f>
        <v>722</v>
      </c>
      <c r="I113">
        <f>'[12]ES TONS'!M174</f>
        <v>720</v>
      </c>
      <c r="J113">
        <f>'[12]ES TONS'!N174</f>
        <v>714</v>
      </c>
      <c r="K113">
        <f>'[12]ES TONS'!O174</f>
        <v>709</v>
      </c>
      <c r="L113">
        <f>'[13]ES TONS'!D174</f>
        <v>707</v>
      </c>
      <c r="M113">
        <f>'[13]ES TONS'!E174</f>
        <v>712</v>
      </c>
      <c r="N113">
        <f>'[13]ES TONS'!F174</f>
        <v>712</v>
      </c>
      <c r="O113">
        <f>'[13]ES TONS'!G174</f>
        <v>721</v>
      </c>
      <c r="P113" t="str">
        <f t="shared" si="2"/>
        <v>RYW cust</v>
      </c>
      <c r="Q113">
        <f t="shared" si="3"/>
        <v>8585</v>
      </c>
    </row>
    <row r="114" spans="1:17" x14ac:dyDescent="0.2">
      <c r="A114" t="s">
        <v>55</v>
      </c>
      <c r="D114">
        <f>'[12]ES TONS'!H175</f>
        <v>0</v>
      </c>
      <c r="E114">
        <f>'[12]ES TONS'!I175</f>
        <v>0</v>
      </c>
      <c r="F114">
        <f>'[12]ES TONS'!J175</f>
        <v>0</v>
      </c>
      <c r="G114">
        <f>'[12]ES TONS'!K175</f>
        <v>0</v>
      </c>
      <c r="H114">
        <f>'[12]ES TONS'!L175</f>
        <v>0</v>
      </c>
      <c r="I114">
        <f>'[12]ES TONS'!M175</f>
        <v>0</v>
      </c>
      <c r="J114">
        <f>'[12]ES TONS'!N175</f>
        <v>0</v>
      </c>
      <c r="K114">
        <f>'[12]ES TONS'!O175</f>
        <v>0</v>
      </c>
      <c r="L114">
        <f>'[13]ES TONS'!D175</f>
        <v>0</v>
      </c>
      <c r="M114">
        <f>'[13]ES TONS'!E175</f>
        <v>0</v>
      </c>
      <c r="N114">
        <f>'[13]ES TONS'!F175</f>
        <v>0</v>
      </c>
      <c r="O114">
        <f>'[13]ES TONS'!G175</f>
        <v>0</v>
      </c>
      <c r="P114" t="str">
        <f t="shared" si="2"/>
        <v>R</v>
      </c>
      <c r="Q114">
        <f t="shared" si="3"/>
        <v>0</v>
      </c>
    </row>
    <row r="115" spans="1:17" x14ac:dyDescent="0.2">
      <c r="A115" t="s">
        <v>55</v>
      </c>
      <c r="C115" t="s">
        <v>58</v>
      </c>
      <c r="D115">
        <f>'[12]ES TONS'!H176</f>
        <v>38.838660668583515</v>
      </c>
      <c r="E115">
        <f>'[12]ES TONS'!I176</f>
        <v>28.229662043948839</v>
      </c>
      <c r="F115">
        <f>'[12]ES TONS'!J176</f>
        <v>34.818548951195282</v>
      </c>
      <c r="G115">
        <f>'[12]ES TONS'!K176</f>
        <v>43.277235592902102</v>
      </c>
      <c r="H115">
        <f>'[12]ES TONS'!L176</f>
        <v>33.877619467791604</v>
      </c>
      <c r="I115">
        <f>'[12]ES TONS'!M176</f>
        <v>33.286901164058207</v>
      </c>
      <c r="J115">
        <f>'[12]ES TONS'!N176</f>
        <v>35.271428651968584</v>
      </c>
      <c r="K115">
        <f>'[12]ES TONS'!O176</f>
        <v>40.49780295374557</v>
      </c>
      <c r="L115">
        <f>'[13]ES TONS'!D176</f>
        <v>47.416193326494827</v>
      </c>
      <c r="M115">
        <f>'[13]ES TONS'!E176</f>
        <v>32.278192838415883</v>
      </c>
      <c r="N115">
        <f>'[13]ES TONS'!F176</f>
        <v>29.137465754971565</v>
      </c>
      <c r="O115">
        <f>'[13]ES TONS'!G176</f>
        <v>35.958862947035527</v>
      </c>
      <c r="P115" t="str">
        <f t="shared" si="2"/>
        <v>RRec tons</v>
      </c>
      <c r="Q115">
        <f t="shared" si="3"/>
        <v>432.88857436111147</v>
      </c>
    </row>
    <row r="116" spans="1:17" x14ac:dyDescent="0.2">
      <c r="A116" t="s">
        <v>55</v>
      </c>
      <c r="C116" t="s">
        <v>59</v>
      </c>
      <c r="D116">
        <f>'[12]ES TONS'!H177</f>
        <v>122.92247934369939</v>
      </c>
      <c r="E116">
        <f>'[12]ES TONS'!I177</f>
        <v>78.114541306500968</v>
      </c>
      <c r="F116">
        <f>'[12]ES TONS'!J177</f>
        <v>59.728934973150309</v>
      </c>
      <c r="G116">
        <f>'[12]ES TONS'!K177</f>
        <v>58.577817688075584</v>
      </c>
      <c r="H116">
        <f>'[12]ES TONS'!L177</f>
        <v>73.718841106018431</v>
      </c>
      <c r="I116">
        <f>'[12]ES TONS'!M177</f>
        <v>76.732171418933405</v>
      </c>
      <c r="J116">
        <f>'[12]ES TONS'!N177</f>
        <v>123.27487079528504</v>
      </c>
      <c r="K116">
        <f>'[12]ES TONS'!O177</f>
        <v>42.632284019234568</v>
      </c>
      <c r="L116">
        <f>'[13]ES TONS'!D177</f>
        <v>41.348135726265404</v>
      </c>
      <c r="M116">
        <f>'[13]ES TONS'!E177</f>
        <v>31.249374929845722</v>
      </c>
      <c r="N116">
        <f>'[13]ES TONS'!F177</f>
        <v>48.128887806699332</v>
      </c>
      <c r="O116">
        <f>'[13]ES TONS'!G177</f>
        <v>73.979713790783293</v>
      </c>
      <c r="P116" t="str">
        <f t="shared" si="2"/>
        <v xml:space="preserve">RYW tons </v>
      </c>
      <c r="Q116">
        <f t="shared" si="3"/>
        <v>830.40805290449146</v>
      </c>
    </row>
    <row r="117" spans="1:17" x14ac:dyDescent="0.2">
      <c r="A117" t="s">
        <v>55</v>
      </c>
      <c r="C117" t="s">
        <v>60</v>
      </c>
      <c r="D117">
        <f>'[12]ES TONS'!H178</f>
        <v>70.628875837244578</v>
      </c>
      <c r="E117">
        <f>'[12]ES TONS'!I178</f>
        <v>58.176694243099355</v>
      </c>
      <c r="F117">
        <f>'[12]ES TONS'!J178</f>
        <v>58.388997116363001</v>
      </c>
      <c r="G117">
        <f>'[12]ES TONS'!K178</f>
        <v>72.327667188482394</v>
      </c>
      <c r="H117">
        <f>'[12]ES TONS'!L178</f>
        <v>59.571040389502535</v>
      </c>
      <c r="I117">
        <f>'[12]ES TONS'!M178</f>
        <v>61.967683457276401</v>
      </c>
      <c r="J117">
        <f>'[12]ES TONS'!N178</f>
        <v>59.422555824530434</v>
      </c>
      <c r="K117">
        <f>'[12]ES TONS'!O178</f>
        <v>62.131702430607767</v>
      </c>
      <c r="L117">
        <f>'[13]ES TONS'!D178</f>
        <v>67.302788894190655</v>
      </c>
      <c r="M117">
        <f>'[13]ES TONS'!E178</f>
        <v>48.056171753133384</v>
      </c>
      <c r="N117">
        <f>'[13]ES TONS'!F178</f>
        <v>49.663036129579588</v>
      </c>
      <c r="O117">
        <f>'[13]ES TONS'!G178</f>
        <v>46.38856228200671</v>
      </c>
      <c r="P117" t="str">
        <f t="shared" si="2"/>
        <v>RMSW tons</v>
      </c>
      <c r="Q117">
        <f t="shared" si="3"/>
        <v>714.0257755460168</v>
      </c>
    </row>
    <row r="118" spans="1:17" x14ac:dyDescent="0.2">
      <c r="A118" t="s">
        <v>55</v>
      </c>
      <c r="B118" t="s">
        <v>78</v>
      </c>
      <c r="C118" t="s">
        <v>56</v>
      </c>
      <c r="D118">
        <f>'[12]ES TONS'!H195</f>
        <v>368</v>
      </c>
      <c r="E118">
        <f>'[12]ES TONS'!I195</f>
        <v>371</v>
      </c>
      <c r="F118">
        <f>'[12]ES TONS'!J195</f>
        <v>371</v>
      </c>
      <c r="G118">
        <f>'[12]ES TONS'!K195</f>
        <v>367</v>
      </c>
      <c r="H118">
        <f>'[12]ES TONS'!L195</f>
        <v>371</v>
      </c>
      <c r="I118">
        <f>'[12]ES TONS'!M195</f>
        <v>368</v>
      </c>
      <c r="J118">
        <f>'[12]ES TONS'!N195</f>
        <v>368</v>
      </c>
      <c r="K118">
        <f>'[12]ES TONS'!O195</f>
        <v>364</v>
      </c>
      <c r="L118">
        <f>'[13]ES TONS'!D195</f>
        <v>360</v>
      </c>
      <c r="M118">
        <f>'[13]ES TONS'!E195</f>
        <v>369</v>
      </c>
      <c r="N118">
        <f>'[13]ES TONS'!F195</f>
        <v>366</v>
      </c>
      <c r="O118">
        <f>'[13]ES TONS'!G195</f>
        <v>368</v>
      </c>
      <c r="P118" t="str">
        <f t="shared" si="2"/>
        <v>RREC cust</v>
      </c>
      <c r="Q118">
        <f t="shared" si="3"/>
        <v>4411</v>
      </c>
    </row>
    <row r="119" spans="1:17" x14ac:dyDescent="0.2">
      <c r="A119" t="s">
        <v>55</v>
      </c>
      <c r="C119" t="s">
        <v>57</v>
      </c>
      <c r="D119">
        <f>'[12]ES TONS'!H196</f>
        <v>291</v>
      </c>
      <c r="E119">
        <f>'[12]ES TONS'!I196</f>
        <v>293</v>
      </c>
      <c r="F119">
        <f>'[12]ES TONS'!J196</f>
        <v>294</v>
      </c>
      <c r="G119">
        <f>'[12]ES TONS'!K196</f>
        <v>291</v>
      </c>
      <c r="H119">
        <f>'[12]ES TONS'!L196</f>
        <v>294</v>
      </c>
      <c r="I119">
        <f>'[12]ES TONS'!M196</f>
        <v>291</v>
      </c>
      <c r="J119">
        <f>'[12]ES TONS'!N196</f>
        <v>289</v>
      </c>
      <c r="K119">
        <f>'[12]ES TONS'!O196</f>
        <v>286</v>
      </c>
      <c r="L119">
        <f>'[13]ES TONS'!D196</f>
        <v>283</v>
      </c>
      <c r="M119">
        <f>'[13]ES TONS'!E196</f>
        <v>288</v>
      </c>
      <c r="N119">
        <f>'[13]ES TONS'!F196</f>
        <v>290</v>
      </c>
      <c r="O119">
        <f>'[13]ES TONS'!G196</f>
        <v>291</v>
      </c>
      <c r="P119" t="str">
        <f t="shared" si="2"/>
        <v>RYW cust</v>
      </c>
      <c r="Q119">
        <f t="shared" si="3"/>
        <v>3481</v>
      </c>
    </row>
    <row r="120" spans="1:17" x14ac:dyDescent="0.2">
      <c r="A120" t="s">
        <v>55</v>
      </c>
      <c r="D120">
        <f>'[12]ES TONS'!H197</f>
        <v>0</v>
      </c>
      <c r="E120">
        <f>'[12]ES TONS'!I197</f>
        <v>0</v>
      </c>
      <c r="F120">
        <f>'[12]ES TONS'!J197</f>
        <v>0</v>
      </c>
      <c r="G120">
        <f>'[12]ES TONS'!K197</f>
        <v>0</v>
      </c>
      <c r="H120">
        <f>'[12]ES TONS'!L197</f>
        <v>0</v>
      </c>
      <c r="I120">
        <f>'[12]ES TONS'!M197</f>
        <v>0</v>
      </c>
      <c r="J120">
        <f>'[12]ES TONS'!N197</f>
        <v>0</v>
      </c>
      <c r="K120">
        <f>'[12]ES TONS'!O197</f>
        <v>0</v>
      </c>
      <c r="L120">
        <f>'[13]ES TONS'!D197</f>
        <v>0</v>
      </c>
      <c r="M120">
        <f>'[13]ES TONS'!E197</f>
        <v>0</v>
      </c>
      <c r="N120">
        <f>'[13]ES TONS'!F197</f>
        <v>0</v>
      </c>
      <c r="O120">
        <f>'[13]ES TONS'!G197</f>
        <v>0</v>
      </c>
      <c r="P120" t="str">
        <f t="shared" si="2"/>
        <v>R</v>
      </c>
      <c r="Q120">
        <f t="shared" si="3"/>
        <v>0</v>
      </c>
    </row>
    <row r="121" spans="1:17" x14ac:dyDescent="0.2">
      <c r="A121" t="s">
        <v>55</v>
      </c>
      <c r="C121" t="s">
        <v>58</v>
      </c>
      <c r="D121">
        <f>'[12]ES TONS'!H198</f>
        <v>19.975726234501536</v>
      </c>
      <c r="E121">
        <f>'[12]ES TONS'!I198</f>
        <v>14.292645087181182</v>
      </c>
      <c r="F121">
        <f>'[12]ES TONS'!J198</f>
        <v>13.193543184871988</v>
      </c>
      <c r="G121">
        <f>'[12]ES TONS'!K198</f>
        <v>12.454319887608474</v>
      </c>
      <c r="H121">
        <f>'[12]ES TONS'!L198</f>
        <v>16.000277912566766</v>
      </c>
      <c r="I121">
        <f>'[12]ES TONS'!M198</f>
        <v>20.928154942411737</v>
      </c>
      <c r="J121">
        <f>'[12]ES TONS'!N198</f>
        <v>14.808450117393765</v>
      </c>
      <c r="K121">
        <f>'[12]ES TONS'!O198</f>
        <v>16.347238857486307</v>
      </c>
      <c r="L121">
        <f>'[13]ES TONS'!D198</f>
        <v>15.71551177003292</v>
      </c>
      <c r="M121">
        <f>'[13]ES TONS'!E198</f>
        <v>11.718076801399349</v>
      </c>
      <c r="N121">
        <f>'[13]ES TONS'!F198</f>
        <v>12.891666773040299</v>
      </c>
      <c r="O121">
        <f>'[13]ES TONS'!G198</f>
        <v>9.1845318688725186</v>
      </c>
      <c r="P121" t="str">
        <f t="shared" si="2"/>
        <v>RRec tons</v>
      </c>
      <c r="Q121">
        <f t="shared" si="3"/>
        <v>177.51014343736682</v>
      </c>
    </row>
    <row r="122" spans="1:17" x14ac:dyDescent="0.2">
      <c r="A122" t="s">
        <v>55</v>
      </c>
      <c r="C122" t="s">
        <v>59</v>
      </c>
      <c r="D122">
        <f>'[12]ES TONS'!H199</f>
        <v>41.341423629263168</v>
      </c>
      <c r="E122">
        <f>'[12]ES TONS'!I199</f>
        <v>26.988406307367573</v>
      </c>
      <c r="F122">
        <f>'[12]ES TONS'!J199</f>
        <v>23.931482435840383</v>
      </c>
      <c r="G122">
        <f>'[12]ES TONS'!K199</f>
        <v>18.818155487386953</v>
      </c>
      <c r="H122">
        <f>'[12]ES TONS'!L199</f>
        <v>16.907302520339215</v>
      </c>
      <c r="I122">
        <f>'[12]ES TONS'!M199</f>
        <v>32.649007915266303</v>
      </c>
      <c r="J122">
        <f>'[12]ES TONS'!N199</f>
        <v>26.985873775511514</v>
      </c>
      <c r="K122">
        <f>'[12]ES TONS'!O199</f>
        <v>13.965520116965397</v>
      </c>
      <c r="L122">
        <f>'[13]ES TONS'!D199</f>
        <v>14.573118402200349</v>
      </c>
      <c r="M122">
        <f>'[13]ES TONS'!E199</f>
        <v>11.738019514873704</v>
      </c>
      <c r="N122">
        <f>'[13]ES TONS'!F199</f>
        <v>15.664587613622986</v>
      </c>
      <c r="O122">
        <f>'[13]ES TONS'!G199</f>
        <v>21.069502281922471</v>
      </c>
      <c r="P122" t="str">
        <f t="shared" si="2"/>
        <v xml:space="preserve">RYW tons </v>
      </c>
      <c r="Q122">
        <f t="shared" si="3"/>
        <v>264.63240000056004</v>
      </c>
    </row>
    <row r="123" spans="1:17" x14ac:dyDescent="0.2">
      <c r="A123" t="s">
        <v>55</v>
      </c>
      <c r="C123" t="s">
        <v>60</v>
      </c>
      <c r="D123">
        <f>'[12]ES TONS'!H200</f>
        <v>24.300404349734492</v>
      </c>
      <c r="E123">
        <f>'[12]ES TONS'!I200</f>
        <v>21.022552371246377</v>
      </c>
      <c r="F123">
        <f>'[12]ES TONS'!J200</f>
        <v>19.298934393115932</v>
      </c>
      <c r="G123">
        <f>'[12]ES TONS'!K200</f>
        <v>25.735996762177486</v>
      </c>
      <c r="H123">
        <f>'[12]ES TONS'!L200</f>
        <v>21.118906296631828</v>
      </c>
      <c r="I123">
        <f>'[12]ES TONS'!M200</f>
        <v>24.443487141514485</v>
      </c>
      <c r="J123">
        <f>'[12]ES TONS'!N200</f>
        <v>20.984191986608877</v>
      </c>
      <c r="K123">
        <f>'[12]ES TONS'!O200</f>
        <v>19.645273920557717</v>
      </c>
      <c r="L123">
        <f>'[13]ES TONS'!D200</f>
        <v>25.011333438947528</v>
      </c>
      <c r="M123">
        <f>'[13]ES TONS'!E200</f>
        <v>17.91775952807243</v>
      </c>
      <c r="N123">
        <f>'[13]ES TONS'!F200</f>
        <v>19.004904090376879</v>
      </c>
      <c r="O123">
        <f>'[13]ES TONS'!G200</f>
        <v>18.884253862333377</v>
      </c>
      <c r="P123" t="str">
        <f t="shared" si="2"/>
        <v>RMSW tons</v>
      </c>
      <c r="Q123">
        <f t="shared" si="3"/>
        <v>257.36799814131734</v>
      </c>
    </row>
    <row r="124" spans="1:17" x14ac:dyDescent="0.2">
      <c r="A124" t="s">
        <v>65</v>
      </c>
      <c r="B124" t="s">
        <v>79</v>
      </c>
      <c r="C124" t="s">
        <v>56</v>
      </c>
      <c r="D124">
        <f>'[12]ES TONS'!H218</f>
        <v>931</v>
      </c>
      <c r="E124">
        <f>'[12]ES TONS'!I218</f>
        <v>927</v>
      </c>
      <c r="F124">
        <f>'[12]ES TONS'!J218</f>
        <v>929</v>
      </c>
      <c r="G124">
        <f>'[12]ES TONS'!K218</f>
        <v>929</v>
      </c>
      <c r="H124">
        <f>'[12]ES TONS'!L218</f>
        <v>940</v>
      </c>
      <c r="I124">
        <f>'[12]ES TONS'!M218</f>
        <v>938</v>
      </c>
      <c r="J124">
        <f>'[12]ES TONS'!N218</f>
        <v>922</v>
      </c>
      <c r="K124">
        <f>'[12]ES TONS'!O218</f>
        <v>933</v>
      </c>
      <c r="L124">
        <f>'[13]ES TONS'!D218</f>
        <v>936</v>
      </c>
      <c r="M124">
        <f>'[13]ES TONS'!E218</f>
        <v>923</v>
      </c>
      <c r="N124">
        <f>'[13]ES TONS'!F218</f>
        <v>934</v>
      </c>
      <c r="O124">
        <f>'[13]ES TONS'!G218</f>
        <v>936</v>
      </c>
      <c r="P124" t="str">
        <f t="shared" si="2"/>
        <v>NRREC cust</v>
      </c>
      <c r="Q124">
        <f t="shared" si="3"/>
        <v>11178</v>
      </c>
    </row>
    <row r="125" spans="1:17" x14ac:dyDescent="0.2">
      <c r="A125" t="s">
        <v>65</v>
      </c>
      <c r="C125" t="s">
        <v>57</v>
      </c>
      <c r="D125">
        <f>'[12]ES TONS'!H219</f>
        <v>753</v>
      </c>
      <c r="E125">
        <f>'[12]ES TONS'!I219</f>
        <v>760</v>
      </c>
      <c r="F125">
        <f>'[12]ES TONS'!J219</f>
        <v>766</v>
      </c>
      <c r="G125">
        <f>'[12]ES TONS'!K219</f>
        <v>762</v>
      </c>
      <c r="H125">
        <f>'[12]ES TONS'!L219</f>
        <v>767</v>
      </c>
      <c r="I125">
        <f>'[12]ES TONS'!M219</f>
        <v>763</v>
      </c>
      <c r="J125">
        <f>'[12]ES TONS'!N219</f>
        <v>756</v>
      </c>
      <c r="K125">
        <f>'[12]ES TONS'!O219</f>
        <v>754</v>
      </c>
      <c r="L125">
        <f>'[13]ES TONS'!D219</f>
        <v>752</v>
      </c>
      <c r="M125">
        <f>'[13]ES TONS'!E219</f>
        <v>743</v>
      </c>
      <c r="N125">
        <f>'[13]ES TONS'!F219</f>
        <v>755</v>
      </c>
      <c r="O125">
        <f>'[13]ES TONS'!G219</f>
        <v>768</v>
      </c>
      <c r="P125" t="str">
        <f t="shared" si="2"/>
        <v>NRYW cust</v>
      </c>
      <c r="Q125">
        <f t="shared" si="3"/>
        <v>9099</v>
      </c>
    </row>
    <row r="126" spans="1:17" x14ac:dyDescent="0.2">
      <c r="A126" t="s">
        <v>65</v>
      </c>
      <c r="D126">
        <f>'[12]ES TONS'!H220</f>
        <v>0</v>
      </c>
      <c r="E126">
        <f>'[12]ES TONS'!I220</f>
        <v>0</v>
      </c>
      <c r="F126">
        <f>'[12]ES TONS'!J220</f>
        <v>0</v>
      </c>
      <c r="G126">
        <f>'[12]ES TONS'!K220</f>
        <v>0</v>
      </c>
      <c r="H126">
        <f>'[12]ES TONS'!L220</f>
        <v>0</v>
      </c>
      <c r="I126">
        <f>'[12]ES TONS'!M220</f>
        <v>0</v>
      </c>
      <c r="J126">
        <f>'[12]ES TONS'!N220</f>
        <v>0</v>
      </c>
      <c r="K126">
        <f>'[12]ES TONS'!O220</f>
        <v>0</v>
      </c>
      <c r="L126">
        <f>'[13]ES TONS'!D220</f>
        <v>0</v>
      </c>
      <c r="M126">
        <f>'[13]ES TONS'!E220</f>
        <v>0</v>
      </c>
      <c r="N126">
        <f>'[13]ES TONS'!F220</f>
        <v>0</v>
      </c>
      <c r="O126">
        <f>'[13]ES TONS'!G220</f>
        <v>0</v>
      </c>
      <c r="P126" t="str">
        <f t="shared" si="2"/>
        <v>NR</v>
      </c>
      <c r="Q126">
        <f t="shared" si="3"/>
        <v>0</v>
      </c>
    </row>
    <row r="127" spans="1:17" x14ac:dyDescent="0.2">
      <c r="A127" t="s">
        <v>65</v>
      </c>
      <c r="C127" t="s">
        <v>58</v>
      </c>
      <c r="D127">
        <f>'[12]ES TONS'!H221</f>
        <v>37.830939300819267</v>
      </c>
      <c r="E127">
        <f>'[12]ES TONS'!I221</f>
        <v>35.326457780202695</v>
      </c>
      <c r="F127">
        <f>'[12]ES TONS'!J221</f>
        <v>39.944237055147724</v>
      </c>
      <c r="G127">
        <f>'[12]ES TONS'!K221</f>
        <v>29.935785158508967</v>
      </c>
      <c r="H127">
        <f>'[12]ES TONS'!L221</f>
        <v>33.082581761069697</v>
      </c>
      <c r="I127">
        <f>'[12]ES TONS'!M221</f>
        <v>36.907717737948872</v>
      </c>
      <c r="J127">
        <f>'[12]ES TONS'!N221</f>
        <v>30.355460740541762</v>
      </c>
      <c r="K127">
        <f>'[12]ES TONS'!O221</f>
        <v>40.219971209566232</v>
      </c>
      <c r="L127">
        <f>'[13]ES TONS'!D221</f>
        <v>38.792914799922556</v>
      </c>
      <c r="M127">
        <f>'[13]ES TONS'!E221</f>
        <v>30.148993771392512</v>
      </c>
      <c r="N127">
        <f>'[13]ES TONS'!F221</f>
        <v>32.351180929019009</v>
      </c>
      <c r="O127">
        <f>'[13]ES TONS'!G221</f>
        <v>40.004554099231861</v>
      </c>
      <c r="P127" t="str">
        <f t="shared" si="2"/>
        <v>NRRec tons</v>
      </c>
      <c r="Q127">
        <f t="shared" si="3"/>
        <v>424.90079434337116</v>
      </c>
    </row>
    <row r="128" spans="1:17" x14ac:dyDescent="0.2">
      <c r="A128" t="s">
        <v>65</v>
      </c>
      <c r="C128" t="s">
        <v>59</v>
      </c>
      <c r="D128">
        <f>'[12]ES TONS'!H222</f>
        <v>96.642405887954567</v>
      </c>
      <c r="E128">
        <f>'[12]ES TONS'!I222</f>
        <v>75.5172591334385</v>
      </c>
      <c r="F128">
        <f>'[12]ES TONS'!J222</f>
        <v>66.303424241857812</v>
      </c>
      <c r="G128">
        <f>'[12]ES TONS'!K222</f>
        <v>38.196810633223464</v>
      </c>
      <c r="H128">
        <f>'[12]ES TONS'!L222</f>
        <v>47.768842399673673</v>
      </c>
      <c r="I128">
        <f>'[12]ES TONS'!M222</f>
        <v>59.309789438726838</v>
      </c>
      <c r="J128">
        <f>'[12]ES TONS'!N222</f>
        <v>99.766345816059157</v>
      </c>
      <c r="K128">
        <f>'[12]ES TONS'!O222</f>
        <v>36.111718436014236</v>
      </c>
      <c r="L128">
        <f>'[13]ES TONS'!D222</f>
        <v>30.980850990339302</v>
      </c>
      <c r="M128">
        <f>'[13]ES TONS'!E222</f>
        <v>13.639349435909315</v>
      </c>
      <c r="N128">
        <f>'[13]ES TONS'!F222</f>
        <v>42.106068115488995</v>
      </c>
      <c r="O128">
        <f>'[13]ES TONS'!G222</f>
        <v>77.688018626793792</v>
      </c>
      <c r="P128" t="str">
        <f t="shared" si="2"/>
        <v xml:space="preserve">NRYW tons </v>
      </c>
      <c r="Q128">
        <f t="shared" si="3"/>
        <v>684.03088315547961</v>
      </c>
    </row>
    <row r="129" spans="1:17" x14ac:dyDescent="0.2">
      <c r="A129" t="s">
        <v>65</v>
      </c>
      <c r="C129" t="s">
        <v>60</v>
      </c>
      <c r="D129">
        <f>'[12]ES TONS'!H223</f>
        <v>44.375491829792956</v>
      </c>
      <c r="E129">
        <f>'[12]ES TONS'!I223</f>
        <v>43.58239100226848</v>
      </c>
      <c r="F129">
        <f>'[12]ES TONS'!J223</f>
        <v>53.043364553134971</v>
      </c>
      <c r="G129">
        <f>'[12]ES TONS'!K223</f>
        <v>44.450350520423534</v>
      </c>
      <c r="H129">
        <f>'[12]ES TONS'!L223</f>
        <v>43.989908699997564</v>
      </c>
      <c r="I129">
        <f>'[12]ES TONS'!M223</f>
        <v>50.884730401615883</v>
      </c>
      <c r="J129">
        <f>'[12]ES TONS'!N223</f>
        <v>40.797753557221014</v>
      </c>
      <c r="K129">
        <f>'[12]ES TONS'!O223</f>
        <v>48.897140426252527</v>
      </c>
      <c r="L129">
        <f>'[13]ES TONS'!D223</f>
        <v>49.637350972051905</v>
      </c>
      <c r="M129">
        <f>'[13]ES TONS'!E223</f>
        <v>33.735524203133558</v>
      </c>
      <c r="N129">
        <f>'[13]ES TONS'!F223</f>
        <v>40.401034720395785</v>
      </c>
      <c r="O129">
        <f>'[13]ES TONS'!G223</f>
        <v>50.96386294715218</v>
      </c>
      <c r="P129" t="str">
        <f t="shared" si="2"/>
        <v>NRMSW tons</v>
      </c>
      <c r="Q129">
        <f t="shared" si="3"/>
        <v>544.7589038334404</v>
      </c>
    </row>
    <row r="130" spans="1:17" x14ac:dyDescent="0.2">
      <c r="A130" t="s">
        <v>55</v>
      </c>
      <c r="B130" t="s">
        <v>80</v>
      </c>
      <c r="C130" t="s">
        <v>56</v>
      </c>
      <c r="D130">
        <f>'[12]ES TONS'!H240</f>
        <v>5529</v>
      </c>
      <c r="E130">
        <f>'[12]ES TONS'!I240</f>
        <v>5535</v>
      </c>
      <c r="F130">
        <f>'[12]ES TONS'!J240</f>
        <v>5536</v>
      </c>
      <c r="G130">
        <f>'[12]ES TONS'!K240</f>
        <v>5538</v>
      </c>
      <c r="H130">
        <f>'[12]ES TONS'!L240</f>
        <v>5571</v>
      </c>
      <c r="I130">
        <f>'[12]ES TONS'!M240</f>
        <v>5593</v>
      </c>
      <c r="J130">
        <f>'[12]ES TONS'!N240</f>
        <v>5557</v>
      </c>
      <c r="K130">
        <f>'[12]ES TONS'!O240</f>
        <v>5590</v>
      </c>
      <c r="L130">
        <f>'[13]ES TONS'!D240</f>
        <v>5573</v>
      </c>
      <c r="M130">
        <f>'[13]ES TONS'!E240</f>
        <v>5578</v>
      </c>
      <c r="N130">
        <f>'[13]ES TONS'!F240</f>
        <v>5576</v>
      </c>
      <c r="O130">
        <f>'[13]ES TONS'!G240</f>
        <v>5604</v>
      </c>
      <c r="P130" t="str">
        <f t="shared" si="2"/>
        <v>RREC cust</v>
      </c>
      <c r="Q130">
        <f t="shared" si="3"/>
        <v>66780</v>
      </c>
    </row>
    <row r="131" spans="1:17" x14ac:dyDescent="0.2">
      <c r="A131" t="s">
        <v>55</v>
      </c>
      <c r="C131" t="s">
        <v>57</v>
      </c>
      <c r="D131">
        <f>'[12]ES TONS'!H241</f>
        <v>3493</v>
      </c>
      <c r="E131">
        <f>'[12]ES TONS'!I241</f>
        <v>3511</v>
      </c>
      <c r="F131">
        <f>'[12]ES TONS'!J241</f>
        <v>3531</v>
      </c>
      <c r="G131">
        <f>'[12]ES TONS'!K241</f>
        <v>3517</v>
      </c>
      <c r="H131">
        <f>'[12]ES TONS'!L241</f>
        <v>3543</v>
      </c>
      <c r="I131">
        <f>'[12]ES TONS'!M241</f>
        <v>3560</v>
      </c>
      <c r="J131">
        <f>'[12]ES TONS'!N241</f>
        <v>3510</v>
      </c>
      <c r="K131">
        <f>'[12]ES TONS'!O241</f>
        <v>3483</v>
      </c>
      <c r="L131">
        <f>'[13]ES TONS'!D241</f>
        <v>3441</v>
      </c>
      <c r="M131">
        <f>'[13]ES TONS'!E241</f>
        <v>3437</v>
      </c>
      <c r="N131">
        <f>'[13]ES TONS'!F241</f>
        <v>3488</v>
      </c>
      <c r="O131">
        <f>'[13]ES TONS'!G241</f>
        <v>3572</v>
      </c>
      <c r="P131" t="str">
        <f t="shared" si="2"/>
        <v>RYW cust</v>
      </c>
      <c r="Q131">
        <f t="shared" si="3"/>
        <v>42086</v>
      </c>
    </row>
    <row r="132" spans="1:17" x14ac:dyDescent="0.2">
      <c r="A132" t="s">
        <v>55</v>
      </c>
      <c r="D132">
        <f>'[12]ES TONS'!H242</f>
        <v>0</v>
      </c>
      <c r="E132">
        <f>'[12]ES TONS'!I242</f>
        <v>0</v>
      </c>
      <c r="F132">
        <f>'[12]ES TONS'!J242</f>
        <v>0</v>
      </c>
      <c r="G132">
        <f>'[12]ES TONS'!K242</f>
        <v>0</v>
      </c>
      <c r="H132">
        <f>'[12]ES TONS'!L242</f>
        <v>0</v>
      </c>
      <c r="I132">
        <f>'[12]ES TONS'!M242</f>
        <v>0</v>
      </c>
      <c r="J132">
        <f>'[12]ES TONS'!N242</f>
        <v>0</v>
      </c>
      <c r="K132">
        <f>'[12]ES TONS'!O242</f>
        <v>0</v>
      </c>
      <c r="L132">
        <f>'[13]ES TONS'!D242</f>
        <v>0</v>
      </c>
      <c r="M132">
        <f>'[13]ES TONS'!E242</f>
        <v>0</v>
      </c>
      <c r="N132">
        <f>'[13]ES TONS'!F242</f>
        <v>0</v>
      </c>
      <c r="O132">
        <f>'[13]ES TONS'!G242</f>
        <v>0</v>
      </c>
      <c r="P132" t="str">
        <f t="shared" ref="P132:P195" si="4">CONCATENATE(A132,C132)</f>
        <v>R</v>
      </c>
      <c r="Q132">
        <f t="shared" ref="Q132:Q195" si="5">SUM(D132:O132)</f>
        <v>0</v>
      </c>
    </row>
    <row r="133" spans="1:17" x14ac:dyDescent="0.2">
      <c r="A133" t="s">
        <v>55</v>
      </c>
      <c r="C133" t="s">
        <v>58</v>
      </c>
      <c r="D133">
        <f>'[12]ES TONS'!H243</f>
        <v>180.09094699360423</v>
      </c>
      <c r="E133">
        <f>'[12]ES TONS'!I243</f>
        <v>173.73943067681273</v>
      </c>
      <c r="F133">
        <f>'[12]ES TONS'!J243</f>
        <v>171.40558423634425</v>
      </c>
      <c r="G133">
        <f>'[12]ES TONS'!K243</f>
        <v>175.53511294620864</v>
      </c>
      <c r="H133">
        <f>'[12]ES TONS'!L243</f>
        <v>172.39040001536708</v>
      </c>
      <c r="I133">
        <f>'[12]ES TONS'!M243</f>
        <v>192.07169322536282</v>
      </c>
      <c r="J133">
        <f>'[12]ES TONS'!N243</f>
        <v>158.44294417360965</v>
      </c>
      <c r="K133">
        <f>'[12]ES TONS'!O243</f>
        <v>177.37990417842281</v>
      </c>
      <c r="L133">
        <f>'[13]ES TONS'!D243</f>
        <v>202.44869481846391</v>
      </c>
      <c r="M133">
        <f>'[13]ES TONS'!E243</f>
        <v>155.59189650189413</v>
      </c>
      <c r="N133">
        <f>'[13]ES TONS'!F243</f>
        <v>178.00524515271448</v>
      </c>
      <c r="O133">
        <f>'[13]ES TONS'!G243</f>
        <v>191.9902315429849</v>
      </c>
      <c r="P133" t="str">
        <f t="shared" si="4"/>
        <v>RRec tons</v>
      </c>
      <c r="Q133">
        <f t="shared" si="5"/>
        <v>2129.0920844617895</v>
      </c>
    </row>
    <row r="134" spans="1:17" x14ac:dyDescent="0.2">
      <c r="A134" t="s">
        <v>55</v>
      </c>
      <c r="C134" t="s">
        <v>59</v>
      </c>
      <c r="D134">
        <f>'[12]ES TONS'!H244</f>
        <v>356.30103362837082</v>
      </c>
      <c r="E134">
        <f>'[12]ES TONS'!I244</f>
        <v>265.73217063663913</v>
      </c>
      <c r="F134">
        <f>'[12]ES TONS'!J244</f>
        <v>272.39113502158574</v>
      </c>
      <c r="G134">
        <f>'[12]ES TONS'!K244</f>
        <v>160.52960713392363</v>
      </c>
      <c r="H134">
        <f>'[12]ES TONS'!L244</f>
        <v>182.29120474920299</v>
      </c>
      <c r="I134">
        <f>'[12]ES TONS'!M244</f>
        <v>221.93688439546381</v>
      </c>
      <c r="J134">
        <f>'[12]ES TONS'!N244</f>
        <v>314.84337304268217</v>
      </c>
      <c r="K134">
        <f>'[12]ES TONS'!O244</f>
        <v>184.86624386139141</v>
      </c>
      <c r="L134">
        <f>'[13]ES TONS'!D244</f>
        <v>133.69325318334478</v>
      </c>
      <c r="M134">
        <f>'[13]ES TONS'!E244</f>
        <v>90.427913085414204</v>
      </c>
      <c r="N134">
        <f>'[13]ES TONS'!F244</f>
        <v>159.77952821374194</v>
      </c>
      <c r="O134">
        <f>'[13]ES TONS'!G244</f>
        <v>255.78665772731293</v>
      </c>
      <c r="P134" t="str">
        <f t="shared" si="4"/>
        <v xml:space="preserve">RYW tons </v>
      </c>
      <c r="Q134">
        <f t="shared" si="5"/>
        <v>2598.5790046790739</v>
      </c>
    </row>
    <row r="135" spans="1:17" x14ac:dyDescent="0.2">
      <c r="A135" t="s">
        <v>55</v>
      </c>
      <c r="C135" t="s">
        <v>60</v>
      </c>
      <c r="D135">
        <f>'[12]ES TONS'!H245</f>
        <v>307.98461292488849</v>
      </c>
      <c r="E135">
        <f>'[12]ES TONS'!I245</f>
        <v>287.22958617109259</v>
      </c>
      <c r="F135">
        <f>'[12]ES TONS'!J245</f>
        <v>329.98410181726371</v>
      </c>
      <c r="G135">
        <f>'[12]ES TONS'!K245</f>
        <v>305.12889850691215</v>
      </c>
      <c r="H135">
        <f>'[12]ES TONS'!L245</f>
        <v>306.61699878057743</v>
      </c>
      <c r="I135">
        <f>'[12]ES TONS'!M245</f>
        <v>310.09717559220763</v>
      </c>
      <c r="J135">
        <f>'[12]ES TONS'!N245</f>
        <v>280.40858328147198</v>
      </c>
      <c r="K135">
        <f>'[12]ES TONS'!O245</f>
        <v>308.42039115610339</v>
      </c>
      <c r="L135">
        <f>'[13]ES TONS'!D245</f>
        <v>307.17180294897014</v>
      </c>
      <c r="M135">
        <f>'[13]ES TONS'!E245</f>
        <v>252.22448095001118</v>
      </c>
      <c r="N135">
        <f>'[13]ES TONS'!F245</f>
        <v>283.23678145716508</v>
      </c>
      <c r="O135">
        <f>'[13]ES TONS'!G245</f>
        <v>297.81964297183652</v>
      </c>
      <c r="P135" t="str">
        <f t="shared" si="4"/>
        <v>RMSW tons</v>
      </c>
      <c r="Q135">
        <f t="shared" si="5"/>
        <v>3576.3230565585</v>
      </c>
    </row>
    <row r="136" spans="1:17" x14ac:dyDescent="0.2">
      <c r="A136" t="s">
        <v>65</v>
      </c>
      <c r="B136" t="s">
        <v>81</v>
      </c>
      <c r="C136" t="s">
        <v>56</v>
      </c>
      <c r="D136">
        <f>'[12]ES TONS'!H263</f>
        <v>6452</v>
      </c>
      <c r="E136">
        <f>'[12]ES TONS'!I263</f>
        <v>6476</v>
      </c>
      <c r="F136">
        <f>'[12]ES TONS'!J263</f>
        <v>6419</v>
      </c>
      <c r="G136">
        <f>'[12]ES TONS'!K263</f>
        <v>6454</v>
      </c>
      <c r="H136">
        <f>'[12]ES TONS'!L263</f>
        <v>6498</v>
      </c>
      <c r="I136">
        <f>'[12]ES TONS'!M263</f>
        <v>6488</v>
      </c>
      <c r="J136">
        <f>'[12]ES TONS'!N263</f>
        <v>6464</v>
      </c>
      <c r="K136">
        <f>'[12]ES TONS'!O263</f>
        <v>6461</v>
      </c>
      <c r="L136">
        <f>'[13]ES TONS'!D263</f>
        <v>6400</v>
      </c>
      <c r="M136">
        <f>'[13]ES TONS'!E263</f>
        <v>6424</v>
      </c>
      <c r="N136">
        <f>'[13]ES TONS'!F263</f>
        <v>6449</v>
      </c>
      <c r="O136">
        <f>'[13]ES TONS'!G263</f>
        <v>6464</v>
      </c>
      <c r="P136" t="str">
        <f t="shared" si="4"/>
        <v>NRREC cust</v>
      </c>
      <c r="Q136">
        <f t="shared" si="5"/>
        <v>77449</v>
      </c>
    </row>
    <row r="137" spans="1:17" x14ac:dyDescent="0.2">
      <c r="A137" t="s">
        <v>65</v>
      </c>
      <c r="C137" t="s">
        <v>57</v>
      </c>
      <c r="D137">
        <f>'[12]ES TONS'!H264</f>
        <v>6195</v>
      </c>
      <c r="E137">
        <f>'[12]ES TONS'!I264</f>
        <v>6219</v>
      </c>
      <c r="F137">
        <f>'[12]ES TONS'!J264</f>
        <v>6169</v>
      </c>
      <c r="G137">
        <f>'[12]ES TONS'!K264</f>
        <v>6213</v>
      </c>
      <c r="H137">
        <f>'[12]ES TONS'!L264</f>
        <v>6256</v>
      </c>
      <c r="I137">
        <f>'[12]ES TONS'!M264</f>
        <v>6249</v>
      </c>
      <c r="J137">
        <f>'[12]ES TONS'!N264</f>
        <v>6224</v>
      </c>
      <c r="K137">
        <f>'[12]ES TONS'!O264</f>
        <v>6223</v>
      </c>
      <c r="L137">
        <f>'[13]ES TONS'!D264</f>
        <v>6163</v>
      </c>
      <c r="M137">
        <f>'[13]ES TONS'!E264</f>
        <v>6191</v>
      </c>
      <c r="N137">
        <f>'[13]ES TONS'!F264</f>
        <v>6212</v>
      </c>
      <c r="O137">
        <f>'[13]ES TONS'!G264</f>
        <v>6226</v>
      </c>
      <c r="P137" t="str">
        <f t="shared" si="4"/>
        <v>NRYW cust</v>
      </c>
      <c r="Q137">
        <f t="shared" si="5"/>
        <v>74540</v>
      </c>
    </row>
    <row r="138" spans="1:17" x14ac:dyDescent="0.2">
      <c r="A138" t="s">
        <v>65</v>
      </c>
      <c r="D138">
        <f>'[12]ES TONS'!H265</f>
        <v>0</v>
      </c>
      <c r="E138">
        <f>'[12]ES TONS'!I265</f>
        <v>0</v>
      </c>
      <c r="F138">
        <f>'[12]ES TONS'!J265</f>
        <v>0</v>
      </c>
      <c r="G138">
        <f>'[12]ES TONS'!K265</f>
        <v>0</v>
      </c>
      <c r="H138">
        <f>'[12]ES TONS'!L265</f>
        <v>0</v>
      </c>
      <c r="I138">
        <f>'[12]ES TONS'!M265</f>
        <v>0</v>
      </c>
      <c r="J138">
        <f>'[12]ES TONS'!N265</f>
        <v>0</v>
      </c>
      <c r="K138">
        <f>'[12]ES TONS'!O265</f>
        <v>0</v>
      </c>
      <c r="L138">
        <f>'[13]ES TONS'!D265</f>
        <v>0</v>
      </c>
      <c r="M138">
        <f>'[13]ES TONS'!E265</f>
        <v>0</v>
      </c>
      <c r="N138">
        <f>'[13]ES TONS'!F265</f>
        <v>0</v>
      </c>
      <c r="O138">
        <f>'[13]ES TONS'!G265</f>
        <v>0</v>
      </c>
      <c r="P138" t="str">
        <f t="shared" si="4"/>
        <v>NR</v>
      </c>
      <c r="Q138">
        <f t="shared" si="5"/>
        <v>0</v>
      </c>
    </row>
    <row r="139" spans="1:17" x14ac:dyDescent="0.2">
      <c r="A139" t="s">
        <v>65</v>
      </c>
      <c r="C139" t="s">
        <v>58</v>
      </c>
      <c r="D139">
        <f>'[12]ES TONS'!H266</f>
        <v>252.18472917489788</v>
      </c>
      <c r="E139">
        <f>'[12]ES TONS'!I266</f>
        <v>235.7720021151658</v>
      </c>
      <c r="F139">
        <f>'[12]ES TONS'!J266</f>
        <v>253.29759558947376</v>
      </c>
      <c r="G139">
        <f>'[12]ES TONS'!K266</f>
        <v>243.15005097420683</v>
      </c>
      <c r="H139">
        <f>'[12]ES TONS'!L266</f>
        <v>238.78434784736959</v>
      </c>
      <c r="I139">
        <f>'[12]ES TONS'!M266</f>
        <v>246.15396038552257</v>
      </c>
      <c r="J139">
        <f>'[12]ES TONS'!N266</f>
        <v>229.45753123795453</v>
      </c>
      <c r="K139">
        <f>'[12]ES TONS'!O266</f>
        <v>267.59348278193613</v>
      </c>
      <c r="L139">
        <f>'[13]ES TONS'!D266</f>
        <v>268.09044794199053</v>
      </c>
      <c r="M139">
        <f>'[13]ES TONS'!E266</f>
        <v>199.79243238942931</v>
      </c>
      <c r="N139">
        <f>'[13]ES TONS'!F266</f>
        <v>221.48223510558333</v>
      </c>
      <c r="O139">
        <f>'[13]ES TONS'!G266</f>
        <v>222.01085397113954</v>
      </c>
      <c r="P139" t="str">
        <f t="shared" si="4"/>
        <v>NRRec tons</v>
      </c>
      <c r="Q139">
        <f t="shared" si="5"/>
        <v>2877.7696695146697</v>
      </c>
    </row>
    <row r="140" spans="1:17" x14ac:dyDescent="0.2">
      <c r="A140" t="s">
        <v>65</v>
      </c>
      <c r="C140" t="s">
        <v>59</v>
      </c>
      <c r="D140">
        <f>'[12]ES TONS'!H267</f>
        <v>643.54275253244191</v>
      </c>
      <c r="E140">
        <f>'[12]ES TONS'!I267</f>
        <v>501.82496307081124</v>
      </c>
      <c r="F140">
        <f>'[12]ES TONS'!J267</f>
        <v>468.40234160414963</v>
      </c>
      <c r="G140">
        <f>'[12]ES TONS'!K267</f>
        <v>339.08724856808158</v>
      </c>
      <c r="H140">
        <f>'[12]ES TONS'!L267</f>
        <v>403.26117373522817</v>
      </c>
      <c r="I140">
        <f>'[12]ES TONS'!M267</f>
        <v>491.87267910353006</v>
      </c>
      <c r="J140">
        <f>'[12]ES TONS'!N267</f>
        <v>784.48988321248214</v>
      </c>
      <c r="K140">
        <f>'[12]ES TONS'!O267</f>
        <v>348.77291587062274</v>
      </c>
      <c r="L140">
        <f>'[13]ES TONS'!D267</f>
        <v>326.41046315838139</v>
      </c>
      <c r="M140">
        <f>'[13]ES TONS'!E267</f>
        <v>228.08092350970213</v>
      </c>
      <c r="N140">
        <f>'[13]ES TONS'!F267</f>
        <v>371.3035271006849</v>
      </c>
      <c r="O140">
        <f>'[13]ES TONS'!G267</f>
        <v>502.53608117131142</v>
      </c>
      <c r="P140" t="str">
        <f t="shared" si="4"/>
        <v xml:space="preserve">NRYW tons </v>
      </c>
      <c r="Q140">
        <f t="shared" si="5"/>
        <v>5409.5849526374277</v>
      </c>
    </row>
    <row r="141" spans="1:17" x14ac:dyDescent="0.2">
      <c r="A141" t="s">
        <v>65</v>
      </c>
      <c r="C141" t="s">
        <v>60</v>
      </c>
      <c r="D141">
        <f>'[12]ES TONS'!H268</f>
        <v>342.9900436489549</v>
      </c>
      <c r="E141">
        <f>'[12]ES TONS'!I268</f>
        <v>309.8060867752244</v>
      </c>
      <c r="F141">
        <f>'[12]ES TONS'!J268</f>
        <v>366.9105578038052</v>
      </c>
      <c r="G141">
        <f>'[12]ES TONS'!K268</f>
        <v>346.98008605380073</v>
      </c>
      <c r="H141">
        <f>'[12]ES TONS'!L268</f>
        <v>323.7241606331612</v>
      </c>
      <c r="I141">
        <f>'[12]ES TONS'!M268</f>
        <v>329.52410226669343</v>
      </c>
      <c r="J141">
        <f>'[12]ES TONS'!N268</f>
        <v>312.78981645605563</v>
      </c>
      <c r="K141">
        <f>'[12]ES TONS'!O268</f>
        <v>327.81075933320358</v>
      </c>
      <c r="L141">
        <f>'[13]ES TONS'!D268</f>
        <v>334.45489065974772</v>
      </c>
      <c r="M141">
        <f>'[13]ES TONS'!E268</f>
        <v>263.97205935604342</v>
      </c>
      <c r="N141">
        <f>'[13]ES TONS'!F268</f>
        <v>288.01365148368336</v>
      </c>
      <c r="O141">
        <f>'[13]ES TONS'!G268</f>
        <v>312.50765403411208</v>
      </c>
      <c r="P141" t="str">
        <f t="shared" si="4"/>
        <v>NRMSW tons</v>
      </c>
      <c r="Q141">
        <f t="shared" si="5"/>
        <v>3859.4838685044856</v>
      </c>
    </row>
    <row r="142" spans="1:17" x14ac:dyDescent="0.2">
      <c r="A142" t="s">
        <v>55</v>
      </c>
      <c r="B142" t="s">
        <v>61</v>
      </c>
      <c r="C142" t="s">
        <v>56</v>
      </c>
      <c r="D142">
        <f>'[12]ES TONS'!H285</f>
        <v>3208</v>
      </c>
      <c r="E142">
        <f>'[12]ES TONS'!I285</f>
        <v>3197</v>
      </c>
      <c r="F142">
        <f>'[12]ES TONS'!J285</f>
        <v>3192</v>
      </c>
      <c r="G142">
        <f>'[12]ES TONS'!K285</f>
        <v>3193</v>
      </c>
      <c r="H142">
        <f>'[12]ES TONS'!L285</f>
        <v>3212</v>
      </c>
      <c r="I142">
        <f>'[12]ES TONS'!M285</f>
        <v>3221</v>
      </c>
      <c r="J142">
        <f>'[12]ES TONS'!N285</f>
        <v>3206</v>
      </c>
      <c r="K142">
        <f>'[12]ES TONS'!O285</f>
        <v>3230</v>
      </c>
      <c r="L142">
        <f>'[13]ES TONS'!D285</f>
        <v>3227</v>
      </c>
      <c r="M142">
        <f>'[13]ES TONS'!E285</f>
        <v>3226</v>
      </c>
      <c r="N142">
        <f>'[13]ES TONS'!F285</f>
        <v>3226</v>
      </c>
      <c r="O142">
        <f>'[13]ES TONS'!G285</f>
        <v>3242</v>
      </c>
      <c r="P142" t="str">
        <f t="shared" si="4"/>
        <v>RREC cust</v>
      </c>
      <c r="Q142">
        <f t="shared" si="5"/>
        <v>38580</v>
      </c>
    </row>
    <row r="143" spans="1:17" x14ac:dyDescent="0.2">
      <c r="A143" t="s">
        <v>55</v>
      </c>
      <c r="C143" t="s">
        <v>57</v>
      </c>
      <c r="D143">
        <f>'[12]ES TONS'!H286</f>
        <v>2127</v>
      </c>
      <c r="E143">
        <f>'[12]ES TONS'!I286</f>
        <v>2136</v>
      </c>
      <c r="F143">
        <f>'[12]ES TONS'!J286</f>
        <v>2138</v>
      </c>
      <c r="G143">
        <f>'[12]ES TONS'!K286</f>
        <v>2138</v>
      </c>
      <c r="H143">
        <f>'[12]ES TONS'!L286</f>
        <v>2139</v>
      </c>
      <c r="I143">
        <f>'[12]ES TONS'!M286</f>
        <v>2126</v>
      </c>
      <c r="J143">
        <f>'[12]ES TONS'!N286</f>
        <v>2105</v>
      </c>
      <c r="K143">
        <f>'[12]ES TONS'!O286</f>
        <v>2064</v>
      </c>
      <c r="L143">
        <f>'[13]ES TONS'!D286</f>
        <v>2035</v>
      </c>
      <c r="M143">
        <f>'[13]ES TONS'!E286</f>
        <v>2035</v>
      </c>
      <c r="N143">
        <f>'[13]ES TONS'!F286</f>
        <v>2056</v>
      </c>
      <c r="O143">
        <f>'[13]ES TONS'!G286</f>
        <v>2104</v>
      </c>
      <c r="P143" t="str">
        <f t="shared" si="4"/>
        <v>RYW cust</v>
      </c>
      <c r="Q143">
        <f t="shared" si="5"/>
        <v>25203</v>
      </c>
    </row>
    <row r="144" spans="1:17" x14ac:dyDescent="0.2">
      <c r="A144" t="s">
        <v>55</v>
      </c>
      <c r="D144">
        <f>'[12]ES TONS'!H287</f>
        <v>0</v>
      </c>
      <c r="E144">
        <f>'[12]ES TONS'!I287</f>
        <v>0</v>
      </c>
      <c r="F144">
        <f>'[12]ES TONS'!J287</f>
        <v>0</v>
      </c>
      <c r="G144">
        <f>'[12]ES TONS'!K287</f>
        <v>0</v>
      </c>
      <c r="H144">
        <f>'[12]ES TONS'!L287</f>
        <v>0</v>
      </c>
      <c r="I144">
        <f>'[12]ES TONS'!M287</f>
        <v>0</v>
      </c>
      <c r="J144">
        <f>'[12]ES TONS'!N287</f>
        <v>0</v>
      </c>
      <c r="K144">
        <f>'[12]ES TONS'!O287</f>
        <v>0</v>
      </c>
      <c r="L144">
        <f>'[13]ES TONS'!D287</f>
        <v>0</v>
      </c>
      <c r="M144">
        <f>'[13]ES TONS'!E287</f>
        <v>0</v>
      </c>
      <c r="N144">
        <f>'[13]ES TONS'!F287</f>
        <v>0</v>
      </c>
      <c r="O144">
        <f>'[13]ES TONS'!G287</f>
        <v>0</v>
      </c>
      <c r="P144" t="str">
        <f t="shared" si="4"/>
        <v>R</v>
      </c>
      <c r="Q144">
        <f t="shared" si="5"/>
        <v>0</v>
      </c>
    </row>
    <row r="145" spans="1:17" x14ac:dyDescent="0.2">
      <c r="A145" t="s">
        <v>55</v>
      </c>
      <c r="C145" t="s">
        <v>58</v>
      </c>
      <c r="D145">
        <f>'[12]ES TONS'!H288</f>
        <v>116.50199399515215</v>
      </c>
      <c r="E145">
        <f>'[12]ES TONS'!I288</f>
        <v>100.50030185932556</v>
      </c>
      <c r="F145">
        <f>'[12]ES TONS'!J288</f>
        <v>98.943997863101103</v>
      </c>
      <c r="G145">
        <f>'[12]ES TONS'!K288</f>
        <v>108.3136000287342</v>
      </c>
      <c r="H145">
        <f>'[12]ES TONS'!L288</f>
        <v>108.89240001215943</v>
      </c>
      <c r="I145">
        <f>'[12]ES TONS'!M288</f>
        <v>122.2360354290233</v>
      </c>
      <c r="J145">
        <f>'[12]ES TONS'!N288</f>
        <v>107.92883344739691</v>
      </c>
      <c r="K145">
        <f>'[12]ES TONS'!O288</f>
        <v>120.73475299645774</v>
      </c>
      <c r="L145">
        <f>'[13]ES TONS'!D288</f>
        <v>137.74980374317263</v>
      </c>
      <c r="M145">
        <f>'[13]ES TONS'!E288</f>
        <v>98.608668616907792</v>
      </c>
      <c r="N145">
        <f>'[13]ES TONS'!F288</f>
        <v>102.14718190342028</v>
      </c>
      <c r="O145">
        <f>'[13]ES TONS'!G288</f>
        <v>114.381654983635</v>
      </c>
      <c r="P145" t="str">
        <f t="shared" si="4"/>
        <v>RRec tons</v>
      </c>
      <c r="Q145">
        <f t="shared" si="5"/>
        <v>1336.9392248784859</v>
      </c>
    </row>
    <row r="146" spans="1:17" x14ac:dyDescent="0.2">
      <c r="A146" t="s">
        <v>55</v>
      </c>
      <c r="C146" t="s">
        <v>59</v>
      </c>
      <c r="D146">
        <f>'[12]ES TONS'!H289</f>
        <v>243.95827421702006</v>
      </c>
      <c r="E146">
        <f>'[12]ES TONS'!I289</f>
        <v>174.51566183775992</v>
      </c>
      <c r="F146">
        <f>'[12]ES TONS'!J289</f>
        <v>145.96168202234236</v>
      </c>
      <c r="G146">
        <f>'[12]ES TONS'!K289</f>
        <v>124.46466317663892</v>
      </c>
      <c r="H146">
        <f>'[12]ES TONS'!L289</f>
        <v>147.53421396790378</v>
      </c>
      <c r="I146">
        <f>'[12]ES TONS'!M289</f>
        <v>168.92044724653812</v>
      </c>
      <c r="J146">
        <f>'[12]ES TONS'!N289</f>
        <v>230.54336549488525</v>
      </c>
      <c r="K146">
        <f>'[12]ES TONS'!O289</f>
        <v>46.089529322254975</v>
      </c>
      <c r="L146">
        <f>'[13]ES TONS'!D289</f>
        <v>81.278520265423097</v>
      </c>
      <c r="M146">
        <f>'[13]ES TONS'!E289</f>
        <v>40.108441467286454</v>
      </c>
      <c r="N146">
        <f>'[13]ES TONS'!F289</f>
        <v>99.24650635355205</v>
      </c>
      <c r="O146">
        <f>'[13]ES TONS'!G289</f>
        <v>179.46884796075238</v>
      </c>
      <c r="P146" t="str">
        <f t="shared" si="4"/>
        <v xml:space="preserve">RYW tons </v>
      </c>
      <c r="Q146">
        <f t="shared" si="5"/>
        <v>1682.0901533323574</v>
      </c>
    </row>
    <row r="147" spans="1:17" x14ac:dyDescent="0.2">
      <c r="A147" t="s">
        <v>55</v>
      </c>
      <c r="C147" t="s">
        <v>60</v>
      </c>
      <c r="D147">
        <f>'[12]ES TONS'!H290</f>
        <v>178.30166099509592</v>
      </c>
      <c r="E147">
        <f>'[12]ES TONS'!I290</f>
        <v>148.52562733714495</v>
      </c>
      <c r="F147">
        <f>'[12]ES TONS'!J290</f>
        <v>158.0622123030648</v>
      </c>
      <c r="G147">
        <f>'[12]ES TONS'!K290</f>
        <v>171.44309995254173</v>
      </c>
      <c r="H147">
        <f>'[12]ES TONS'!L290</f>
        <v>149.60438589588387</v>
      </c>
      <c r="I147">
        <f>'[12]ES TONS'!M290</f>
        <v>165.03442532937044</v>
      </c>
      <c r="J147">
        <f>'[12]ES TONS'!N290</f>
        <v>152.67914501423655</v>
      </c>
      <c r="K147">
        <f>'[12]ES TONS'!O290</f>
        <v>143.42005909590404</v>
      </c>
      <c r="L147">
        <f>'[13]ES TONS'!D290</f>
        <v>182.26539906854893</v>
      </c>
      <c r="M147">
        <f>'[13]ES TONS'!E290</f>
        <v>127.97719500811337</v>
      </c>
      <c r="N147">
        <f>'[13]ES TONS'!F290</f>
        <v>139.47670975249991</v>
      </c>
      <c r="O147">
        <f>'[13]ES TONS'!G290</f>
        <v>148.60321893235968</v>
      </c>
      <c r="P147" t="str">
        <f t="shared" si="4"/>
        <v>RMSW tons</v>
      </c>
      <c r="Q147">
        <f t="shared" si="5"/>
        <v>1865.3931386847639</v>
      </c>
    </row>
    <row r="148" spans="1:17" x14ac:dyDescent="0.2">
      <c r="A148" t="s">
        <v>65</v>
      </c>
      <c r="B148" t="s">
        <v>82</v>
      </c>
      <c r="C148" t="s">
        <v>56</v>
      </c>
      <c r="D148">
        <f>'[12]ES TONS'!H307</f>
        <v>8412</v>
      </c>
      <c r="E148">
        <f>'[12]ES TONS'!I307</f>
        <v>8426</v>
      </c>
      <c r="F148">
        <f>'[12]ES TONS'!J307</f>
        <v>8426</v>
      </c>
      <c r="G148">
        <f>'[12]ES TONS'!K307</f>
        <v>8442</v>
      </c>
      <c r="H148">
        <f>'[12]ES TONS'!L307</f>
        <v>8500</v>
      </c>
      <c r="I148">
        <f>'[12]ES TONS'!M307</f>
        <v>8524</v>
      </c>
      <c r="J148">
        <f>'[12]ES TONS'!N307</f>
        <v>8496</v>
      </c>
      <c r="K148">
        <f>'[12]ES TONS'!O307</f>
        <v>8560</v>
      </c>
      <c r="L148">
        <f>'[13]ES TONS'!D307</f>
        <v>8542</v>
      </c>
      <c r="M148">
        <f>'[13]ES TONS'!E307</f>
        <v>8553</v>
      </c>
      <c r="N148">
        <f>'[13]ES TONS'!F307</f>
        <v>8565</v>
      </c>
      <c r="O148">
        <f>'[13]ES TONS'!G307</f>
        <v>8599</v>
      </c>
      <c r="P148" t="str">
        <f t="shared" si="4"/>
        <v>NRREC cust</v>
      </c>
      <c r="Q148">
        <f t="shared" si="5"/>
        <v>102045</v>
      </c>
    </row>
    <row r="149" spans="1:17" x14ac:dyDescent="0.2">
      <c r="A149" t="s">
        <v>65</v>
      </c>
      <c r="C149" t="s">
        <v>57</v>
      </c>
      <c r="D149">
        <f>'[12]ES TONS'!H308</f>
        <v>4948</v>
      </c>
      <c r="E149">
        <f>'[12]ES TONS'!I308</f>
        <v>4980</v>
      </c>
      <c r="F149">
        <f>'[12]ES TONS'!J308</f>
        <v>4987</v>
      </c>
      <c r="G149">
        <f>'[12]ES TONS'!K308</f>
        <v>4985</v>
      </c>
      <c r="H149">
        <f>'[12]ES TONS'!L308</f>
        <v>5003</v>
      </c>
      <c r="I149">
        <f>'[12]ES TONS'!M308</f>
        <v>4958</v>
      </c>
      <c r="J149">
        <f>'[12]ES TONS'!N308</f>
        <v>4880</v>
      </c>
      <c r="K149">
        <f>'[12]ES TONS'!O308</f>
        <v>4793</v>
      </c>
      <c r="L149">
        <f>'[13]ES TONS'!D308</f>
        <v>4739</v>
      </c>
      <c r="M149">
        <f>'[13]ES TONS'!E308</f>
        <v>4710</v>
      </c>
      <c r="N149">
        <f>'[13]ES TONS'!F308</f>
        <v>4766</v>
      </c>
      <c r="O149">
        <f>'[13]ES TONS'!G308</f>
        <v>4877</v>
      </c>
      <c r="P149" t="str">
        <f t="shared" si="4"/>
        <v>NRYW cust</v>
      </c>
      <c r="Q149">
        <f t="shared" si="5"/>
        <v>58626</v>
      </c>
    </row>
    <row r="150" spans="1:17" x14ac:dyDescent="0.2">
      <c r="A150" t="s">
        <v>65</v>
      </c>
      <c r="D150">
        <f>'[12]ES TONS'!H309</f>
        <v>0</v>
      </c>
      <c r="E150">
        <f>'[12]ES TONS'!I309</f>
        <v>0</v>
      </c>
      <c r="F150">
        <f>'[12]ES TONS'!J309</f>
        <v>0</v>
      </c>
      <c r="G150">
        <f>'[12]ES TONS'!K309</f>
        <v>0</v>
      </c>
      <c r="H150">
        <f>'[12]ES TONS'!L309</f>
        <v>0</v>
      </c>
      <c r="I150">
        <f>'[12]ES TONS'!M309</f>
        <v>0</v>
      </c>
      <c r="J150">
        <f>'[12]ES TONS'!N309</f>
        <v>0</v>
      </c>
      <c r="K150">
        <f>'[12]ES TONS'!O309</f>
        <v>0</v>
      </c>
      <c r="L150">
        <f>'[13]ES TONS'!D309</f>
        <v>0</v>
      </c>
      <c r="M150">
        <f>'[13]ES TONS'!E309</f>
        <v>0</v>
      </c>
      <c r="N150">
        <f>'[13]ES TONS'!F309</f>
        <v>0</v>
      </c>
      <c r="O150">
        <f>'[13]ES TONS'!G309</f>
        <v>0</v>
      </c>
      <c r="P150" t="str">
        <f t="shared" si="4"/>
        <v>NR</v>
      </c>
      <c r="Q150">
        <f t="shared" si="5"/>
        <v>0</v>
      </c>
    </row>
    <row r="151" spans="1:17" x14ac:dyDescent="0.2">
      <c r="A151" t="s">
        <v>65</v>
      </c>
      <c r="C151" t="s">
        <v>58</v>
      </c>
      <c r="D151">
        <f>'[12]ES TONS'!H310</f>
        <v>302.2970706614297</v>
      </c>
      <c r="E151">
        <f>'[12]ES TONS'!I310</f>
        <v>277.71080653064701</v>
      </c>
      <c r="F151">
        <f>'[12]ES TONS'!J310</f>
        <v>303.37665043121967</v>
      </c>
      <c r="G151">
        <f>'[12]ES TONS'!K310</f>
        <v>289.64256549996423</v>
      </c>
      <c r="H151">
        <f>'[12]ES TONS'!L310</f>
        <v>302.11987983512273</v>
      </c>
      <c r="I151">
        <f>'[12]ES TONS'!M310</f>
        <v>305.05575539046174</v>
      </c>
      <c r="J151">
        <f>'[12]ES TONS'!N310</f>
        <v>295.8242660179335</v>
      </c>
      <c r="K151">
        <f>'[12]ES TONS'!O310</f>
        <v>366.60992718975655</v>
      </c>
      <c r="L151">
        <f>'[13]ES TONS'!D310</f>
        <v>354.14132610978965</v>
      </c>
      <c r="M151">
        <f>'[13]ES TONS'!E310</f>
        <v>257.63127640317867</v>
      </c>
      <c r="N151">
        <f>'[13]ES TONS'!F310</f>
        <v>278.82592381223031</v>
      </c>
      <c r="O151">
        <f>'[13]ES TONS'!G310</f>
        <v>304.53517021184638</v>
      </c>
      <c r="P151" t="str">
        <f t="shared" si="4"/>
        <v>NRRec tons</v>
      </c>
      <c r="Q151">
        <f t="shared" si="5"/>
        <v>3637.7706180935802</v>
      </c>
    </row>
    <row r="152" spans="1:17" x14ac:dyDescent="0.2">
      <c r="A152" t="s">
        <v>65</v>
      </c>
      <c r="C152" t="s">
        <v>59</v>
      </c>
      <c r="D152">
        <f>'[12]ES TONS'!H311</f>
        <v>636.01718850540067</v>
      </c>
      <c r="E152">
        <f>'[12]ES TONS'!I311</f>
        <v>510.65577215408689</v>
      </c>
      <c r="F152">
        <f>'[12]ES TONS'!J311</f>
        <v>450.11301594322879</v>
      </c>
      <c r="G152">
        <f>'[12]ES TONS'!K311</f>
        <v>324.21401777915582</v>
      </c>
      <c r="H152">
        <f>'[12]ES TONS'!L311</f>
        <v>373.62505594694727</v>
      </c>
      <c r="I152">
        <f>'[12]ES TONS'!M311</f>
        <v>398.0997661388792</v>
      </c>
      <c r="J152">
        <f>'[12]ES TONS'!N311</f>
        <v>655.14353223621845</v>
      </c>
      <c r="K152">
        <f>'[12]ES TONS'!O311</f>
        <v>179.3157047548907</v>
      </c>
      <c r="L152">
        <f>'[13]ES TONS'!D311</f>
        <v>216.5056179901398</v>
      </c>
      <c r="M152">
        <f>'[13]ES TONS'!E311</f>
        <v>126.97164848011134</v>
      </c>
      <c r="N152">
        <f>'[13]ES TONS'!F311</f>
        <v>310.9840747162533</v>
      </c>
      <c r="O152">
        <f>'[13]ES TONS'!G311</f>
        <v>500.2904163944159</v>
      </c>
      <c r="P152" t="str">
        <f t="shared" si="4"/>
        <v xml:space="preserve">NRYW tons </v>
      </c>
      <c r="Q152">
        <f t="shared" si="5"/>
        <v>4681.9358110397279</v>
      </c>
    </row>
    <row r="153" spans="1:17" x14ac:dyDescent="0.2">
      <c r="A153" t="s">
        <v>65</v>
      </c>
      <c r="C153" t="s">
        <v>60</v>
      </c>
      <c r="D153">
        <f>'[12]ES TONS'!H312</f>
        <v>473.3354163585862</v>
      </c>
      <c r="E153">
        <f>'[12]ES TONS'!I312</f>
        <v>447.54807614345515</v>
      </c>
      <c r="F153">
        <f>'[12]ES TONS'!J312</f>
        <v>509.1950878549776</v>
      </c>
      <c r="G153">
        <f>'[12]ES TONS'!K312</f>
        <v>447.51900953653058</v>
      </c>
      <c r="H153">
        <f>'[12]ES TONS'!L312</f>
        <v>461.17223518085069</v>
      </c>
      <c r="I153">
        <f>'[12]ES TONS'!M312</f>
        <v>442.33073320556457</v>
      </c>
      <c r="J153">
        <f>'[12]ES TONS'!N312</f>
        <v>440.338070635056</v>
      </c>
      <c r="K153">
        <f>'[12]ES TONS'!O312</f>
        <v>477.95146364274797</v>
      </c>
      <c r="L153">
        <f>'[13]ES TONS'!D312</f>
        <v>481.08946852024388</v>
      </c>
      <c r="M153">
        <f>'[13]ES TONS'!E312</f>
        <v>381.96085944139054</v>
      </c>
      <c r="N153">
        <f>'[13]ES TONS'!F312</f>
        <v>419.75034747367317</v>
      </c>
      <c r="O153">
        <f>'[13]ES TONS'!G312</f>
        <v>446.66666671709999</v>
      </c>
      <c r="P153" t="str">
        <f t="shared" si="4"/>
        <v>NRMSW tons</v>
      </c>
      <c r="Q153">
        <f t="shared" si="5"/>
        <v>5428.8574347101767</v>
      </c>
    </row>
    <row r="154" spans="1:17" x14ac:dyDescent="0.2">
      <c r="A154" t="s">
        <v>65</v>
      </c>
      <c r="B154" t="s">
        <v>83</v>
      </c>
      <c r="C154" t="s">
        <v>56</v>
      </c>
      <c r="D154">
        <f>'[12]ES TONS'!H329</f>
        <v>1493</v>
      </c>
      <c r="E154">
        <f>'[12]ES TONS'!I329</f>
        <v>1494</v>
      </c>
      <c r="F154">
        <f>'[12]ES TONS'!J329</f>
        <v>1508</v>
      </c>
      <c r="G154">
        <f>'[12]ES TONS'!K329</f>
        <v>1516</v>
      </c>
      <c r="H154">
        <f>'[12]ES TONS'!L329</f>
        <v>1527</v>
      </c>
      <c r="I154">
        <f>'[12]ES TONS'!M329</f>
        <v>1539</v>
      </c>
      <c r="J154">
        <f>'[12]ES TONS'!N329</f>
        <v>1548</v>
      </c>
      <c r="K154">
        <f>'[12]ES TONS'!O329</f>
        <v>1558</v>
      </c>
      <c r="L154">
        <f>'[13]ES TONS'!D329</f>
        <v>1561</v>
      </c>
      <c r="M154">
        <f>'[13]ES TONS'!E329</f>
        <v>1569</v>
      </c>
      <c r="N154">
        <f>'[13]ES TONS'!F329</f>
        <v>1583</v>
      </c>
      <c r="O154">
        <f>'[13]ES TONS'!G329</f>
        <v>1597</v>
      </c>
      <c r="P154" t="str">
        <f t="shared" si="4"/>
        <v>NRREC cust</v>
      </c>
      <c r="Q154">
        <f t="shared" si="5"/>
        <v>18493</v>
      </c>
    </row>
    <row r="155" spans="1:17" x14ac:dyDescent="0.2">
      <c r="A155" t="s">
        <v>65</v>
      </c>
      <c r="C155" t="s">
        <v>57</v>
      </c>
      <c r="D155">
        <f>'[12]ES TONS'!H330</f>
        <v>1118</v>
      </c>
      <c r="E155">
        <f>'[12]ES TONS'!I330</f>
        <v>1128</v>
      </c>
      <c r="F155">
        <f>'[12]ES TONS'!J330</f>
        <v>1119</v>
      </c>
      <c r="G155">
        <f>'[12]ES TONS'!K330</f>
        <v>1144</v>
      </c>
      <c r="H155">
        <f>'[12]ES TONS'!L330</f>
        <v>1162</v>
      </c>
      <c r="I155">
        <f>'[12]ES TONS'!M330</f>
        <v>1185</v>
      </c>
      <c r="J155">
        <f>'[12]ES TONS'!N330</f>
        <v>1194</v>
      </c>
      <c r="K155">
        <f>'[12]ES TONS'!O330</f>
        <v>1205</v>
      </c>
      <c r="L155">
        <f>'[13]ES TONS'!D330</f>
        <v>1186</v>
      </c>
      <c r="M155">
        <f>'[13]ES TONS'!E330</f>
        <v>1203</v>
      </c>
      <c r="N155">
        <f>'[13]ES TONS'!F330</f>
        <v>1224</v>
      </c>
      <c r="O155">
        <f>'[13]ES TONS'!G330</f>
        <v>1233</v>
      </c>
      <c r="P155" t="str">
        <f t="shared" si="4"/>
        <v>NRYW cust</v>
      </c>
      <c r="Q155">
        <f t="shared" si="5"/>
        <v>14101</v>
      </c>
    </row>
    <row r="156" spans="1:17" x14ac:dyDescent="0.2">
      <c r="A156" t="s">
        <v>65</v>
      </c>
      <c r="D156">
        <f>'[12]ES TONS'!H331</f>
        <v>0</v>
      </c>
      <c r="E156">
        <f>'[12]ES TONS'!I331</f>
        <v>0</v>
      </c>
      <c r="F156">
        <f>'[12]ES TONS'!J331</f>
        <v>0</v>
      </c>
      <c r="G156">
        <f>'[12]ES TONS'!K331</f>
        <v>0</v>
      </c>
      <c r="H156">
        <f>'[12]ES TONS'!L331</f>
        <v>0</v>
      </c>
      <c r="I156">
        <f>'[12]ES TONS'!M331</f>
        <v>0</v>
      </c>
      <c r="J156">
        <f>'[12]ES TONS'!N331</f>
        <v>0</v>
      </c>
      <c r="K156">
        <f>'[12]ES TONS'!O331</f>
        <v>0</v>
      </c>
      <c r="L156">
        <f>'[13]ES TONS'!D331</f>
        <v>0</v>
      </c>
      <c r="M156">
        <f>'[13]ES TONS'!E331</f>
        <v>0</v>
      </c>
      <c r="N156">
        <f>'[13]ES TONS'!F331</f>
        <v>0</v>
      </c>
      <c r="O156">
        <f>'[13]ES TONS'!G331</f>
        <v>0</v>
      </c>
      <c r="P156" t="str">
        <f t="shared" si="4"/>
        <v>NR</v>
      </c>
      <c r="Q156">
        <f t="shared" si="5"/>
        <v>0</v>
      </c>
    </row>
    <row r="157" spans="1:17" x14ac:dyDescent="0.2">
      <c r="A157" t="s">
        <v>65</v>
      </c>
      <c r="C157" t="s">
        <v>58</v>
      </c>
      <c r="D157">
        <f>'[12]ES TONS'!H332</f>
        <v>54.899927301333364</v>
      </c>
      <c r="E157">
        <f>'[12]ES TONS'!I332</f>
        <v>44.148857938608835</v>
      </c>
      <c r="F157">
        <f>'[12]ES TONS'!J332</f>
        <v>55.47455810953258</v>
      </c>
      <c r="G157">
        <f>'[12]ES TONS'!K332</f>
        <v>47.262048397589268</v>
      </c>
      <c r="H157">
        <f>'[12]ES TONS'!L332</f>
        <v>48.397918557103004</v>
      </c>
      <c r="I157">
        <f>'[12]ES TONS'!M332</f>
        <v>46.524983290156925</v>
      </c>
      <c r="J157">
        <f>'[12]ES TONS'!N332</f>
        <v>52.442944366087126</v>
      </c>
      <c r="K157">
        <f>'[12]ES TONS'!O332</f>
        <v>51.723982073783496</v>
      </c>
      <c r="L157">
        <f>'[13]ES TONS'!D332</f>
        <v>54.469283671823511</v>
      </c>
      <c r="M157">
        <f>'[13]ES TONS'!E332</f>
        <v>44.81929006727821</v>
      </c>
      <c r="N157">
        <f>'[13]ES TONS'!F332</f>
        <v>49.634886015673864</v>
      </c>
      <c r="O157">
        <f>'[13]ES TONS'!G332</f>
        <v>49.636678467959136</v>
      </c>
      <c r="P157" t="str">
        <f t="shared" si="4"/>
        <v>NRRec tons</v>
      </c>
      <c r="Q157">
        <f t="shared" si="5"/>
        <v>599.43535825692925</v>
      </c>
    </row>
    <row r="158" spans="1:17" x14ac:dyDescent="0.2">
      <c r="A158" t="s">
        <v>65</v>
      </c>
      <c r="C158" t="s">
        <v>59</v>
      </c>
      <c r="D158">
        <f>'[12]ES TONS'!H333</f>
        <v>96.942227638465525</v>
      </c>
      <c r="E158">
        <f>'[12]ES TONS'!I333</f>
        <v>96.868236358863214</v>
      </c>
      <c r="F158">
        <f>'[12]ES TONS'!J333</f>
        <v>93.364542448213783</v>
      </c>
      <c r="G158">
        <f>'[12]ES TONS'!K333</f>
        <v>54.258337748985937</v>
      </c>
      <c r="H158">
        <f>'[12]ES TONS'!L333</f>
        <v>65.878557219484179</v>
      </c>
      <c r="I158">
        <f>'[12]ES TONS'!M333</f>
        <v>52.513149607580011</v>
      </c>
      <c r="J158">
        <f>'[12]ES TONS'!N333</f>
        <v>77.588097246574279</v>
      </c>
      <c r="K158">
        <f>'[12]ES TONS'!O333</f>
        <v>40.311576069946838</v>
      </c>
      <c r="L158">
        <f>'[13]ES TONS'!D333</f>
        <v>46.315314542702964</v>
      </c>
      <c r="M158">
        <f>'[13]ES TONS'!E333</f>
        <v>17.786562433942944</v>
      </c>
      <c r="N158">
        <f>'[13]ES TONS'!F333</f>
        <v>52.65039645121675</v>
      </c>
      <c r="O158">
        <f>'[13]ES TONS'!G333</f>
        <v>72.754504057136842</v>
      </c>
      <c r="P158" t="str">
        <f t="shared" si="4"/>
        <v xml:space="preserve">NRYW tons </v>
      </c>
      <c r="Q158">
        <f t="shared" si="5"/>
        <v>767.23150182311304</v>
      </c>
    </row>
    <row r="159" spans="1:17" x14ac:dyDescent="0.2">
      <c r="A159" t="s">
        <v>65</v>
      </c>
      <c r="C159" t="s">
        <v>60</v>
      </c>
      <c r="D159">
        <f>'[12]ES TONS'!H334</f>
        <v>80.871104324307197</v>
      </c>
      <c r="E159">
        <f>'[12]ES TONS'!I334</f>
        <v>77.522910113727079</v>
      </c>
      <c r="F159">
        <f>'[12]ES TONS'!J334</f>
        <v>94.282742079817311</v>
      </c>
      <c r="G159">
        <f>'[12]ES TONS'!K334</f>
        <v>83.168071989146455</v>
      </c>
      <c r="H159">
        <f>'[12]ES TONS'!L334</f>
        <v>84.134024528822493</v>
      </c>
      <c r="I159">
        <f>'[12]ES TONS'!M334</f>
        <v>82.045107233083542</v>
      </c>
      <c r="J159">
        <f>'[12]ES TONS'!N334</f>
        <v>92.541675047516378</v>
      </c>
      <c r="K159">
        <f>'[12]ES TONS'!O334</f>
        <v>95.971598442845661</v>
      </c>
      <c r="L159">
        <f>'[13]ES TONS'!D334</f>
        <v>83.901212226166606</v>
      </c>
      <c r="M159">
        <f>'[13]ES TONS'!E334</f>
        <v>71.409178384971355</v>
      </c>
      <c r="N159">
        <f>'[13]ES TONS'!F334</f>
        <v>81.134896313132003</v>
      </c>
      <c r="O159">
        <f>'[13]ES TONS'!G334</f>
        <v>85.004934283644644</v>
      </c>
      <c r="P159" t="str">
        <f t="shared" si="4"/>
        <v>NRMSW tons</v>
      </c>
      <c r="Q159">
        <f t="shared" si="5"/>
        <v>1011.9874549671807</v>
      </c>
    </row>
    <row r="160" spans="1:17" x14ac:dyDescent="0.2">
      <c r="P160" t="str">
        <f t="shared" si="4"/>
        <v/>
      </c>
    </row>
    <row r="161" spans="1:22" x14ac:dyDescent="0.2">
      <c r="P161" t="str">
        <f t="shared" si="4"/>
        <v/>
      </c>
    </row>
    <row r="162" spans="1:22" x14ac:dyDescent="0.2">
      <c r="H162" s="319" t="s">
        <v>137</v>
      </c>
      <c r="I162" s="319"/>
      <c r="J162" s="319"/>
      <c r="K162" s="319"/>
      <c r="P162" t="str">
        <f t="shared" si="4"/>
        <v/>
      </c>
    </row>
    <row r="163" spans="1:22" x14ac:dyDescent="0.2">
      <c r="D163" t="s">
        <v>84</v>
      </c>
      <c r="E163" t="s">
        <v>136</v>
      </c>
      <c r="F163" t="s">
        <v>86</v>
      </c>
      <c r="G163" t="s">
        <v>87</v>
      </c>
      <c r="H163" t="s">
        <v>88</v>
      </c>
      <c r="I163" t="s">
        <v>89</v>
      </c>
      <c r="J163" t="s">
        <v>90</v>
      </c>
      <c r="K163" t="s">
        <v>91</v>
      </c>
      <c r="L163" t="s">
        <v>92</v>
      </c>
      <c r="M163" t="s">
        <v>93</v>
      </c>
      <c r="N163" t="s">
        <v>94</v>
      </c>
      <c r="O163" t="s">
        <v>95</v>
      </c>
      <c r="P163" t="str">
        <f t="shared" si="4"/>
        <v/>
      </c>
      <c r="R163" t="s">
        <v>96</v>
      </c>
      <c r="S163" t="s">
        <v>97</v>
      </c>
      <c r="T163" t="s">
        <v>98</v>
      </c>
      <c r="U163" t="s">
        <v>99</v>
      </c>
      <c r="V163" t="s">
        <v>57</v>
      </c>
    </row>
    <row r="164" spans="1:22" x14ac:dyDescent="0.2">
      <c r="A164" t="s">
        <v>65</v>
      </c>
      <c r="B164" t="s">
        <v>54</v>
      </c>
      <c r="C164" t="s">
        <v>56</v>
      </c>
      <c r="D164" s="170">
        <v>803</v>
      </c>
      <c r="E164" s="170">
        <v>812</v>
      </c>
      <c r="F164" s="170">
        <v>794</v>
      </c>
      <c r="G164" s="170">
        <v>796</v>
      </c>
      <c r="H164" s="170">
        <v>805</v>
      </c>
      <c r="I164" s="170">
        <v>820</v>
      </c>
      <c r="J164" s="170">
        <v>818</v>
      </c>
      <c r="K164" s="170">
        <v>830</v>
      </c>
      <c r="L164" s="170">
        <v>828</v>
      </c>
      <c r="M164" s="170">
        <v>828</v>
      </c>
      <c r="N164" s="170">
        <v>835</v>
      </c>
      <c r="O164" s="170">
        <v>830</v>
      </c>
      <c r="P164" t="str">
        <f t="shared" si="4"/>
        <v>NRREC cust</v>
      </c>
      <c r="Q164" s="174">
        <f>SUM(D164:O164)</f>
        <v>9799</v>
      </c>
      <c r="R164">
        <f ca="1">SUMIF($P$164:$P329,$P$13,Q164:Q320)</f>
        <v>11884.940543423603</v>
      </c>
      <c r="S164">
        <f>SUMIF($P164:$P320,$P$14,$Q164:$Q320)</f>
        <v>12131.026008510386</v>
      </c>
      <c r="T164">
        <f>SUMIF($P164:$P320,$P$12,$Q164:$Q320)</f>
        <v>24249.781925852778</v>
      </c>
      <c r="U164">
        <f>SUMIF($P164:$P320,$P$170,$O164:$O320)</f>
        <v>34089</v>
      </c>
      <c r="V164">
        <f>SUMIF($P164:$P320,$P$10,$O164:$O320)</f>
        <v>15181</v>
      </c>
    </row>
    <row r="165" spans="1:22" x14ac:dyDescent="0.2">
      <c r="A165" t="s">
        <v>65</v>
      </c>
      <c r="C165" t="s">
        <v>57</v>
      </c>
      <c r="D165" s="170">
        <v>462</v>
      </c>
      <c r="E165" s="170">
        <v>463</v>
      </c>
      <c r="F165" s="170">
        <v>461</v>
      </c>
      <c r="G165" s="170">
        <v>461</v>
      </c>
      <c r="H165" s="170">
        <v>464</v>
      </c>
      <c r="I165" s="170">
        <v>469</v>
      </c>
      <c r="J165" s="170">
        <v>466</v>
      </c>
      <c r="K165" s="170">
        <v>471</v>
      </c>
      <c r="L165" s="170">
        <v>472</v>
      </c>
      <c r="M165" s="170">
        <v>476</v>
      </c>
      <c r="N165" s="170">
        <v>484</v>
      </c>
      <c r="O165" s="170">
        <v>487</v>
      </c>
      <c r="P165" t="str">
        <f t="shared" si="4"/>
        <v>NRYW cust</v>
      </c>
      <c r="Q165">
        <f t="shared" si="5"/>
        <v>5636</v>
      </c>
    </row>
    <row r="166" spans="1:22" x14ac:dyDescent="0.2">
      <c r="A166" t="s">
        <v>65</v>
      </c>
      <c r="D166" s="170"/>
      <c r="E166" s="170"/>
      <c r="F166" s="170"/>
      <c r="G166" s="170"/>
      <c r="H166" s="170"/>
      <c r="I166" s="170"/>
      <c r="J166" s="170"/>
      <c r="K166" s="170"/>
      <c r="L166" s="170"/>
      <c r="M166" s="170"/>
      <c r="N166" s="170"/>
      <c r="O166" s="170"/>
      <c r="P166" t="str">
        <f t="shared" si="4"/>
        <v>NR</v>
      </c>
      <c r="Q166">
        <f t="shared" si="5"/>
        <v>0</v>
      </c>
    </row>
    <row r="167" spans="1:22" x14ac:dyDescent="0.2">
      <c r="A167" t="s">
        <v>65</v>
      </c>
      <c r="C167" t="s">
        <v>60</v>
      </c>
      <c r="D167" s="171">
        <v>20.244849683356303</v>
      </c>
      <c r="E167" s="171">
        <v>16.898558535711686</v>
      </c>
      <c r="F167" s="171">
        <v>17.935147850012228</v>
      </c>
      <c r="G167" s="171">
        <v>27.533566421309509</v>
      </c>
      <c r="H167" s="171">
        <v>20.155211023000863</v>
      </c>
      <c r="I167" s="171">
        <v>19.363058733097063</v>
      </c>
      <c r="J167" s="171">
        <v>20.159172022748987</v>
      </c>
      <c r="K167" s="171">
        <v>30.362765648194245</v>
      </c>
      <c r="L167" s="171">
        <v>47.020608863252413</v>
      </c>
      <c r="M167" s="171">
        <v>47.173454540703318</v>
      </c>
      <c r="N167" s="171">
        <v>52.444285476211938</v>
      </c>
      <c r="O167" s="171">
        <v>48.397608907205971</v>
      </c>
      <c r="P167" t="str">
        <f t="shared" si="4"/>
        <v>NRMSW tons</v>
      </c>
      <c r="Q167">
        <f t="shared" si="5"/>
        <v>367.68828770480451</v>
      </c>
    </row>
    <row r="168" spans="1:22" x14ac:dyDescent="0.2">
      <c r="A168" t="s">
        <v>65</v>
      </c>
      <c r="C168" t="s">
        <v>58</v>
      </c>
      <c r="D168" s="171">
        <v>29.021387096399749</v>
      </c>
      <c r="E168" s="171">
        <v>34.541281854756022</v>
      </c>
      <c r="F168" s="171">
        <v>30.482160855985413</v>
      </c>
      <c r="G168" s="171">
        <v>14.725924424451431</v>
      </c>
      <c r="H168" s="171">
        <v>18.198865930610662</v>
      </c>
      <c r="I168" s="171">
        <v>20.50617103370039</v>
      </c>
      <c r="J168" s="171">
        <v>18.450343322391763</v>
      </c>
      <c r="K168" s="171">
        <v>12.24911373826931</v>
      </c>
      <c r="L168" s="171">
        <v>30.539971679848769</v>
      </c>
      <c r="M168" s="171">
        <v>22.929684082114097</v>
      </c>
      <c r="N168" s="171">
        <v>31.046789783245561</v>
      </c>
      <c r="O168" s="171">
        <v>25.604438977947588</v>
      </c>
      <c r="P168" t="str">
        <f t="shared" si="4"/>
        <v>NRRec tons</v>
      </c>
      <c r="Q168">
        <f t="shared" si="5"/>
        <v>288.29613277972078</v>
      </c>
    </row>
    <row r="169" spans="1:22" x14ac:dyDescent="0.2">
      <c r="A169" t="s">
        <v>65</v>
      </c>
      <c r="C169" t="s">
        <v>59</v>
      </c>
      <c r="D169" s="171">
        <v>48.691800107460324</v>
      </c>
      <c r="E169" s="171">
        <v>60.283751706592717</v>
      </c>
      <c r="F169" s="171">
        <v>46.564299099495095</v>
      </c>
      <c r="G169" s="171">
        <v>61.740207357165936</v>
      </c>
      <c r="H169" s="171">
        <v>48.127873306312267</v>
      </c>
      <c r="I169" s="171">
        <v>47.424365051943063</v>
      </c>
      <c r="J169" s="171">
        <v>57.18513930386321</v>
      </c>
      <c r="K169" s="171">
        <v>50.337504401547278</v>
      </c>
      <c r="L169" s="171">
        <v>9.9594087229483304</v>
      </c>
      <c r="M169" s="171">
        <v>10.941247161061451</v>
      </c>
      <c r="N169" s="171">
        <v>14.00859576938034</v>
      </c>
      <c r="O169" s="171">
        <v>31.627723177415437</v>
      </c>
      <c r="P169" t="str">
        <f t="shared" si="4"/>
        <v xml:space="preserve">NRYW tons </v>
      </c>
      <c r="Q169">
        <f t="shared" si="5"/>
        <v>486.89191516518542</v>
      </c>
    </row>
    <row r="170" spans="1:22" x14ac:dyDescent="0.2">
      <c r="A170" t="s">
        <v>55</v>
      </c>
      <c r="B170" t="s">
        <v>61</v>
      </c>
      <c r="C170" t="s">
        <v>56</v>
      </c>
      <c r="D170" s="170">
        <v>2746</v>
      </c>
      <c r="E170" s="170">
        <v>2775</v>
      </c>
      <c r="F170" s="170">
        <v>2717</v>
      </c>
      <c r="G170" s="170">
        <v>2725</v>
      </c>
      <c r="H170" s="170">
        <v>2766</v>
      </c>
      <c r="I170" s="170">
        <v>2746</v>
      </c>
      <c r="J170" s="170">
        <v>2734</v>
      </c>
      <c r="K170" s="170">
        <v>2770</v>
      </c>
      <c r="L170" s="170">
        <v>4614</v>
      </c>
      <c r="M170" s="170">
        <v>4657</v>
      </c>
      <c r="N170" s="170">
        <v>4711</v>
      </c>
      <c r="O170" s="170">
        <v>4654</v>
      </c>
      <c r="P170" t="str">
        <f t="shared" si="4"/>
        <v>RREC cust</v>
      </c>
      <c r="Q170">
        <f t="shared" si="5"/>
        <v>40615</v>
      </c>
    </row>
    <row r="171" spans="1:22" x14ac:dyDescent="0.2">
      <c r="A171" t="s">
        <v>55</v>
      </c>
      <c r="C171" t="s">
        <v>57</v>
      </c>
      <c r="D171" s="170">
        <v>1338</v>
      </c>
      <c r="E171" s="170">
        <v>1362</v>
      </c>
      <c r="F171" s="170">
        <v>1347</v>
      </c>
      <c r="G171" s="170">
        <v>1346</v>
      </c>
      <c r="H171" s="170">
        <v>1358</v>
      </c>
      <c r="I171" s="170">
        <v>1327</v>
      </c>
      <c r="J171" s="170">
        <v>1311</v>
      </c>
      <c r="K171" s="170">
        <v>1312</v>
      </c>
      <c r="L171" s="170">
        <v>2413</v>
      </c>
      <c r="M171" s="170">
        <v>2420</v>
      </c>
      <c r="N171" s="170">
        <v>2468</v>
      </c>
      <c r="O171" s="170">
        <v>2499</v>
      </c>
      <c r="P171" t="str">
        <f t="shared" si="4"/>
        <v>RYW cust</v>
      </c>
      <c r="Q171">
        <f t="shared" si="5"/>
        <v>20501</v>
      </c>
    </row>
    <row r="172" spans="1:22" x14ac:dyDescent="0.2">
      <c r="A172" t="s">
        <v>55</v>
      </c>
      <c r="D172" s="170"/>
      <c r="E172" s="170"/>
      <c r="F172" s="170"/>
      <c r="G172" s="170"/>
      <c r="H172" s="170"/>
      <c r="I172" s="170"/>
      <c r="J172" s="170"/>
      <c r="K172" s="170"/>
      <c r="L172" s="170"/>
      <c r="M172" s="170"/>
      <c r="N172" s="170"/>
      <c r="O172" s="170"/>
      <c r="P172" t="str">
        <f t="shared" si="4"/>
        <v>R</v>
      </c>
      <c r="Q172">
        <f t="shared" si="5"/>
        <v>0</v>
      </c>
    </row>
    <row r="173" spans="1:22" x14ac:dyDescent="0.2">
      <c r="A173" t="s">
        <v>55</v>
      </c>
      <c r="C173" t="s">
        <v>60</v>
      </c>
      <c r="D173" s="171">
        <f>'[14]183'!N4</f>
        <v>183.17</v>
      </c>
      <c r="E173" s="171">
        <f>'[14]183'!O4</f>
        <v>166.56</v>
      </c>
      <c r="F173" s="171">
        <f>'[14]183'!P4</f>
        <v>195.89</v>
      </c>
      <c r="G173" s="171">
        <f>'[14]183'!Q4</f>
        <v>188.2</v>
      </c>
      <c r="H173" s="171">
        <f>'[14]183'!R4</f>
        <v>147.69999999999999</v>
      </c>
      <c r="I173" s="171">
        <f>'[14]183'!S4</f>
        <v>179.07890710547653</v>
      </c>
      <c r="J173" s="171">
        <f>'[14]183'!T4</f>
        <v>173.18945078900731</v>
      </c>
      <c r="K173" s="171">
        <f>'[14]183'!U4</f>
        <v>167.84199579008526</v>
      </c>
      <c r="L173" s="171">
        <v>277.74150967482188</v>
      </c>
      <c r="M173" s="171">
        <v>223.27026853544666</v>
      </c>
      <c r="N173" s="171">
        <v>241.40409751114785</v>
      </c>
      <c r="O173" s="171">
        <v>276.50410285052538</v>
      </c>
      <c r="P173" t="str">
        <f t="shared" si="4"/>
        <v>RMSW tons</v>
      </c>
      <c r="Q173">
        <f t="shared" si="5"/>
        <v>2420.5503322565105</v>
      </c>
    </row>
    <row r="174" spans="1:22" x14ac:dyDescent="0.2">
      <c r="A174" t="s">
        <v>55</v>
      </c>
      <c r="C174" t="s">
        <v>58</v>
      </c>
      <c r="D174" s="176">
        <f>'[14]183'!N18</f>
        <v>53.84</v>
      </c>
      <c r="E174" s="176">
        <f>'[14]183'!O18</f>
        <v>56.96</v>
      </c>
      <c r="F174" s="176">
        <f>'[14]183'!P18</f>
        <v>63.49</v>
      </c>
      <c r="G174" s="176">
        <f>'[14]183'!Q18</f>
        <v>74.040000000000006</v>
      </c>
      <c r="H174" s="176">
        <f>'[14]183'!R18</f>
        <v>58.13</v>
      </c>
      <c r="I174" s="176">
        <f>'[14]183'!S18</f>
        <v>58.746914073971737</v>
      </c>
      <c r="J174" s="176">
        <f>'[14]183'!T18</f>
        <v>65.024473096908238</v>
      </c>
      <c r="K174" s="176">
        <f>'[14]183'!U18</f>
        <v>77.022137187004404</v>
      </c>
      <c r="L174" s="171">
        <v>149.87162408587525</v>
      </c>
      <c r="M174" s="171">
        <v>97.163087279375176</v>
      </c>
      <c r="N174" s="171">
        <v>106.49339007913179</v>
      </c>
      <c r="O174" s="171">
        <v>108.27366883384202</v>
      </c>
      <c r="P174" t="str">
        <f t="shared" si="4"/>
        <v>RRec tons</v>
      </c>
      <c r="Q174">
        <f t="shared" si="5"/>
        <v>969.05529463610878</v>
      </c>
    </row>
    <row r="175" spans="1:22" x14ac:dyDescent="0.2">
      <c r="A175" t="s">
        <v>55</v>
      </c>
      <c r="C175" t="s">
        <v>59</v>
      </c>
      <c r="D175" s="171">
        <f>'[14]183'!N12</f>
        <v>153.74</v>
      </c>
      <c r="E175" s="171">
        <f>'[14]183'!O12</f>
        <v>113.35</v>
      </c>
      <c r="F175" s="171">
        <f>'[14]183'!P12</f>
        <v>122.53</v>
      </c>
      <c r="G175" s="171">
        <f>'[14]183'!Q12</f>
        <v>60.64</v>
      </c>
      <c r="H175" s="171">
        <f>'[14]183'!R12</f>
        <v>49.19</v>
      </c>
      <c r="I175" s="171">
        <f>'[14]183'!S12</f>
        <v>42.42416168166217</v>
      </c>
      <c r="J175" s="171">
        <f>'[14]183'!T12</f>
        <v>94.371783083790959</v>
      </c>
      <c r="K175" s="171">
        <f>'[14]183'!U12</f>
        <v>44.513382768208352</v>
      </c>
      <c r="L175" s="171">
        <v>63.47759418284646</v>
      </c>
      <c r="M175" s="171">
        <v>58.078736457875472</v>
      </c>
      <c r="N175" s="171">
        <v>128.87159894015107</v>
      </c>
      <c r="O175" s="171">
        <v>247.28801934467506</v>
      </c>
      <c r="P175" t="str">
        <f t="shared" si="4"/>
        <v xml:space="preserve">RYW tons </v>
      </c>
      <c r="Q175">
        <f t="shared" si="5"/>
        <v>1178.4752764592097</v>
      </c>
    </row>
    <row r="176" spans="1:22" x14ac:dyDescent="0.2">
      <c r="A176" t="s">
        <v>55</v>
      </c>
      <c r="B176" t="s">
        <v>62</v>
      </c>
      <c r="C176" t="s">
        <v>56</v>
      </c>
      <c r="D176" s="170">
        <v>1849</v>
      </c>
      <c r="E176" s="170">
        <v>1873</v>
      </c>
      <c r="F176" s="170">
        <v>1834</v>
      </c>
      <c r="G176" s="170">
        <v>1857</v>
      </c>
      <c r="H176" s="170">
        <v>1861</v>
      </c>
      <c r="I176" s="170">
        <v>1835</v>
      </c>
      <c r="J176" s="170">
        <v>1853</v>
      </c>
      <c r="K176" s="170">
        <v>1874</v>
      </c>
      <c r="P176" t="str">
        <f t="shared" si="4"/>
        <v>RREC cust</v>
      </c>
      <c r="Q176">
        <f t="shared" si="5"/>
        <v>14836</v>
      </c>
    </row>
    <row r="177" spans="1:17" x14ac:dyDescent="0.2">
      <c r="A177" t="s">
        <v>55</v>
      </c>
      <c r="C177" t="s">
        <v>57</v>
      </c>
      <c r="D177" s="170">
        <v>1113</v>
      </c>
      <c r="E177" s="170">
        <v>1130</v>
      </c>
      <c r="F177" s="170">
        <v>1119</v>
      </c>
      <c r="G177" s="170">
        <v>1131</v>
      </c>
      <c r="H177" s="170">
        <v>1126</v>
      </c>
      <c r="I177" s="170">
        <v>1113</v>
      </c>
      <c r="J177" s="170">
        <v>1114</v>
      </c>
      <c r="K177" s="170">
        <v>1119</v>
      </c>
      <c r="P177" t="str">
        <f t="shared" si="4"/>
        <v>RYW cust</v>
      </c>
      <c r="Q177">
        <f t="shared" si="5"/>
        <v>8965</v>
      </c>
    </row>
    <row r="178" spans="1:17" x14ac:dyDescent="0.2">
      <c r="A178" t="s">
        <v>55</v>
      </c>
      <c r="D178" s="170"/>
      <c r="E178" s="170"/>
      <c r="F178" s="170"/>
      <c r="G178" s="170"/>
      <c r="H178" s="170"/>
      <c r="I178" s="170"/>
      <c r="J178" s="170"/>
      <c r="K178" s="170"/>
      <c r="P178" t="str">
        <f t="shared" si="4"/>
        <v>R</v>
      </c>
      <c r="Q178">
        <f t="shared" si="5"/>
        <v>0</v>
      </c>
    </row>
    <row r="179" spans="1:17" x14ac:dyDescent="0.2">
      <c r="A179" t="s">
        <v>55</v>
      </c>
      <c r="C179" t="s">
        <v>60</v>
      </c>
      <c r="D179" s="171">
        <f>'[14]183'!N5</f>
        <v>114.34</v>
      </c>
      <c r="E179" s="171">
        <f>'[14]183'!O5</f>
        <v>99.55</v>
      </c>
      <c r="F179" s="171">
        <f>'[14]183'!P5</f>
        <v>121.34</v>
      </c>
      <c r="G179" s="171">
        <f>'[14]183'!Q5</f>
        <v>108.94</v>
      </c>
      <c r="H179" s="171">
        <f>'[14]183'!R5</f>
        <v>104.12</v>
      </c>
      <c r="I179" s="171">
        <f>'[14]183'!S5</f>
        <v>119.88386729788182</v>
      </c>
      <c r="J179" s="171">
        <f>'[14]183'!T5</f>
        <v>94.184980208823845</v>
      </c>
      <c r="K179" s="171">
        <f>'[14]183'!U5</f>
        <v>100.0708741317322</v>
      </c>
      <c r="P179" t="str">
        <f t="shared" si="4"/>
        <v>RMSW tons</v>
      </c>
      <c r="Q179">
        <f t="shared" si="5"/>
        <v>862.42972163843785</v>
      </c>
    </row>
    <row r="180" spans="1:17" x14ac:dyDescent="0.2">
      <c r="A180" t="s">
        <v>55</v>
      </c>
      <c r="C180" t="s">
        <v>58</v>
      </c>
      <c r="D180" s="171">
        <f>'[14]183'!N19</f>
        <v>52.43</v>
      </c>
      <c r="E180" s="171">
        <f>'[14]183'!O19</f>
        <v>44.95</v>
      </c>
      <c r="F180" s="171">
        <f>'[14]183'!P19</f>
        <v>48.37</v>
      </c>
      <c r="G180" s="171">
        <f>'[14]183'!Q19</f>
        <v>51.26</v>
      </c>
      <c r="H180" s="171">
        <f>'[14]183'!R19</f>
        <v>49.36</v>
      </c>
      <c r="I180" s="171">
        <f>'[14]183'!S19</f>
        <v>81.307285113636681</v>
      </c>
      <c r="J180" s="171">
        <f>'[14]183'!T19</f>
        <v>45.024543497497625</v>
      </c>
      <c r="K180" s="171">
        <f>'[14]183'!U19</f>
        <v>61.574641723068829</v>
      </c>
      <c r="P180" t="str">
        <f t="shared" si="4"/>
        <v>RRec tons</v>
      </c>
      <c r="Q180">
        <f t="shared" si="5"/>
        <v>434.27647033420317</v>
      </c>
    </row>
    <row r="181" spans="1:17" x14ac:dyDescent="0.2">
      <c r="A181" t="s">
        <v>55</v>
      </c>
      <c r="C181" t="s">
        <v>59</v>
      </c>
      <c r="D181" s="171">
        <f>'[14]183'!N12</f>
        <v>153.74</v>
      </c>
      <c r="E181" s="171">
        <f>'[14]183'!O12</f>
        <v>113.35</v>
      </c>
      <c r="F181" s="171">
        <f>'[14]183'!P12</f>
        <v>122.53</v>
      </c>
      <c r="G181" s="171">
        <f>'[14]183'!Q12</f>
        <v>60.64</v>
      </c>
      <c r="H181" s="171">
        <f>'[14]183'!R12</f>
        <v>49.19</v>
      </c>
      <c r="I181" s="171">
        <f>'[14]183'!S12</f>
        <v>42.42416168166217</v>
      </c>
      <c r="J181" s="171">
        <f>'[14]183'!T12</f>
        <v>94.371783083790959</v>
      </c>
      <c r="K181" s="171">
        <f>'[14]183'!U12</f>
        <v>44.513382768208352</v>
      </c>
      <c r="P181" t="str">
        <f t="shared" si="4"/>
        <v xml:space="preserve">RYW tons </v>
      </c>
      <c r="Q181">
        <f t="shared" si="5"/>
        <v>680.75932753366146</v>
      </c>
    </row>
    <row r="182" spans="1:17" x14ac:dyDescent="0.2">
      <c r="A182" t="s">
        <v>65</v>
      </c>
      <c r="B182" t="s">
        <v>63</v>
      </c>
      <c r="C182" t="s">
        <v>56</v>
      </c>
      <c r="D182" s="170">
        <v>1876</v>
      </c>
      <c r="E182" s="170">
        <v>1883</v>
      </c>
      <c r="F182" s="170">
        <v>1878</v>
      </c>
      <c r="G182" s="170">
        <v>1881</v>
      </c>
      <c r="H182" s="170">
        <v>1890</v>
      </c>
      <c r="I182" s="170">
        <v>1883</v>
      </c>
      <c r="J182" s="170">
        <v>1891</v>
      </c>
      <c r="K182" s="170">
        <v>1896</v>
      </c>
      <c r="L182" s="170">
        <v>1900</v>
      </c>
      <c r="M182" s="170">
        <v>1895</v>
      </c>
      <c r="N182" s="170">
        <v>1908</v>
      </c>
      <c r="O182" s="170">
        <v>1905</v>
      </c>
      <c r="P182" t="str">
        <f t="shared" si="4"/>
        <v>NRREC cust</v>
      </c>
      <c r="Q182">
        <f t="shared" si="5"/>
        <v>22686</v>
      </c>
    </row>
    <row r="183" spans="1:17" x14ac:dyDescent="0.2">
      <c r="A183" t="s">
        <v>65</v>
      </c>
      <c r="C183" t="s">
        <v>57</v>
      </c>
      <c r="D183" s="170">
        <v>1112</v>
      </c>
      <c r="E183" s="170">
        <v>1131</v>
      </c>
      <c r="F183" s="170">
        <v>1139</v>
      </c>
      <c r="G183" s="170">
        <v>1150</v>
      </c>
      <c r="H183" s="170">
        <v>1157</v>
      </c>
      <c r="I183" s="170">
        <v>1151</v>
      </c>
      <c r="J183" s="170">
        <v>1141</v>
      </c>
      <c r="K183" s="170">
        <v>1136</v>
      </c>
      <c r="L183" s="170">
        <v>1127</v>
      </c>
      <c r="M183" s="170">
        <v>1130</v>
      </c>
      <c r="N183" s="170">
        <v>1147</v>
      </c>
      <c r="O183" s="170">
        <v>1163</v>
      </c>
      <c r="P183" t="str">
        <f t="shared" si="4"/>
        <v>NRYW cust</v>
      </c>
      <c r="Q183">
        <f t="shared" si="5"/>
        <v>13684</v>
      </c>
    </row>
    <row r="184" spans="1:17" x14ac:dyDescent="0.2">
      <c r="A184" t="s">
        <v>65</v>
      </c>
      <c r="D184" s="170"/>
      <c r="E184" s="170"/>
      <c r="F184" s="170"/>
      <c r="G184" s="170"/>
      <c r="H184" s="170"/>
      <c r="I184" s="170"/>
      <c r="J184" s="170"/>
      <c r="K184" s="170"/>
      <c r="L184" s="170"/>
      <c r="M184" s="170"/>
      <c r="N184" s="170"/>
      <c r="O184" s="170"/>
      <c r="P184" t="str">
        <f t="shared" si="4"/>
        <v>NR</v>
      </c>
      <c r="Q184">
        <f t="shared" si="5"/>
        <v>0</v>
      </c>
    </row>
    <row r="185" spans="1:17" x14ac:dyDescent="0.2">
      <c r="A185" t="s">
        <v>65</v>
      </c>
      <c r="C185" t="s">
        <v>60</v>
      </c>
      <c r="D185" s="171">
        <v>71.982170065739908</v>
      </c>
      <c r="E185" s="171">
        <v>56.329691517584529</v>
      </c>
      <c r="F185" s="171">
        <v>58.315150044866463</v>
      </c>
      <c r="G185" s="171">
        <v>54.915030119086111</v>
      </c>
      <c r="H185" s="171">
        <v>56.503482476756211</v>
      </c>
      <c r="I185" s="171">
        <v>72.86816275197242</v>
      </c>
      <c r="J185" s="171">
        <v>65.84842753914441</v>
      </c>
      <c r="K185" s="171">
        <v>61.039222151170669</v>
      </c>
      <c r="L185" s="171">
        <v>99.895427479244987</v>
      </c>
      <c r="M185" s="171">
        <v>90.786331964473703</v>
      </c>
      <c r="N185" s="171">
        <v>86.14748677511686</v>
      </c>
      <c r="O185" s="171">
        <v>104.66527873204697</v>
      </c>
      <c r="P185" t="str">
        <f t="shared" si="4"/>
        <v>NRMSW tons</v>
      </c>
      <c r="Q185">
        <f t="shared" si="5"/>
        <v>879.29586161720329</v>
      </c>
    </row>
    <row r="186" spans="1:17" x14ac:dyDescent="0.2">
      <c r="A186" t="s">
        <v>65</v>
      </c>
      <c r="C186" t="s">
        <v>58</v>
      </c>
      <c r="D186" s="171">
        <v>99.040214834757535</v>
      </c>
      <c r="E186" s="171">
        <v>88.293062631830011</v>
      </c>
      <c r="F186" s="171">
        <v>97.767778498704359</v>
      </c>
      <c r="G186" s="171">
        <v>68.124747869701835</v>
      </c>
      <c r="H186" s="171">
        <v>55.891446005084376</v>
      </c>
      <c r="I186" s="171">
        <v>51.184687950662749</v>
      </c>
      <c r="J186" s="171">
        <v>65.724083119592677</v>
      </c>
      <c r="K186" s="171">
        <v>75.480226551675031</v>
      </c>
      <c r="L186" s="171">
        <v>56.46607927759532</v>
      </c>
      <c r="M186" s="171">
        <v>52.105927201169884</v>
      </c>
      <c r="N186" s="171">
        <v>52.26259437268785</v>
      </c>
      <c r="O186" s="171">
        <v>63.627439298941589</v>
      </c>
      <c r="P186" t="str">
        <f t="shared" si="4"/>
        <v>NRRec tons</v>
      </c>
      <c r="Q186">
        <f t="shared" si="5"/>
        <v>825.96828761240329</v>
      </c>
    </row>
    <row r="187" spans="1:17" x14ac:dyDescent="0.2">
      <c r="A187" t="s">
        <v>65</v>
      </c>
      <c r="C187" t="s">
        <v>59</v>
      </c>
      <c r="D187" s="171">
        <v>110.70505569275828</v>
      </c>
      <c r="E187" s="171">
        <v>103.75170852048615</v>
      </c>
      <c r="F187" s="171">
        <v>118.66435502981373</v>
      </c>
      <c r="G187" s="171">
        <v>104.28745179520863</v>
      </c>
      <c r="H187" s="171">
        <v>97.72634735848969</v>
      </c>
      <c r="I187" s="171">
        <v>123.75760668158451</v>
      </c>
      <c r="J187" s="171">
        <v>100.57476851740073</v>
      </c>
      <c r="K187" s="171">
        <v>104.1007867358731</v>
      </c>
      <c r="L187" s="171">
        <v>62.575141170159114</v>
      </c>
      <c r="M187" s="171">
        <v>52.677337086667499</v>
      </c>
      <c r="N187" s="171">
        <v>83.560743471854352</v>
      </c>
      <c r="O187" s="171">
        <v>88.036591939737818</v>
      </c>
      <c r="P187" t="str">
        <f t="shared" si="4"/>
        <v xml:space="preserve">NRYW tons </v>
      </c>
      <c r="Q187">
        <f t="shared" si="5"/>
        <v>1150.4178940000334</v>
      </c>
    </row>
    <row r="188" spans="1:17" x14ac:dyDescent="0.2">
      <c r="A188" t="s">
        <v>65</v>
      </c>
      <c r="B188" t="s">
        <v>64</v>
      </c>
      <c r="C188" t="s">
        <v>56</v>
      </c>
      <c r="D188" s="170">
        <v>1642</v>
      </c>
      <c r="E188" s="170">
        <v>1661</v>
      </c>
      <c r="F188" s="170">
        <v>1629</v>
      </c>
      <c r="G188" s="170">
        <v>1637</v>
      </c>
      <c r="H188" s="170">
        <v>1656</v>
      </c>
      <c r="I188" s="170">
        <v>1632</v>
      </c>
      <c r="J188" s="170">
        <v>1641</v>
      </c>
      <c r="K188" s="170">
        <v>1663</v>
      </c>
      <c r="L188" s="170">
        <v>1647</v>
      </c>
      <c r="M188" s="170">
        <v>1663</v>
      </c>
      <c r="N188" s="170">
        <v>1681</v>
      </c>
      <c r="O188" s="170">
        <v>1662</v>
      </c>
      <c r="P188" t="str">
        <f t="shared" si="4"/>
        <v>NRREC cust</v>
      </c>
      <c r="Q188">
        <f t="shared" si="5"/>
        <v>19814</v>
      </c>
    </row>
    <row r="189" spans="1:17" x14ac:dyDescent="0.2">
      <c r="A189" t="s">
        <v>65</v>
      </c>
      <c r="C189" t="s">
        <v>57</v>
      </c>
      <c r="D189" s="170">
        <v>823</v>
      </c>
      <c r="E189" s="170">
        <v>836</v>
      </c>
      <c r="F189" s="170">
        <v>827</v>
      </c>
      <c r="G189" s="170">
        <v>833</v>
      </c>
      <c r="H189" s="170">
        <v>840</v>
      </c>
      <c r="I189" s="170">
        <v>822</v>
      </c>
      <c r="J189" s="170">
        <v>818</v>
      </c>
      <c r="K189" s="170">
        <v>823</v>
      </c>
      <c r="L189" s="170">
        <v>808</v>
      </c>
      <c r="M189" s="170">
        <v>816</v>
      </c>
      <c r="N189" s="170">
        <v>822</v>
      </c>
      <c r="O189" s="170">
        <v>826</v>
      </c>
      <c r="P189" t="str">
        <f t="shared" si="4"/>
        <v>NRYW cust</v>
      </c>
      <c r="Q189">
        <f t="shared" si="5"/>
        <v>9894</v>
      </c>
    </row>
    <row r="190" spans="1:17" x14ac:dyDescent="0.2">
      <c r="A190" t="s">
        <v>65</v>
      </c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1"/>
      <c r="O190" s="171"/>
      <c r="P190" t="str">
        <f t="shared" si="4"/>
        <v>NR</v>
      </c>
      <c r="Q190">
        <f t="shared" si="5"/>
        <v>0</v>
      </c>
    </row>
    <row r="191" spans="1:17" x14ac:dyDescent="0.2">
      <c r="A191" t="s">
        <v>65</v>
      </c>
      <c r="C191" t="s">
        <v>60</v>
      </c>
      <c r="D191" s="171">
        <v>51.505893024341674</v>
      </c>
      <c r="E191" s="171">
        <v>47.831450139591922</v>
      </c>
      <c r="F191" s="171">
        <v>31.877208437005375</v>
      </c>
      <c r="G191" s="171">
        <v>38.547641351808018</v>
      </c>
      <c r="H191" s="171">
        <v>36.57030299580375</v>
      </c>
      <c r="I191" s="171">
        <v>44.489967258118057</v>
      </c>
      <c r="J191" s="171">
        <v>48.693542893386741</v>
      </c>
      <c r="K191" s="171">
        <v>41.279572731913071</v>
      </c>
      <c r="L191" s="171">
        <v>88.573514329753621</v>
      </c>
      <c r="M191" s="171">
        <v>75.573547700810522</v>
      </c>
      <c r="N191" s="171">
        <v>89.418267916117742</v>
      </c>
      <c r="O191" s="171">
        <v>83.369319057437849</v>
      </c>
      <c r="P191" t="str">
        <f t="shared" si="4"/>
        <v>NRMSW tons</v>
      </c>
      <c r="Q191">
        <f t="shared" si="5"/>
        <v>677.73022783608826</v>
      </c>
    </row>
    <row r="192" spans="1:17" x14ac:dyDescent="0.2">
      <c r="A192" t="s">
        <v>65</v>
      </c>
      <c r="C192" t="s">
        <v>58</v>
      </c>
      <c r="D192" s="171">
        <v>93.956725349154382</v>
      </c>
      <c r="E192" s="171">
        <v>96.587324845420838</v>
      </c>
      <c r="F192" s="171">
        <v>48.036091765482119</v>
      </c>
      <c r="G192" s="171">
        <v>63.019037007276964</v>
      </c>
      <c r="H192" s="171">
        <v>20.456902749656216</v>
      </c>
      <c r="I192" s="171">
        <v>16.373692504170396</v>
      </c>
      <c r="J192" s="171">
        <v>75.450854872652485</v>
      </c>
      <c r="K192" s="171">
        <v>20.524737421737594</v>
      </c>
      <c r="L192" s="171">
        <v>50.488091888232809</v>
      </c>
      <c r="M192" s="171">
        <v>35.372665902791837</v>
      </c>
      <c r="N192" s="171">
        <v>48.44395002759012</v>
      </c>
      <c r="O192" s="171">
        <v>27.651826720118525</v>
      </c>
      <c r="P192" t="str">
        <f t="shared" si="4"/>
        <v>NRRec tons</v>
      </c>
      <c r="Q192">
        <f t="shared" si="5"/>
        <v>596.3619010542842</v>
      </c>
    </row>
    <row r="193" spans="1:17" x14ac:dyDescent="0.2">
      <c r="A193" t="s">
        <v>65</v>
      </c>
      <c r="C193" t="s">
        <v>59</v>
      </c>
      <c r="D193" s="171">
        <v>95.410779529560642</v>
      </c>
      <c r="E193" s="171">
        <v>99.968232999200026</v>
      </c>
      <c r="F193" s="171">
        <v>91.556480210356824</v>
      </c>
      <c r="G193" s="171">
        <v>112.1040645017345</v>
      </c>
      <c r="H193" s="171">
        <v>86.907492507010289</v>
      </c>
      <c r="I193" s="171">
        <v>87.507606865555061</v>
      </c>
      <c r="J193" s="171">
        <v>107.57695065297756</v>
      </c>
      <c r="K193" s="171">
        <v>81.997314316157158</v>
      </c>
      <c r="L193" s="171">
        <v>21.089360365887764</v>
      </c>
      <c r="M193" s="171">
        <v>19.373045826926504</v>
      </c>
      <c r="N193" s="171">
        <v>56.49930145726708</v>
      </c>
      <c r="O193" s="171">
        <v>87.161102944695116</v>
      </c>
      <c r="P193" t="str">
        <f t="shared" si="4"/>
        <v xml:space="preserve">NRYW tons </v>
      </c>
      <c r="Q193">
        <f t="shared" si="5"/>
        <v>947.15173217732843</v>
      </c>
    </row>
    <row r="194" spans="1:17" x14ac:dyDescent="0.2">
      <c r="A194" t="s">
        <v>65</v>
      </c>
      <c r="B194" t="s">
        <v>66</v>
      </c>
      <c r="C194" t="s">
        <v>56</v>
      </c>
      <c r="D194" s="170">
        <v>3814</v>
      </c>
      <c r="E194" s="170">
        <v>3848</v>
      </c>
      <c r="F194" s="170">
        <v>3851</v>
      </c>
      <c r="G194" s="170">
        <v>3853</v>
      </c>
      <c r="H194" s="170">
        <v>3898</v>
      </c>
      <c r="I194" s="170">
        <v>3864</v>
      </c>
      <c r="J194" s="170">
        <v>3847</v>
      </c>
      <c r="K194" s="170">
        <v>3919</v>
      </c>
      <c r="L194" s="170">
        <v>3900</v>
      </c>
      <c r="M194" s="170">
        <v>3902</v>
      </c>
      <c r="N194" s="170">
        <v>3966</v>
      </c>
      <c r="O194" s="170">
        <v>3945</v>
      </c>
      <c r="P194" t="str">
        <f t="shared" si="4"/>
        <v>NRREC cust</v>
      </c>
      <c r="Q194">
        <f t="shared" si="5"/>
        <v>46607</v>
      </c>
    </row>
    <row r="195" spans="1:17" x14ac:dyDescent="0.2">
      <c r="A195" t="s">
        <v>65</v>
      </c>
      <c r="C195" t="s">
        <v>57</v>
      </c>
      <c r="D195" s="170">
        <v>1330</v>
      </c>
      <c r="E195" s="170">
        <v>1359</v>
      </c>
      <c r="F195" s="170">
        <v>1374</v>
      </c>
      <c r="G195" s="170">
        <v>1387</v>
      </c>
      <c r="H195" s="170">
        <v>1401</v>
      </c>
      <c r="I195" s="170">
        <v>1372</v>
      </c>
      <c r="J195" s="170">
        <v>1353</v>
      </c>
      <c r="K195" s="170">
        <v>1357</v>
      </c>
      <c r="L195" s="170">
        <v>1337</v>
      </c>
      <c r="M195" s="170">
        <v>1329</v>
      </c>
      <c r="N195" s="170">
        <v>1347</v>
      </c>
      <c r="O195" s="170">
        <v>1365</v>
      </c>
      <c r="P195" t="str">
        <f t="shared" si="4"/>
        <v>NRYW cust</v>
      </c>
      <c r="Q195">
        <f t="shared" si="5"/>
        <v>16311</v>
      </c>
    </row>
    <row r="196" spans="1:17" x14ac:dyDescent="0.2">
      <c r="A196" t="s">
        <v>65</v>
      </c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t="str">
        <f t="shared" ref="P196:P259" si="6">CONCATENATE(A196,C196)</f>
        <v>NR</v>
      </c>
      <c r="Q196">
        <f t="shared" ref="Q196:Q259" si="7">SUM(D196:O196)</f>
        <v>0</v>
      </c>
    </row>
    <row r="197" spans="1:17" x14ac:dyDescent="0.2">
      <c r="A197" t="s">
        <v>65</v>
      </c>
      <c r="C197" t="s">
        <v>60</v>
      </c>
      <c r="D197" s="171">
        <v>114.92505133999599</v>
      </c>
      <c r="E197" s="171">
        <v>103.42200963389766</v>
      </c>
      <c r="F197" s="171">
        <v>88.430239892158852</v>
      </c>
      <c r="G197" s="171">
        <v>97.544330618160245</v>
      </c>
      <c r="H197" s="171">
        <v>88.841222784946197</v>
      </c>
      <c r="I197" s="171">
        <v>112.69905289404397</v>
      </c>
      <c r="J197" s="171">
        <v>132.90199152862323</v>
      </c>
      <c r="K197" s="171">
        <v>97.340401303600117</v>
      </c>
      <c r="L197" s="171">
        <v>232.66058718018382</v>
      </c>
      <c r="M197" s="171">
        <v>199.42956061373812</v>
      </c>
      <c r="N197" s="171">
        <v>221.46272198626264</v>
      </c>
      <c r="O197" s="171">
        <v>212.89408962974301</v>
      </c>
      <c r="P197" t="str">
        <f t="shared" si="6"/>
        <v>NRMSW tons</v>
      </c>
      <c r="Q197">
        <f t="shared" si="7"/>
        <v>1702.5512594053539</v>
      </c>
    </row>
    <row r="198" spans="1:17" x14ac:dyDescent="0.2">
      <c r="A198" t="s">
        <v>65</v>
      </c>
      <c r="C198" t="s">
        <v>58</v>
      </c>
      <c r="D198" s="171">
        <v>159.32691404143415</v>
      </c>
      <c r="E198" s="171">
        <v>161.69732819038609</v>
      </c>
      <c r="F198" s="171">
        <v>145.2208946678436</v>
      </c>
      <c r="G198" s="171">
        <v>109.33840998814526</v>
      </c>
      <c r="H198" s="171">
        <v>55.993660394801715</v>
      </c>
      <c r="I198" s="171">
        <v>71.05625180727877</v>
      </c>
      <c r="J198" s="171">
        <v>95.604491787398146</v>
      </c>
      <c r="K198" s="171">
        <v>59.269958266733731</v>
      </c>
      <c r="L198" s="171">
        <v>102.36037180011694</v>
      </c>
      <c r="M198" s="171">
        <v>92.963588426970858</v>
      </c>
      <c r="N198" s="171">
        <v>92.57427381070768</v>
      </c>
      <c r="O198" s="171">
        <v>103.10290665474261</v>
      </c>
      <c r="P198" t="str">
        <f t="shared" si="6"/>
        <v>NRRec tons</v>
      </c>
      <c r="Q198">
        <f t="shared" si="7"/>
        <v>1248.5090498365594</v>
      </c>
    </row>
    <row r="199" spans="1:17" x14ac:dyDescent="0.2">
      <c r="A199" t="s">
        <v>65</v>
      </c>
      <c r="C199" t="s">
        <v>59</v>
      </c>
      <c r="D199" s="171">
        <v>252.6789182177674</v>
      </c>
      <c r="E199" s="171">
        <v>221.81033799266589</v>
      </c>
      <c r="F199" s="171">
        <v>225.60941845651513</v>
      </c>
      <c r="G199" s="171">
        <v>238.93008011361977</v>
      </c>
      <c r="H199" s="171">
        <v>177.23815522966137</v>
      </c>
      <c r="I199" s="171">
        <v>216.32126616808972</v>
      </c>
      <c r="J199" s="171">
        <v>252.21019371000264</v>
      </c>
      <c r="K199" s="171">
        <v>205.1486499257777</v>
      </c>
      <c r="L199" s="171">
        <v>36.975356702570309</v>
      </c>
      <c r="M199" s="171">
        <v>45.094352689567806</v>
      </c>
      <c r="N199" s="171">
        <v>48.969130553314756</v>
      </c>
      <c r="O199" s="171">
        <v>93.899799468631628</v>
      </c>
      <c r="P199" t="str">
        <f t="shared" si="6"/>
        <v xml:space="preserve">NRYW tons </v>
      </c>
      <c r="Q199">
        <f t="shared" si="7"/>
        <v>2014.8856592281843</v>
      </c>
    </row>
    <row r="200" spans="1:17" x14ac:dyDescent="0.2">
      <c r="A200" s="319">
        <v>176</v>
      </c>
      <c r="B200" s="319"/>
      <c r="P200" t="str">
        <f t="shared" si="6"/>
        <v>176</v>
      </c>
      <c r="Q200">
        <f t="shared" si="7"/>
        <v>0</v>
      </c>
    </row>
    <row r="201" spans="1:17" x14ac:dyDescent="0.2">
      <c r="A201" t="s">
        <v>65</v>
      </c>
      <c r="B201" t="s">
        <v>67</v>
      </c>
      <c r="C201" t="s">
        <v>56</v>
      </c>
      <c r="D201" s="170">
        <v>2652</v>
      </c>
      <c r="E201" s="170">
        <v>2638</v>
      </c>
      <c r="F201" s="170">
        <v>2648</v>
      </c>
      <c r="G201" s="170">
        <v>2640</v>
      </c>
      <c r="H201" s="170">
        <v>2629</v>
      </c>
      <c r="I201" s="170">
        <v>2648</v>
      </c>
      <c r="J201" s="170">
        <v>2625</v>
      </c>
      <c r="K201" s="170">
        <v>2563</v>
      </c>
      <c r="L201" s="170">
        <v>2576</v>
      </c>
      <c r="M201" s="170">
        <v>2591</v>
      </c>
      <c r="N201" s="170">
        <v>2610</v>
      </c>
      <c r="O201" s="170">
        <v>2619</v>
      </c>
      <c r="P201" t="str">
        <f t="shared" si="6"/>
        <v>NRREC cust</v>
      </c>
      <c r="Q201">
        <f t="shared" si="7"/>
        <v>31439</v>
      </c>
    </row>
    <row r="202" spans="1:17" x14ac:dyDescent="0.2">
      <c r="A202" t="s">
        <v>65</v>
      </c>
      <c r="C202" t="s">
        <v>57</v>
      </c>
      <c r="D202" s="170">
        <v>1217</v>
      </c>
      <c r="E202" s="170">
        <v>1224</v>
      </c>
      <c r="F202" s="170">
        <v>1248</v>
      </c>
      <c r="G202" s="170">
        <v>1248</v>
      </c>
      <c r="H202" s="170">
        <v>1235</v>
      </c>
      <c r="I202" s="170">
        <v>1227</v>
      </c>
      <c r="J202" s="170">
        <v>1200</v>
      </c>
      <c r="K202" s="170">
        <v>1144</v>
      </c>
      <c r="L202" s="170">
        <v>1141</v>
      </c>
      <c r="M202" s="170">
        <v>1148</v>
      </c>
      <c r="N202" s="170">
        <v>1168</v>
      </c>
      <c r="O202" s="170">
        <v>1184</v>
      </c>
      <c r="P202" t="str">
        <f t="shared" si="6"/>
        <v>NRYW cust</v>
      </c>
      <c r="Q202">
        <f t="shared" si="7"/>
        <v>14384</v>
      </c>
    </row>
    <row r="203" spans="1:17" x14ac:dyDescent="0.2">
      <c r="A203" t="s">
        <v>65</v>
      </c>
      <c r="D203" s="170"/>
      <c r="E203" s="170"/>
      <c r="F203" s="170"/>
      <c r="G203" s="170"/>
      <c r="H203" s="170"/>
      <c r="I203" s="170"/>
      <c r="J203" s="170"/>
      <c r="K203" s="170"/>
      <c r="L203" s="170"/>
      <c r="M203" s="170"/>
      <c r="N203" s="170"/>
      <c r="O203" s="170"/>
      <c r="P203" t="str">
        <f t="shared" si="6"/>
        <v>NR</v>
      </c>
      <c r="Q203">
        <f t="shared" si="7"/>
        <v>0</v>
      </c>
    </row>
    <row r="204" spans="1:17" x14ac:dyDescent="0.2">
      <c r="A204" t="s">
        <v>65</v>
      </c>
      <c r="C204" t="s">
        <v>58</v>
      </c>
      <c r="D204" s="171">
        <v>78.043056011609721</v>
      </c>
      <c r="E204" s="171">
        <v>71.986988162155271</v>
      </c>
      <c r="F204" s="171">
        <v>62.439841654111547</v>
      </c>
      <c r="G204" s="171">
        <v>66.325754827717006</v>
      </c>
      <c r="H204" s="171">
        <v>61.714820379398837</v>
      </c>
      <c r="I204" s="171">
        <v>90.790122195730362</v>
      </c>
      <c r="J204" s="171">
        <v>100.34530312468902</v>
      </c>
      <c r="K204" s="171">
        <v>77.62425570197361</v>
      </c>
      <c r="L204" s="171">
        <v>65.128727125213089</v>
      </c>
      <c r="M204" s="171">
        <v>61.147036725097664</v>
      </c>
      <c r="N204" s="171">
        <v>60.577794479606169</v>
      </c>
      <c r="O204" s="171">
        <v>85.27965621784368</v>
      </c>
      <c r="P204" t="str">
        <f t="shared" si="6"/>
        <v>NRRec tons</v>
      </c>
      <c r="Q204">
        <f t="shared" si="7"/>
        <v>881.40335660514609</v>
      </c>
    </row>
    <row r="205" spans="1:17" x14ac:dyDescent="0.2">
      <c r="A205" t="s">
        <v>65</v>
      </c>
      <c r="C205" t="s">
        <v>59</v>
      </c>
      <c r="D205" s="171">
        <v>110.86970202728538</v>
      </c>
      <c r="E205" s="171">
        <v>94.079980248375335</v>
      </c>
      <c r="F205" s="171">
        <v>77.400303272918023</v>
      </c>
      <c r="G205" s="171">
        <v>40.380000000000003</v>
      </c>
      <c r="H205" s="171">
        <v>65.85237879378758</v>
      </c>
      <c r="I205" s="171">
        <v>3.7994659314552433</v>
      </c>
      <c r="J205" s="171">
        <v>4.7597141266010778</v>
      </c>
      <c r="K205" s="171">
        <v>60.749189111796973</v>
      </c>
      <c r="L205" s="171">
        <v>45.277074221646387</v>
      </c>
      <c r="M205" s="171">
        <v>35.562235869505542</v>
      </c>
      <c r="N205" s="171">
        <v>64.216749444376958</v>
      </c>
      <c r="O205" s="171">
        <v>104.88721233472661</v>
      </c>
      <c r="P205" t="str">
        <f t="shared" si="6"/>
        <v xml:space="preserve">NRYW tons </v>
      </c>
      <c r="Q205">
        <f t="shared" si="7"/>
        <v>707.8340053824752</v>
      </c>
    </row>
    <row r="206" spans="1:17" x14ac:dyDescent="0.2">
      <c r="A206" t="s">
        <v>65</v>
      </c>
      <c r="C206" t="s">
        <v>60</v>
      </c>
      <c r="D206" s="171">
        <v>180.42290309587372</v>
      </c>
      <c r="E206" s="171">
        <v>162.83432128577763</v>
      </c>
      <c r="F206" s="171">
        <v>200.84088161768241</v>
      </c>
      <c r="G206" s="171">
        <v>180.12783996946038</v>
      </c>
      <c r="H206" s="171">
        <v>145.8466457073261</v>
      </c>
      <c r="I206" s="171">
        <v>173.34473185462764</v>
      </c>
      <c r="J206" s="171">
        <v>198.54785178192247</v>
      </c>
      <c r="K206" s="171">
        <v>132.58810328302167</v>
      </c>
      <c r="L206" s="171">
        <v>176.17838527792964</v>
      </c>
      <c r="M206" s="171">
        <v>137.18130750980649</v>
      </c>
      <c r="N206" s="171">
        <v>160.69873277743474</v>
      </c>
      <c r="O206" s="171">
        <v>180.95265409005611</v>
      </c>
      <c r="P206" t="str">
        <f t="shared" si="6"/>
        <v>NRMSW tons</v>
      </c>
      <c r="Q206">
        <f t="shared" si="7"/>
        <v>2029.564358250919</v>
      </c>
    </row>
    <row r="207" spans="1:17" x14ac:dyDescent="0.2">
      <c r="A207" t="s">
        <v>55</v>
      </c>
      <c r="B207" t="s">
        <v>68</v>
      </c>
      <c r="C207" t="s">
        <v>56</v>
      </c>
      <c r="D207" s="170">
        <v>1128</v>
      </c>
      <c r="E207" s="170">
        <v>1127</v>
      </c>
      <c r="F207" s="170">
        <v>1134</v>
      </c>
      <c r="G207" s="170">
        <v>1133</v>
      </c>
      <c r="H207" s="170">
        <v>1127</v>
      </c>
      <c r="I207" s="170">
        <v>1130</v>
      </c>
      <c r="J207" s="170">
        <v>1129</v>
      </c>
      <c r="K207" s="170">
        <v>1128</v>
      </c>
      <c r="L207" s="170">
        <v>1131</v>
      </c>
      <c r="M207" s="170">
        <v>1140</v>
      </c>
      <c r="N207" s="170">
        <v>1145</v>
      </c>
      <c r="O207" s="170">
        <v>1153</v>
      </c>
      <c r="P207" t="str">
        <f t="shared" si="6"/>
        <v>RREC cust</v>
      </c>
      <c r="Q207">
        <f t="shared" si="7"/>
        <v>13605</v>
      </c>
    </row>
    <row r="208" spans="1:17" x14ac:dyDescent="0.2">
      <c r="A208" t="s">
        <v>55</v>
      </c>
      <c r="C208" t="s">
        <v>57</v>
      </c>
      <c r="D208" s="170">
        <v>532</v>
      </c>
      <c r="E208" s="170">
        <v>529</v>
      </c>
      <c r="F208" s="170">
        <v>537</v>
      </c>
      <c r="G208" s="170">
        <v>534</v>
      </c>
      <c r="H208" s="170">
        <v>525</v>
      </c>
      <c r="I208" s="170">
        <v>518</v>
      </c>
      <c r="J208" s="170">
        <v>512</v>
      </c>
      <c r="K208" s="170">
        <v>504</v>
      </c>
      <c r="L208" s="170">
        <v>507</v>
      </c>
      <c r="M208" s="170">
        <v>509</v>
      </c>
      <c r="N208" s="170">
        <v>518</v>
      </c>
      <c r="O208" s="170">
        <v>523</v>
      </c>
      <c r="P208" t="str">
        <f t="shared" si="6"/>
        <v>RYW cust</v>
      </c>
      <c r="Q208">
        <f t="shared" si="7"/>
        <v>6248</v>
      </c>
    </row>
    <row r="209" spans="1:17" x14ac:dyDescent="0.2">
      <c r="A209" t="s">
        <v>55</v>
      </c>
      <c r="D209" s="170"/>
      <c r="E209" s="170"/>
      <c r="F209" s="170"/>
      <c r="G209" s="170"/>
      <c r="H209" s="170"/>
      <c r="I209" s="170"/>
      <c r="J209" s="170"/>
      <c r="K209" s="170"/>
      <c r="L209" s="170"/>
      <c r="M209" s="170"/>
      <c r="N209" s="170"/>
      <c r="O209" s="170"/>
      <c r="P209" t="str">
        <f t="shared" si="6"/>
        <v>R</v>
      </c>
      <c r="Q209">
        <f t="shared" si="7"/>
        <v>0</v>
      </c>
    </row>
    <row r="210" spans="1:17" x14ac:dyDescent="0.2">
      <c r="A210" t="s">
        <v>55</v>
      </c>
      <c r="C210" t="s">
        <v>58</v>
      </c>
      <c r="D210" s="171">
        <f>'[14]176'!N19</f>
        <v>36.33</v>
      </c>
      <c r="E210" s="171">
        <f>'[14]176'!O19</f>
        <v>31.22</v>
      </c>
      <c r="F210" s="171">
        <f>'[14]176'!P19</f>
        <v>32.6</v>
      </c>
      <c r="G210" s="171">
        <f>'[14]176'!Q19</f>
        <v>32.97</v>
      </c>
      <c r="H210" s="171">
        <f>'[14]176'!R19</f>
        <v>25.58</v>
      </c>
      <c r="I210" s="171">
        <f>'[14]176'!S19</f>
        <v>41.696715000806087</v>
      </c>
      <c r="J210" s="171">
        <f>'[14]176'!T19</f>
        <v>32.608712098954491</v>
      </c>
      <c r="K210" s="171">
        <f>'[14]176'!U19</f>
        <v>32.032195559483604</v>
      </c>
      <c r="L210" s="171">
        <v>32.16300354390777</v>
      </c>
      <c r="M210" s="171">
        <v>26.777297935419579</v>
      </c>
      <c r="N210" s="171">
        <v>27.496875920173913</v>
      </c>
      <c r="O210" s="171">
        <v>37.793068719268788</v>
      </c>
      <c r="P210" t="str">
        <f t="shared" si="6"/>
        <v>RRec tons</v>
      </c>
      <c r="Q210">
        <f t="shared" si="7"/>
        <v>389.26786877801425</v>
      </c>
    </row>
    <row r="211" spans="1:17" x14ac:dyDescent="0.2">
      <c r="A211" t="s">
        <v>55</v>
      </c>
      <c r="C211" t="s">
        <v>59</v>
      </c>
      <c r="D211" s="171">
        <f>'[14]176'!N11</f>
        <v>62.1</v>
      </c>
      <c r="E211" s="171">
        <f>'[14]176'!O11</f>
        <v>72.12</v>
      </c>
      <c r="F211" s="171">
        <f>'[14]176'!P11</f>
        <v>72.11</v>
      </c>
      <c r="G211" s="171">
        <f>'[14]176'!Q11</f>
        <v>64.14</v>
      </c>
      <c r="H211" s="171">
        <f>'[14]176'!R11</f>
        <v>15.49</v>
      </c>
      <c r="I211" s="171">
        <f>'[14]176'!S11</f>
        <v>40.150897023479786</v>
      </c>
      <c r="J211" s="171">
        <f>'[14]176'!T11</f>
        <v>47.627066961935164</v>
      </c>
      <c r="K211" s="171">
        <f>'[14]176'!U11</f>
        <v>21.307214799380375</v>
      </c>
      <c r="L211" s="171">
        <v>20.97536358822483</v>
      </c>
      <c r="M211" s="171">
        <v>15.383166805397618</v>
      </c>
      <c r="N211" s="171">
        <v>38.664902670575977</v>
      </c>
      <c r="O211" s="171">
        <v>45.081685530057321</v>
      </c>
      <c r="P211" t="str">
        <f t="shared" si="6"/>
        <v xml:space="preserve">RYW tons </v>
      </c>
      <c r="Q211">
        <f t="shared" si="7"/>
        <v>515.15029737905104</v>
      </c>
    </row>
    <row r="212" spans="1:17" x14ac:dyDescent="0.2">
      <c r="A212" t="s">
        <v>55</v>
      </c>
      <c r="C212" t="s">
        <v>60</v>
      </c>
      <c r="D212" s="171">
        <f>'[14]176'!N3</f>
        <v>72.47</v>
      </c>
      <c r="E212" s="171">
        <f>'[14]176'!O3</f>
        <v>93.87</v>
      </c>
      <c r="F212" s="171">
        <f>'[14]176'!P3</f>
        <v>77.02</v>
      </c>
      <c r="G212" s="171">
        <f>'[14]176'!Q3</f>
        <v>77.099999999999994</v>
      </c>
      <c r="H212" s="171">
        <f>'[14]176'!R3</f>
        <v>68.22</v>
      </c>
      <c r="I212" s="171">
        <f>'[14]176'!S3</f>
        <v>76.918699882354247</v>
      </c>
      <c r="J212" s="171">
        <f>'[14]176'!T3</f>
        <v>57.018288304771694</v>
      </c>
      <c r="K212" s="171">
        <f>'[14]176'!U3</f>
        <v>61.596213556567427</v>
      </c>
      <c r="L212" s="171">
        <v>76.697701550944927</v>
      </c>
      <c r="M212" s="171">
        <v>62.639092256700593</v>
      </c>
      <c r="N212" s="171">
        <v>60.416343358712751</v>
      </c>
      <c r="O212" s="171">
        <v>75.225916222096913</v>
      </c>
      <c r="P212" t="str">
        <f t="shared" si="6"/>
        <v>RMSW tons</v>
      </c>
      <c r="Q212">
        <f t="shared" si="7"/>
        <v>859.1922551321486</v>
      </c>
    </row>
    <row r="213" spans="1:17" x14ac:dyDescent="0.2">
      <c r="A213" t="s">
        <v>55</v>
      </c>
      <c r="B213" t="s">
        <v>61</v>
      </c>
      <c r="C213" t="s">
        <v>56</v>
      </c>
      <c r="D213" s="170">
        <v>17940</v>
      </c>
      <c r="E213" s="170">
        <v>17468</v>
      </c>
      <c r="F213" s="170">
        <v>17483</v>
      </c>
      <c r="G213" s="170">
        <v>17536</v>
      </c>
      <c r="H213" s="170">
        <v>17514</v>
      </c>
      <c r="I213" s="170">
        <v>17554</v>
      </c>
      <c r="J213" s="170">
        <v>17613</v>
      </c>
      <c r="K213" s="170">
        <v>17608</v>
      </c>
      <c r="L213" s="170">
        <v>17648</v>
      </c>
      <c r="M213" s="170">
        <v>17748</v>
      </c>
      <c r="N213" s="170">
        <v>17834</v>
      </c>
      <c r="O213" s="170">
        <v>17916</v>
      </c>
      <c r="P213" t="str">
        <f t="shared" si="6"/>
        <v>RREC cust</v>
      </c>
      <c r="Q213">
        <f t="shared" si="7"/>
        <v>211862</v>
      </c>
    </row>
    <row r="214" spans="1:17" x14ac:dyDescent="0.2">
      <c r="A214" t="s">
        <v>55</v>
      </c>
      <c r="C214" t="s">
        <v>57</v>
      </c>
      <c r="D214" s="170">
        <v>5515</v>
      </c>
      <c r="E214" s="170">
        <v>5239</v>
      </c>
      <c r="F214" s="170">
        <v>5265</v>
      </c>
      <c r="G214" s="170">
        <v>5316</v>
      </c>
      <c r="H214" s="170">
        <v>5292</v>
      </c>
      <c r="I214" s="170">
        <v>5290</v>
      </c>
      <c r="J214" s="170">
        <v>5287</v>
      </c>
      <c r="K214" s="170">
        <v>5241</v>
      </c>
      <c r="L214" s="170">
        <v>5239</v>
      </c>
      <c r="M214" s="170">
        <v>5256</v>
      </c>
      <c r="N214" s="170">
        <v>5341</v>
      </c>
      <c r="O214" s="170">
        <v>5444</v>
      </c>
      <c r="P214" t="str">
        <f t="shared" si="6"/>
        <v>RYW cust</v>
      </c>
      <c r="Q214">
        <f t="shared" si="7"/>
        <v>63725</v>
      </c>
    </row>
    <row r="215" spans="1:17" x14ac:dyDescent="0.2">
      <c r="A215" t="s">
        <v>55</v>
      </c>
      <c r="D215" s="170"/>
      <c r="E215" s="170"/>
      <c r="F215" s="170"/>
      <c r="G215" s="170"/>
      <c r="H215" s="170"/>
      <c r="I215" s="170"/>
      <c r="J215" s="170"/>
      <c r="K215" s="170"/>
      <c r="L215" s="170"/>
      <c r="M215" s="170"/>
      <c r="N215" s="170"/>
      <c r="O215" s="170"/>
      <c r="P215" t="str">
        <f t="shared" si="6"/>
        <v>R</v>
      </c>
      <c r="Q215">
        <f t="shared" si="7"/>
        <v>0</v>
      </c>
    </row>
    <row r="216" spans="1:17" x14ac:dyDescent="0.2">
      <c r="A216" t="s">
        <v>55</v>
      </c>
      <c r="C216" t="s">
        <v>58</v>
      </c>
      <c r="D216" s="171">
        <f>'[14]176'!N21</f>
        <v>498.90010000000007</v>
      </c>
      <c r="E216" s="171">
        <f>'[14]176'!O21</f>
        <v>485.28</v>
      </c>
      <c r="F216" s="171">
        <f>'[14]176'!P21</f>
        <v>490.55</v>
      </c>
      <c r="G216" s="171">
        <f>'[14]176'!Q21</f>
        <v>508.95</v>
      </c>
      <c r="H216" s="171">
        <f>'[14]176'!R21</f>
        <v>466.96</v>
      </c>
      <c r="I216" s="171">
        <f>'[14]176'!S21</f>
        <v>549.37158823289462</v>
      </c>
      <c r="J216" s="171">
        <f>'[14]176'!T21</f>
        <v>548.74240789820828</v>
      </c>
      <c r="K216" s="171">
        <f>'[14]176'!U21</f>
        <v>544.86541946893919</v>
      </c>
      <c r="L216" s="171">
        <f>'[14]176'!V21</f>
        <v>536.26</v>
      </c>
      <c r="M216" s="171">
        <f>'[14]176'!W21</f>
        <v>411.13059294984151</v>
      </c>
      <c r="N216" s="171">
        <f>'[14]176'!X21</f>
        <v>447.15</v>
      </c>
      <c r="O216" s="171">
        <f>'[14]176'!Y21</f>
        <v>503.88418583897061</v>
      </c>
      <c r="P216" t="str">
        <f t="shared" si="6"/>
        <v>RRec tons</v>
      </c>
      <c r="Q216">
        <f t="shared" si="7"/>
        <v>5992.0442943888538</v>
      </c>
    </row>
    <row r="217" spans="1:17" x14ac:dyDescent="0.2">
      <c r="A217" t="s">
        <v>55</v>
      </c>
      <c r="C217" t="s">
        <v>59</v>
      </c>
      <c r="D217" s="171">
        <f>'[14]176'!N13</f>
        <v>612.51620000000003</v>
      </c>
      <c r="E217" s="171">
        <f>'[14]176'!O13</f>
        <v>509.78</v>
      </c>
      <c r="F217" s="171">
        <f>'[14]176'!P13</f>
        <v>426.03</v>
      </c>
      <c r="G217" s="171">
        <f>'[14]176'!Q13</f>
        <v>296.14</v>
      </c>
      <c r="H217" s="171">
        <f>'[14]176'!R13</f>
        <v>241.63</v>
      </c>
      <c r="I217" s="171">
        <f>'[14]176'!S13</f>
        <v>318.92111504287436</v>
      </c>
      <c r="J217" s="171">
        <f>'[14]176'!T13</f>
        <v>439.96283958992058</v>
      </c>
      <c r="K217" s="171">
        <f>'[14]176'!U13</f>
        <v>212.18145860027434</v>
      </c>
      <c r="L217" s="171">
        <f>'[14]176'!V13</f>
        <v>139.81</v>
      </c>
      <c r="M217" s="171">
        <f>'[14]176'!W13</f>
        <v>154.404289410621</v>
      </c>
      <c r="N217" s="171">
        <f>'[14]176'!X13</f>
        <v>278.87</v>
      </c>
      <c r="O217" s="171">
        <v>479.27701327717085</v>
      </c>
      <c r="P217" t="str">
        <f t="shared" si="6"/>
        <v xml:space="preserve">RYW tons </v>
      </c>
      <c r="Q217">
        <f t="shared" si="7"/>
        <v>4109.5229159208611</v>
      </c>
    </row>
    <row r="218" spans="1:17" x14ac:dyDescent="0.2">
      <c r="A218" t="s">
        <v>55</v>
      </c>
      <c r="C218" t="s">
        <v>60</v>
      </c>
      <c r="D218" s="171">
        <f>'[14]176'!N5</f>
        <v>1186.8725999999999</v>
      </c>
      <c r="E218" s="171">
        <f>'[14]176'!O5</f>
        <v>1105.19</v>
      </c>
      <c r="F218" s="171">
        <f>'[14]176'!P5</f>
        <v>1224.99</v>
      </c>
      <c r="G218" s="171">
        <f>'[14]176'!Q5</f>
        <v>1247.9100000000001</v>
      </c>
      <c r="H218" s="171">
        <f>'[14]176'!R5</f>
        <v>1112.6199999999999</v>
      </c>
      <c r="I218" s="171">
        <f>'[14]176'!S5</f>
        <v>1174.9478613486413</v>
      </c>
      <c r="J218" s="171">
        <f>'[14]176'!T5</f>
        <v>1172.5968470447392</v>
      </c>
      <c r="K218" s="171">
        <f>'[14]176'!U5</f>
        <v>1105.6507199953301</v>
      </c>
      <c r="L218" s="171">
        <v>1142.3983661211082</v>
      </c>
      <c r="M218" s="171">
        <v>961.40542217870484</v>
      </c>
      <c r="N218" s="171">
        <v>996.48210617413702</v>
      </c>
      <c r="O218" s="171">
        <v>1126.8675487743001</v>
      </c>
      <c r="P218" t="str">
        <f t="shared" si="6"/>
        <v>RMSW tons</v>
      </c>
      <c r="Q218">
        <f t="shared" si="7"/>
        <v>13557.931471636959</v>
      </c>
    </row>
    <row r="219" spans="1:17" x14ac:dyDescent="0.2">
      <c r="A219" t="s">
        <v>65</v>
      </c>
      <c r="B219" t="s">
        <v>69</v>
      </c>
      <c r="C219" t="s">
        <v>56</v>
      </c>
      <c r="D219" s="170">
        <v>4354</v>
      </c>
      <c r="E219" s="170">
        <v>4345</v>
      </c>
      <c r="F219" s="170">
        <v>4373</v>
      </c>
      <c r="G219" s="170">
        <v>4408</v>
      </c>
      <c r="H219" s="170">
        <v>4405</v>
      </c>
      <c r="I219" s="170">
        <v>4412</v>
      </c>
      <c r="J219" s="170">
        <v>4423</v>
      </c>
      <c r="K219" s="170">
        <v>4407</v>
      </c>
      <c r="L219">
        <v>4440</v>
      </c>
      <c r="M219">
        <v>4481</v>
      </c>
      <c r="N219">
        <v>4493</v>
      </c>
      <c r="O219">
        <v>4502</v>
      </c>
      <c r="P219" t="str">
        <f t="shared" si="6"/>
        <v>NRREC cust</v>
      </c>
      <c r="Q219">
        <f t="shared" si="7"/>
        <v>53043</v>
      </c>
    </row>
    <row r="220" spans="1:17" x14ac:dyDescent="0.2">
      <c r="A220" t="s">
        <v>65</v>
      </c>
      <c r="C220" t="s">
        <v>57</v>
      </c>
      <c r="D220" s="170">
        <v>2423</v>
      </c>
      <c r="E220" s="170">
        <v>2449</v>
      </c>
      <c r="F220" s="170">
        <v>2489</v>
      </c>
      <c r="G220" s="170">
        <v>2503</v>
      </c>
      <c r="H220" s="170">
        <v>2477</v>
      </c>
      <c r="I220" s="170">
        <v>2453</v>
      </c>
      <c r="J220" s="170">
        <v>2443</v>
      </c>
      <c r="K220" s="170">
        <v>2422</v>
      </c>
      <c r="L220">
        <v>2423</v>
      </c>
      <c r="M220">
        <v>2433</v>
      </c>
      <c r="N220">
        <v>2456</v>
      </c>
      <c r="O220">
        <v>2492</v>
      </c>
      <c r="P220" t="str">
        <f t="shared" si="6"/>
        <v>NRYW cust</v>
      </c>
      <c r="Q220">
        <f t="shared" si="7"/>
        <v>29463</v>
      </c>
    </row>
    <row r="221" spans="1:17" x14ac:dyDescent="0.2">
      <c r="A221" t="s">
        <v>65</v>
      </c>
      <c r="D221" s="170"/>
      <c r="E221" s="170"/>
      <c r="F221" s="170"/>
      <c r="G221" s="170"/>
      <c r="H221" s="170"/>
      <c r="I221" s="170"/>
      <c r="J221" s="170"/>
      <c r="K221" s="170"/>
      <c r="P221" t="str">
        <f t="shared" si="6"/>
        <v>NR</v>
      </c>
      <c r="Q221">
        <f t="shared" si="7"/>
        <v>0</v>
      </c>
    </row>
    <row r="222" spans="1:17" x14ac:dyDescent="0.2">
      <c r="A222" t="s">
        <v>65</v>
      </c>
      <c r="C222" t="s">
        <v>58</v>
      </c>
      <c r="D222" s="171">
        <v>105.29374175205136</v>
      </c>
      <c r="E222" s="171">
        <v>110.71838671253073</v>
      </c>
      <c r="F222" s="171">
        <v>129.18795259297889</v>
      </c>
      <c r="G222" s="171">
        <v>134.68746298336305</v>
      </c>
      <c r="H222" s="171">
        <v>112.13939129260559</v>
      </c>
      <c r="I222" s="171">
        <v>111.09064770680747</v>
      </c>
      <c r="J222" s="171">
        <v>111.26901101474911</v>
      </c>
      <c r="K222" s="171">
        <v>120.90878959280921</v>
      </c>
      <c r="L222">
        <v>142.23645902630506</v>
      </c>
      <c r="M222">
        <v>98.032641093073408</v>
      </c>
      <c r="N222">
        <v>107.64718407149377</v>
      </c>
      <c r="O222">
        <v>105.51971006870922</v>
      </c>
      <c r="P222" t="str">
        <f t="shared" si="6"/>
        <v>NRRec tons</v>
      </c>
      <c r="Q222">
        <f t="shared" si="7"/>
        <v>1388.7313779074768</v>
      </c>
    </row>
    <row r="223" spans="1:17" x14ac:dyDescent="0.2">
      <c r="A223" t="s">
        <v>65</v>
      </c>
      <c r="C223" t="s">
        <v>59</v>
      </c>
      <c r="D223" s="171">
        <v>327.54057602754551</v>
      </c>
      <c r="E223" s="171">
        <v>177.59380341703292</v>
      </c>
      <c r="F223" s="171">
        <v>170.42694432024632</v>
      </c>
      <c r="G223" s="171">
        <v>150.98366486277965</v>
      </c>
      <c r="H223" s="171">
        <v>76.171065800711787</v>
      </c>
      <c r="I223" s="171">
        <v>74.113191216339956</v>
      </c>
      <c r="J223" s="171">
        <v>64.662666992842986</v>
      </c>
      <c r="K223" s="171">
        <v>20.150626455503858</v>
      </c>
      <c r="L223">
        <v>21.256055673110524</v>
      </c>
      <c r="M223">
        <v>22.01296077026139</v>
      </c>
      <c r="N223">
        <v>31.29011983280877</v>
      </c>
      <c r="O223">
        <v>98.751071417516243</v>
      </c>
      <c r="P223" t="str">
        <f t="shared" si="6"/>
        <v xml:space="preserve">NRYW tons </v>
      </c>
      <c r="Q223">
        <f t="shared" si="7"/>
        <v>1234.9527467866997</v>
      </c>
    </row>
    <row r="224" spans="1:17" x14ac:dyDescent="0.2">
      <c r="A224" t="s">
        <v>65</v>
      </c>
      <c r="C224" t="s">
        <v>60</v>
      </c>
      <c r="D224" s="171">
        <v>305.1438462300236</v>
      </c>
      <c r="E224" s="171">
        <v>283.76584335168207</v>
      </c>
      <c r="F224" s="171">
        <v>318.28789933418409</v>
      </c>
      <c r="G224" s="171">
        <v>290.75183607839892</v>
      </c>
      <c r="H224" s="171">
        <v>257.18298088984955</v>
      </c>
      <c r="I224" s="171">
        <v>295.32372776824155</v>
      </c>
      <c r="J224" s="171">
        <v>260.29260393397789</v>
      </c>
      <c r="K224" s="171">
        <v>278.39176831890734</v>
      </c>
      <c r="L224">
        <v>300.25289643180383</v>
      </c>
      <c r="M224">
        <v>222.00948748767104</v>
      </c>
      <c r="N224">
        <v>254.52025472457828</v>
      </c>
      <c r="O224">
        <v>275.77853516458038</v>
      </c>
      <c r="P224" t="str">
        <f t="shared" si="6"/>
        <v>NRMSW tons</v>
      </c>
      <c r="Q224">
        <f t="shared" si="7"/>
        <v>3341.7016797138981</v>
      </c>
    </row>
    <row r="225" spans="1:17" x14ac:dyDescent="0.2">
      <c r="A225" t="s">
        <v>65</v>
      </c>
      <c r="B225" t="s">
        <v>70</v>
      </c>
      <c r="C225" t="s">
        <v>56</v>
      </c>
      <c r="D225" s="170">
        <v>22772</v>
      </c>
      <c r="E225" s="170">
        <v>22647</v>
      </c>
      <c r="F225" s="170">
        <v>22688</v>
      </c>
      <c r="G225" s="170">
        <v>22965</v>
      </c>
      <c r="H225" s="170">
        <v>22844</v>
      </c>
      <c r="I225" s="170">
        <v>22841</v>
      </c>
      <c r="J225" s="170">
        <v>22957</v>
      </c>
      <c r="K225" s="170">
        <v>22891</v>
      </c>
      <c r="L225" s="170">
        <v>22913</v>
      </c>
      <c r="M225" s="170">
        <v>23164</v>
      </c>
      <c r="N225" s="170">
        <v>23085</v>
      </c>
      <c r="O225" s="170">
        <v>23109</v>
      </c>
      <c r="P225" t="str">
        <f t="shared" si="6"/>
        <v>NRREC cust</v>
      </c>
      <c r="Q225">
        <f t="shared" si="7"/>
        <v>274876</v>
      </c>
    </row>
    <row r="226" spans="1:17" x14ac:dyDescent="0.2">
      <c r="A226" t="s">
        <v>65</v>
      </c>
      <c r="C226" t="s">
        <v>57</v>
      </c>
      <c r="D226" s="170">
        <v>21849</v>
      </c>
      <c r="E226" s="170">
        <v>21725</v>
      </c>
      <c r="F226" s="170">
        <v>21764</v>
      </c>
      <c r="G226" s="170">
        <v>22013</v>
      </c>
      <c r="H226" s="170">
        <v>21923</v>
      </c>
      <c r="I226" s="170">
        <v>22096</v>
      </c>
      <c r="J226" s="170">
        <v>22205</v>
      </c>
      <c r="K226" s="170">
        <v>22145</v>
      </c>
      <c r="L226" s="170">
        <v>22126</v>
      </c>
      <c r="M226" s="170">
        <v>22354</v>
      </c>
      <c r="N226" s="170">
        <v>22279</v>
      </c>
      <c r="O226" s="170">
        <v>22322</v>
      </c>
      <c r="P226" t="str">
        <f t="shared" si="6"/>
        <v>NRYW cust</v>
      </c>
      <c r="Q226">
        <f t="shared" si="7"/>
        <v>264801</v>
      </c>
    </row>
    <row r="227" spans="1:17" x14ac:dyDescent="0.2">
      <c r="A227" t="s">
        <v>65</v>
      </c>
      <c r="D227" s="170"/>
      <c r="E227" s="170"/>
      <c r="F227" s="170"/>
      <c r="G227" s="170"/>
      <c r="H227" s="170"/>
      <c r="I227" s="170"/>
      <c r="J227" s="170"/>
      <c r="K227" s="170"/>
      <c r="L227" s="170"/>
      <c r="M227" s="170"/>
      <c r="N227" s="170"/>
      <c r="O227" s="170"/>
      <c r="P227" t="str">
        <f t="shared" si="6"/>
        <v>NR</v>
      </c>
      <c r="Q227">
        <f t="shared" si="7"/>
        <v>0</v>
      </c>
    </row>
    <row r="228" spans="1:17" x14ac:dyDescent="0.2">
      <c r="A228" t="s">
        <v>65</v>
      </c>
      <c r="C228" t="s">
        <v>58</v>
      </c>
      <c r="D228" s="171">
        <v>583.80580121069352</v>
      </c>
      <c r="E228" s="171">
        <v>533.099793316567</v>
      </c>
      <c r="F228" s="171">
        <v>571.79444659611625</v>
      </c>
      <c r="G228" s="171">
        <v>610.67817575633819</v>
      </c>
      <c r="H228" s="171">
        <v>528.52241314277546</v>
      </c>
      <c r="I228" s="171">
        <v>635.6626640625135</v>
      </c>
      <c r="J228" s="171">
        <v>663.50138099741002</v>
      </c>
      <c r="K228" s="171">
        <v>614.92601439200405</v>
      </c>
      <c r="L228" s="171">
        <v>637.51787087528305</v>
      </c>
      <c r="M228" s="171">
        <v>487.45522693319867</v>
      </c>
      <c r="N228" s="171">
        <v>534.6655467945767</v>
      </c>
      <c r="O228" s="171">
        <v>567.83827683567893</v>
      </c>
      <c r="P228" t="str">
        <f t="shared" si="6"/>
        <v>NRRec tons</v>
      </c>
      <c r="Q228">
        <f t="shared" si="7"/>
        <v>6969.4676109131542</v>
      </c>
    </row>
    <row r="229" spans="1:17" x14ac:dyDescent="0.2">
      <c r="A229" t="s">
        <v>65</v>
      </c>
      <c r="C229" t="s">
        <v>59</v>
      </c>
      <c r="D229" s="171">
        <v>1512.3598110086643</v>
      </c>
      <c r="E229" s="171">
        <v>1350.6127340925177</v>
      </c>
      <c r="F229" s="171">
        <v>1218.3154975559078</v>
      </c>
      <c r="G229" s="171">
        <v>933.39192271790648</v>
      </c>
      <c r="H229" s="171">
        <v>614.98818967191153</v>
      </c>
      <c r="I229" s="171">
        <v>608.14095004372848</v>
      </c>
      <c r="J229" s="171">
        <v>1021.7624657170012</v>
      </c>
      <c r="K229" s="171">
        <v>563.99333026163686</v>
      </c>
      <c r="L229" s="171">
        <v>469.48007986070058</v>
      </c>
      <c r="M229" s="171">
        <v>434.4600439654356</v>
      </c>
      <c r="N229" s="171">
        <v>693.45966596763822</v>
      </c>
      <c r="O229" s="171">
        <v>1346.3197961047347</v>
      </c>
      <c r="P229" t="str">
        <f t="shared" si="6"/>
        <v xml:space="preserve">NRYW tons </v>
      </c>
      <c r="Q229">
        <f t="shared" si="7"/>
        <v>10767.284486967785</v>
      </c>
    </row>
    <row r="230" spans="1:17" x14ac:dyDescent="0.2">
      <c r="A230" t="s">
        <v>65</v>
      </c>
      <c r="C230" t="s">
        <v>60</v>
      </c>
      <c r="D230" s="171">
        <v>1130.1459886498901</v>
      </c>
      <c r="E230" s="171">
        <v>1069.5557413151389</v>
      </c>
      <c r="F230" s="171">
        <v>1091.4707289782514</v>
      </c>
      <c r="G230" s="171">
        <v>1185.4967303229421</v>
      </c>
      <c r="H230" s="171">
        <v>978.83986080829163</v>
      </c>
      <c r="I230" s="171">
        <v>1126.2047292290397</v>
      </c>
      <c r="J230" s="171">
        <v>1194.2266745407576</v>
      </c>
      <c r="K230" s="171">
        <v>1045.4101243459902</v>
      </c>
      <c r="L230" s="171">
        <v>1158.9954249767275</v>
      </c>
      <c r="M230" s="171">
        <v>972.05872402788543</v>
      </c>
      <c r="N230" s="171">
        <v>1024.6480935071654</v>
      </c>
      <c r="O230" s="171">
        <v>1166.3266900274123</v>
      </c>
      <c r="P230" t="str">
        <f t="shared" si="6"/>
        <v>NRMSW tons</v>
      </c>
      <c r="Q230">
        <f t="shared" si="7"/>
        <v>13143.379510729492</v>
      </c>
    </row>
    <row r="231" spans="1:17" x14ac:dyDescent="0.2">
      <c r="A231" t="s">
        <v>65</v>
      </c>
      <c r="B231" t="s">
        <v>71</v>
      </c>
      <c r="C231" t="s">
        <v>56</v>
      </c>
      <c r="D231" s="170">
        <v>0</v>
      </c>
      <c r="E231" s="170">
        <v>468</v>
      </c>
      <c r="F231" s="170">
        <v>468</v>
      </c>
      <c r="G231" s="170">
        <v>466</v>
      </c>
      <c r="H231" s="170">
        <v>470</v>
      </c>
      <c r="I231" s="170">
        <v>477</v>
      </c>
      <c r="J231" s="170">
        <v>477</v>
      </c>
      <c r="K231" s="170">
        <v>476</v>
      </c>
      <c r="P231" t="str">
        <f t="shared" si="6"/>
        <v>NRREC cust</v>
      </c>
      <c r="Q231">
        <f t="shared" si="7"/>
        <v>3302</v>
      </c>
    </row>
    <row r="232" spans="1:17" x14ac:dyDescent="0.2">
      <c r="A232" t="s">
        <v>65</v>
      </c>
      <c r="C232" t="s">
        <v>57</v>
      </c>
      <c r="D232" s="170">
        <v>0</v>
      </c>
      <c r="E232" s="170">
        <v>327</v>
      </c>
      <c r="F232" s="170">
        <v>332</v>
      </c>
      <c r="G232" s="170">
        <v>334</v>
      </c>
      <c r="H232" s="170">
        <v>335</v>
      </c>
      <c r="I232" s="170">
        <v>337</v>
      </c>
      <c r="J232" s="170">
        <v>323</v>
      </c>
      <c r="K232" s="170">
        <v>0</v>
      </c>
      <c r="P232" t="str">
        <f t="shared" si="6"/>
        <v>NRYW cust</v>
      </c>
      <c r="Q232">
        <f t="shared" si="7"/>
        <v>1988</v>
      </c>
    </row>
    <row r="233" spans="1:17" x14ac:dyDescent="0.2">
      <c r="A233" t="s">
        <v>65</v>
      </c>
      <c r="D233" s="170"/>
      <c r="E233" s="170"/>
      <c r="F233" s="170"/>
      <c r="G233" s="170"/>
      <c r="H233" s="170"/>
      <c r="I233" s="170"/>
      <c r="J233" s="170"/>
      <c r="K233" s="170"/>
      <c r="P233" t="str">
        <f t="shared" si="6"/>
        <v>NR</v>
      </c>
      <c r="Q233">
        <f t="shared" si="7"/>
        <v>0</v>
      </c>
    </row>
    <row r="234" spans="1:17" x14ac:dyDescent="0.2">
      <c r="A234" t="s">
        <v>65</v>
      </c>
      <c r="C234" t="s">
        <v>58</v>
      </c>
      <c r="D234" s="171">
        <v>0</v>
      </c>
      <c r="E234" s="171">
        <v>14.767631237843414</v>
      </c>
      <c r="F234" s="171">
        <v>13.311419271433131</v>
      </c>
      <c r="G234" s="171">
        <v>13.339115124753638</v>
      </c>
      <c r="H234" s="171">
        <v>6.8635216128341083</v>
      </c>
      <c r="I234" s="171">
        <v>21.108422940172368</v>
      </c>
      <c r="J234" s="171">
        <v>16.679357096218659</v>
      </c>
      <c r="K234" s="171">
        <v>13.084971389643419</v>
      </c>
      <c r="P234" t="str">
        <f t="shared" si="6"/>
        <v>NRRec tons</v>
      </c>
      <c r="Q234">
        <f t="shared" si="7"/>
        <v>99.154438672898721</v>
      </c>
    </row>
    <row r="235" spans="1:17" x14ac:dyDescent="0.2">
      <c r="A235" t="s">
        <v>65</v>
      </c>
      <c r="C235" t="s">
        <v>59</v>
      </c>
      <c r="D235" s="171">
        <v>0</v>
      </c>
      <c r="E235" s="171">
        <v>25.00119374117045</v>
      </c>
      <c r="F235" s="171">
        <v>22.224135778949758</v>
      </c>
      <c r="G235" s="171">
        <v>15.231840492587947</v>
      </c>
      <c r="H235" s="171">
        <v>14.74474537843126</v>
      </c>
      <c r="I235" s="171">
        <v>11.989433507729355</v>
      </c>
      <c r="J235" s="171">
        <v>16.344880384701963</v>
      </c>
      <c r="K235" s="171">
        <v>13.530839064191014</v>
      </c>
      <c r="P235" t="str">
        <f t="shared" si="6"/>
        <v xml:space="preserve">NRYW tons </v>
      </c>
      <c r="Q235">
        <f t="shared" si="7"/>
        <v>119.06706834776176</v>
      </c>
    </row>
    <row r="236" spans="1:17" x14ac:dyDescent="0.2">
      <c r="A236" t="s">
        <v>65</v>
      </c>
      <c r="C236" t="s">
        <v>60</v>
      </c>
      <c r="D236" s="171">
        <v>0</v>
      </c>
      <c r="E236" s="171">
        <v>30.961877370395154</v>
      </c>
      <c r="F236" s="171">
        <v>27.842074829277305</v>
      </c>
      <c r="G236" s="171">
        <v>29.72736067205749</v>
      </c>
      <c r="H236" s="171">
        <v>23.332970350012541</v>
      </c>
      <c r="I236" s="171">
        <v>36.665112610985524</v>
      </c>
      <c r="J236" s="171">
        <v>26.096282507483796</v>
      </c>
      <c r="K236" s="171">
        <v>25.68717259153533</v>
      </c>
      <c r="P236" t="str">
        <f t="shared" si="6"/>
        <v>NRMSW tons</v>
      </c>
      <c r="Q236">
        <f t="shared" si="7"/>
        <v>200.31285093174716</v>
      </c>
    </row>
    <row r="237" spans="1:17" x14ac:dyDescent="0.2">
      <c r="A237" t="s">
        <v>65</v>
      </c>
      <c r="B237" t="s">
        <v>64</v>
      </c>
      <c r="C237" t="s">
        <v>56</v>
      </c>
      <c r="D237" s="170">
        <v>2361</v>
      </c>
      <c r="E237" s="170">
        <v>2373</v>
      </c>
      <c r="F237" s="170">
        <v>2379</v>
      </c>
      <c r="G237" s="170">
        <v>2392</v>
      </c>
      <c r="H237" s="170">
        <v>2412</v>
      </c>
      <c r="I237" s="170">
        <v>2433</v>
      </c>
      <c r="J237" s="170">
        <v>2450</v>
      </c>
      <c r="K237" s="170">
        <v>2454</v>
      </c>
      <c r="L237" s="170">
        <v>2462</v>
      </c>
      <c r="M237" s="170">
        <v>2465</v>
      </c>
      <c r="N237" s="170">
        <v>2475</v>
      </c>
      <c r="O237" s="170">
        <v>2488</v>
      </c>
      <c r="P237" t="str">
        <f t="shared" si="6"/>
        <v>NRREC cust</v>
      </c>
      <c r="Q237">
        <f t="shared" si="7"/>
        <v>29144</v>
      </c>
    </row>
    <row r="238" spans="1:17" x14ac:dyDescent="0.2">
      <c r="A238" t="s">
        <v>65</v>
      </c>
      <c r="C238" t="s">
        <v>57</v>
      </c>
      <c r="D238" s="170">
        <v>1272</v>
      </c>
      <c r="E238" s="170">
        <v>1294</v>
      </c>
      <c r="F238" s="170">
        <v>1309</v>
      </c>
      <c r="G238" s="170">
        <v>1321</v>
      </c>
      <c r="H238" s="170">
        <v>1324</v>
      </c>
      <c r="I238" s="170">
        <v>1314</v>
      </c>
      <c r="J238" s="170">
        <v>1304</v>
      </c>
      <c r="K238" s="170">
        <v>1284</v>
      </c>
      <c r="L238" s="170">
        <v>1277</v>
      </c>
      <c r="M238" s="170">
        <v>1272</v>
      </c>
      <c r="N238" s="170">
        <v>1299</v>
      </c>
      <c r="O238" s="170">
        <v>1341</v>
      </c>
      <c r="P238" t="str">
        <f t="shared" si="6"/>
        <v>NRYW cust</v>
      </c>
      <c r="Q238">
        <f t="shared" si="7"/>
        <v>15611</v>
      </c>
    </row>
    <row r="239" spans="1:17" x14ac:dyDescent="0.2">
      <c r="A239" t="s">
        <v>65</v>
      </c>
      <c r="D239" s="171"/>
      <c r="E239" s="171"/>
      <c r="F239" s="171"/>
      <c r="G239" s="171"/>
      <c r="H239" s="171"/>
      <c r="I239" s="171"/>
      <c r="J239" s="171"/>
      <c r="K239" s="171"/>
      <c r="L239" s="171"/>
      <c r="M239" s="171"/>
      <c r="N239" s="171"/>
      <c r="O239" s="171"/>
      <c r="P239" t="str">
        <f t="shared" si="6"/>
        <v>NR</v>
      </c>
      <c r="Q239">
        <f t="shared" si="7"/>
        <v>0</v>
      </c>
    </row>
    <row r="240" spans="1:17" x14ac:dyDescent="0.2">
      <c r="A240" t="s">
        <v>65</v>
      </c>
      <c r="C240" t="s">
        <v>58</v>
      </c>
      <c r="D240" s="171">
        <v>55.393944766438509</v>
      </c>
      <c r="E240" s="171">
        <v>57.641278397388795</v>
      </c>
      <c r="F240" s="171">
        <v>67.846261372750092</v>
      </c>
      <c r="G240" s="171">
        <v>70.326308563578309</v>
      </c>
      <c r="H240" s="171">
        <v>58.79360479986466</v>
      </c>
      <c r="I240" s="171">
        <v>46.572448017245598</v>
      </c>
      <c r="J240" s="171">
        <v>67.21427109758568</v>
      </c>
      <c r="K240" s="171">
        <v>74.4352063485305</v>
      </c>
      <c r="L240" s="171">
        <v>81.877738498037871</v>
      </c>
      <c r="M240" s="171">
        <v>59.821164023814362</v>
      </c>
      <c r="N240" s="171">
        <v>62.851643194607377</v>
      </c>
      <c r="O240" s="171">
        <v>62.672484697675813</v>
      </c>
      <c r="P240" t="str">
        <f t="shared" si="6"/>
        <v>NRRec tons</v>
      </c>
      <c r="Q240">
        <f t="shared" si="7"/>
        <v>765.44635377751763</v>
      </c>
    </row>
    <row r="241" spans="1:17" x14ac:dyDescent="0.2">
      <c r="A241" t="s">
        <v>65</v>
      </c>
      <c r="C241" t="s">
        <v>59</v>
      </c>
      <c r="D241" s="171">
        <v>131.95191617118178</v>
      </c>
      <c r="E241" s="171">
        <v>106.51525909756749</v>
      </c>
      <c r="F241" s="171">
        <v>100.80683306651643</v>
      </c>
      <c r="G241" s="171">
        <v>49.094838770880258</v>
      </c>
      <c r="H241" s="171">
        <v>39.224661713456641</v>
      </c>
      <c r="I241" s="171">
        <v>65.368533542742824</v>
      </c>
      <c r="J241" s="171">
        <v>113.7004980924078</v>
      </c>
      <c r="K241" s="171">
        <v>45.735179766531743</v>
      </c>
      <c r="L241" s="171">
        <v>35.919575972857089</v>
      </c>
      <c r="M241" s="171">
        <v>28.649655073179897</v>
      </c>
      <c r="N241" s="171">
        <v>45.452495963949993</v>
      </c>
      <c r="O241" s="171">
        <v>116.78001813617652</v>
      </c>
      <c r="P241" t="str">
        <f t="shared" si="6"/>
        <v xml:space="preserve">NRYW tons </v>
      </c>
      <c r="Q241">
        <f t="shared" si="7"/>
        <v>879.1994653674484</v>
      </c>
    </row>
    <row r="242" spans="1:17" x14ac:dyDescent="0.2">
      <c r="A242" t="s">
        <v>65</v>
      </c>
      <c r="C242" t="s">
        <v>60</v>
      </c>
      <c r="D242" s="171">
        <v>162.55220611920439</v>
      </c>
      <c r="E242" s="171">
        <v>148.83501994163603</v>
      </c>
      <c r="F242" s="171">
        <v>147.57196990271112</v>
      </c>
      <c r="G242" s="171">
        <v>151.88897484169306</v>
      </c>
      <c r="H242" s="171">
        <v>126.58984361647545</v>
      </c>
      <c r="I242" s="171">
        <v>145.70571746456295</v>
      </c>
      <c r="J242" s="171">
        <v>165.27532847478341</v>
      </c>
      <c r="K242" s="171">
        <v>123.51717748595061</v>
      </c>
      <c r="L242" s="171">
        <v>152.39306716777</v>
      </c>
      <c r="M242" s="171">
        <v>116.73365501023753</v>
      </c>
      <c r="N242" s="171">
        <v>127.9035167874727</v>
      </c>
      <c r="O242" s="171">
        <v>137.75674469951289</v>
      </c>
      <c r="P242" t="str">
        <f t="shared" si="6"/>
        <v>NRMSW tons</v>
      </c>
      <c r="Q242">
        <f t="shared" si="7"/>
        <v>1706.7232215120102</v>
      </c>
    </row>
    <row r="243" spans="1:17" x14ac:dyDescent="0.2">
      <c r="A243" t="s">
        <v>55</v>
      </c>
      <c r="B243" t="s">
        <v>72</v>
      </c>
      <c r="C243" t="s">
        <v>56</v>
      </c>
      <c r="D243" s="172">
        <v>155</v>
      </c>
      <c r="E243" s="172">
        <v>157</v>
      </c>
      <c r="F243" s="172">
        <v>157</v>
      </c>
      <c r="G243" s="172">
        <v>156</v>
      </c>
      <c r="H243" s="172">
        <v>156</v>
      </c>
      <c r="I243" s="172">
        <v>156</v>
      </c>
      <c r="J243" s="172">
        <v>157</v>
      </c>
      <c r="K243" s="172">
        <v>154</v>
      </c>
      <c r="L243" s="170">
        <v>155</v>
      </c>
      <c r="M243" s="170">
        <v>155</v>
      </c>
      <c r="N243" s="172">
        <v>156</v>
      </c>
      <c r="O243" s="172">
        <v>154</v>
      </c>
      <c r="P243" t="str">
        <f t="shared" si="6"/>
        <v>RREC cust</v>
      </c>
      <c r="Q243">
        <f t="shared" si="7"/>
        <v>1868</v>
      </c>
    </row>
    <row r="244" spans="1:17" x14ac:dyDescent="0.2">
      <c r="A244" t="s">
        <v>55</v>
      </c>
      <c r="C244" t="s">
        <v>57</v>
      </c>
      <c r="D244" s="172">
        <v>93</v>
      </c>
      <c r="E244" s="172">
        <v>92</v>
      </c>
      <c r="F244" s="172">
        <v>92</v>
      </c>
      <c r="G244" s="172">
        <v>89</v>
      </c>
      <c r="H244" s="172">
        <v>89</v>
      </c>
      <c r="I244" s="172">
        <v>90</v>
      </c>
      <c r="J244" s="172">
        <v>90</v>
      </c>
      <c r="K244" s="172">
        <v>89</v>
      </c>
      <c r="L244" s="170">
        <v>89</v>
      </c>
      <c r="M244" s="170">
        <v>89</v>
      </c>
      <c r="N244" s="172">
        <v>89</v>
      </c>
      <c r="O244" s="172">
        <v>89</v>
      </c>
      <c r="P244" t="str">
        <f t="shared" si="6"/>
        <v>RYW cust</v>
      </c>
      <c r="Q244">
        <f t="shared" si="7"/>
        <v>1080</v>
      </c>
    </row>
    <row r="245" spans="1:17" x14ac:dyDescent="0.2">
      <c r="A245" t="s">
        <v>55</v>
      </c>
      <c r="D245" s="170"/>
      <c r="E245" s="172"/>
      <c r="F245" s="172"/>
      <c r="G245" s="172"/>
      <c r="H245" s="170"/>
      <c r="I245" s="172"/>
      <c r="J245" s="172"/>
      <c r="K245" s="172"/>
      <c r="L245" s="172"/>
      <c r="M245" s="172"/>
      <c r="N245" s="170"/>
      <c r="O245" s="172"/>
      <c r="P245" t="str">
        <f t="shared" si="6"/>
        <v>R</v>
      </c>
      <c r="Q245">
        <f t="shared" si="7"/>
        <v>0</v>
      </c>
    </row>
    <row r="246" spans="1:17" x14ac:dyDescent="0.2">
      <c r="A246" t="s">
        <v>55</v>
      </c>
      <c r="C246" t="s">
        <v>58</v>
      </c>
      <c r="D246" s="171">
        <v>5.9944248240069662</v>
      </c>
      <c r="E246" s="171">
        <v>6.1860404162875593</v>
      </c>
      <c r="F246" s="171">
        <v>5.56</v>
      </c>
      <c r="G246" s="171">
        <v>8.3451179376903433</v>
      </c>
      <c r="H246" s="171">
        <v>6.8669393588611438</v>
      </c>
      <c r="I246" s="171">
        <v>6.2506656899236104</v>
      </c>
      <c r="J246" s="171">
        <v>7.1288270258993887</v>
      </c>
      <c r="K246" s="171">
        <v>7.5689120803494072</v>
      </c>
      <c r="L246" s="171">
        <v>8.9379677663764934</v>
      </c>
      <c r="M246" s="171">
        <v>5.3675716961796143</v>
      </c>
      <c r="N246" s="101">
        <v>5.8334900801637346</v>
      </c>
      <c r="O246" s="101">
        <v>5.6297809821486648</v>
      </c>
      <c r="P246" t="str">
        <f t="shared" si="6"/>
        <v>RRec tons</v>
      </c>
      <c r="Q246">
        <f t="shared" si="7"/>
        <v>79.669737857886915</v>
      </c>
    </row>
    <row r="247" spans="1:17" x14ac:dyDescent="0.2">
      <c r="A247" t="s">
        <v>55</v>
      </c>
      <c r="C247" t="s">
        <v>59</v>
      </c>
      <c r="D247" s="171">
        <f>'[14]172'!N20</f>
        <v>17</v>
      </c>
      <c r="E247" s="171">
        <f>'[14]172'!O20</f>
        <v>11.419682133479334</v>
      </c>
      <c r="F247" s="171">
        <f>'[14]172'!P20</f>
        <v>11.127877630058716</v>
      </c>
      <c r="G247" s="171">
        <f>'[14]172'!Q20</f>
        <v>7.3985900007748313</v>
      </c>
      <c r="H247" s="171">
        <f>'[14]172'!R20</f>
        <v>6.9691795561493155</v>
      </c>
      <c r="I247" s="171">
        <f>'[14]172'!S20</f>
        <v>6.8403037490821799</v>
      </c>
      <c r="J247" s="171">
        <f>'[14]172'!T20</f>
        <v>18.741461457351207</v>
      </c>
      <c r="K247" s="171">
        <f>'[14]172'!U20</f>
        <v>7.57</v>
      </c>
      <c r="L247" s="171">
        <f>'[14]172'!V20</f>
        <v>6.73</v>
      </c>
      <c r="M247" s="171">
        <f>'[14]172'!W20</f>
        <v>6.1472190683727703</v>
      </c>
      <c r="N247" s="171">
        <f>'[14]172'!X20</f>
        <v>6.46</v>
      </c>
      <c r="O247" s="101">
        <v>8.1265059377347981</v>
      </c>
      <c r="P247" t="str">
        <f t="shared" si="6"/>
        <v xml:space="preserve">RYW tons </v>
      </c>
      <c r="Q247">
        <f t="shared" si="7"/>
        <v>114.53081953300313</v>
      </c>
    </row>
    <row r="248" spans="1:17" x14ac:dyDescent="0.2">
      <c r="A248" t="s">
        <v>55</v>
      </c>
      <c r="C248" t="s">
        <v>60</v>
      </c>
      <c r="D248" s="171">
        <f>'[14]172'!N8</f>
        <v>11.92</v>
      </c>
      <c r="E248" s="171">
        <f>'[14]172'!O8</f>
        <v>10.417100270801093</v>
      </c>
      <c r="F248" s="171">
        <f>'[14]172'!P8</f>
        <v>10.468275693583523</v>
      </c>
      <c r="G248" s="171">
        <f>'[14]172'!Q8</f>
        <v>13.443114187243555</v>
      </c>
      <c r="H248" s="171">
        <f>'[14]172'!R8</f>
        <v>10.56935215088787</v>
      </c>
      <c r="I248" s="171">
        <f>'[14]172'!S8</f>
        <v>9.3053232353297624</v>
      </c>
      <c r="J248" s="171">
        <f>'[14]172'!T8</f>
        <v>13.162119935237875</v>
      </c>
      <c r="K248" s="171">
        <f>'[14]172'!U8</f>
        <v>10.130000000000001</v>
      </c>
      <c r="L248" s="171">
        <f>'[14]172'!V8</f>
        <v>12.15</v>
      </c>
      <c r="M248" s="171">
        <f>'[14]172'!W8</f>
        <v>8.8854135126021703</v>
      </c>
      <c r="N248" s="171">
        <f>'[14]172'!X8</f>
        <v>9.14</v>
      </c>
      <c r="O248" s="171">
        <f>'[14]172'!Y8</f>
        <v>8.9158534189357681</v>
      </c>
      <c r="P248" t="str">
        <f t="shared" si="6"/>
        <v>RMSW tons</v>
      </c>
      <c r="Q248">
        <f t="shared" si="7"/>
        <v>128.50655240462163</v>
      </c>
    </row>
    <row r="249" spans="1:17" x14ac:dyDescent="0.2">
      <c r="A249" t="s">
        <v>55</v>
      </c>
      <c r="B249" t="s">
        <v>73</v>
      </c>
      <c r="C249" t="s">
        <v>56</v>
      </c>
      <c r="D249" s="172">
        <v>100</v>
      </c>
      <c r="E249" s="172">
        <v>98</v>
      </c>
      <c r="F249" s="172">
        <v>103</v>
      </c>
      <c r="G249" s="172">
        <v>102</v>
      </c>
      <c r="H249" s="172">
        <v>104</v>
      </c>
      <c r="I249" s="172">
        <v>104</v>
      </c>
      <c r="J249" s="172">
        <v>104</v>
      </c>
      <c r="K249" s="172">
        <v>105</v>
      </c>
      <c r="L249" s="170">
        <v>105</v>
      </c>
      <c r="M249" s="170">
        <v>105</v>
      </c>
      <c r="N249" s="172">
        <v>105</v>
      </c>
      <c r="O249" s="172">
        <v>106</v>
      </c>
      <c r="P249" t="str">
        <f t="shared" si="6"/>
        <v>RREC cust</v>
      </c>
      <c r="Q249">
        <f t="shared" si="7"/>
        <v>1241</v>
      </c>
    </row>
    <row r="250" spans="1:17" x14ac:dyDescent="0.2">
      <c r="A250" t="s">
        <v>55</v>
      </c>
      <c r="C250" t="s">
        <v>57</v>
      </c>
      <c r="D250" s="172">
        <v>93</v>
      </c>
      <c r="E250" s="172">
        <v>91</v>
      </c>
      <c r="F250" s="172">
        <v>92</v>
      </c>
      <c r="G250" s="172">
        <v>92</v>
      </c>
      <c r="H250" s="172">
        <v>93</v>
      </c>
      <c r="I250" s="172">
        <v>94</v>
      </c>
      <c r="J250" s="172">
        <v>94</v>
      </c>
      <c r="K250" s="172">
        <v>94</v>
      </c>
      <c r="L250" s="170">
        <v>95</v>
      </c>
      <c r="M250" s="170">
        <v>94</v>
      </c>
      <c r="N250" s="172">
        <v>94</v>
      </c>
      <c r="O250" s="172">
        <v>95</v>
      </c>
      <c r="P250" t="str">
        <f t="shared" si="6"/>
        <v>RYW cust</v>
      </c>
      <c r="Q250">
        <f t="shared" si="7"/>
        <v>1121</v>
      </c>
    </row>
    <row r="251" spans="1:17" x14ac:dyDescent="0.2">
      <c r="A251" t="s">
        <v>55</v>
      </c>
      <c r="D251" s="170"/>
      <c r="E251" s="172"/>
      <c r="F251" s="172"/>
      <c r="G251" s="172"/>
      <c r="H251" s="170"/>
      <c r="I251" s="172"/>
      <c r="J251" s="172"/>
      <c r="K251" s="172"/>
      <c r="L251" s="170"/>
      <c r="M251" s="172"/>
      <c r="N251" s="170"/>
      <c r="O251" s="172"/>
      <c r="P251" t="str">
        <f t="shared" si="6"/>
        <v>R</v>
      </c>
      <c r="Q251">
        <f t="shared" si="7"/>
        <v>0</v>
      </c>
    </row>
    <row r="252" spans="1:17" x14ac:dyDescent="0.2">
      <c r="A252" t="s">
        <v>55</v>
      </c>
      <c r="C252" t="s">
        <v>58</v>
      </c>
      <c r="D252" s="171">
        <v>4.3289254464618612</v>
      </c>
      <c r="E252" s="171">
        <v>3.3821863503535443</v>
      </c>
      <c r="F252" s="171">
        <v>3.4657060986206996</v>
      </c>
      <c r="G252" s="171">
        <v>4.3177577887721421</v>
      </c>
      <c r="H252" s="171">
        <v>3.7343244165931955</v>
      </c>
      <c r="I252" s="171">
        <v>4.4193334191773381</v>
      </c>
      <c r="J252" s="171">
        <v>5.1585479857125129</v>
      </c>
      <c r="K252" s="171">
        <v>4.8224577869068472</v>
      </c>
      <c r="L252" s="171">
        <v>4.8464979377452222</v>
      </c>
      <c r="M252" s="171">
        <v>3.8968418852132491</v>
      </c>
      <c r="N252" s="101">
        <v>4.1209733079203641</v>
      </c>
      <c r="O252" s="101">
        <v>4.2325317479661928</v>
      </c>
      <c r="P252" t="str">
        <f t="shared" si="6"/>
        <v>RRec tons</v>
      </c>
      <c r="Q252">
        <f t="shared" si="7"/>
        <v>50.726084171443169</v>
      </c>
    </row>
    <row r="253" spans="1:17" x14ac:dyDescent="0.2">
      <c r="A253" t="s">
        <v>55</v>
      </c>
      <c r="C253" t="s">
        <v>59</v>
      </c>
      <c r="D253" s="171">
        <v>8.6297024082197158</v>
      </c>
      <c r="E253" s="171">
        <v>6.7878541105392225</v>
      </c>
      <c r="F253" s="171">
        <v>6.0387314770448004</v>
      </c>
      <c r="G253" s="171">
        <v>5.5185921347770766</v>
      </c>
      <c r="H253" s="171">
        <v>4.035169576702768</v>
      </c>
      <c r="I253" s="171">
        <v>6.2129101349791211</v>
      </c>
      <c r="J253" s="171">
        <v>8.1138645127562778</v>
      </c>
      <c r="K253" s="171">
        <v>5.2486815925548278</v>
      </c>
      <c r="L253" s="171">
        <v>4.1227648176232803</v>
      </c>
      <c r="M253" s="171">
        <v>3.3892524547228504</v>
      </c>
      <c r="N253" s="101">
        <v>5.2458064741535946</v>
      </c>
      <c r="O253" s="101">
        <v>5.0427223927183897</v>
      </c>
      <c r="P253" t="str">
        <f t="shared" si="6"/>
        <v xml:space="preserve">RYW tons </v>
      </c>
      <c r="Q253">
        <f t="shared" si="7"/>
        <v>68.386052086791921</v>
      </c>
    </row>
    <row r="254" spans="1:17" x14ac:dyDescent="0.2">
      <c r="A254" t="s">
        <v>55</v>
      </c>
      <c r="C254" t="s">
        <v>60</v>
      </c>
      <c r="D254" s="171">
        <v>5.702718887215978</v>
      </c>
      <c r="E254" s="171">
        <v>4.5319558756679363</v>
      </c>
      <c r="F254" s="171">
        <v>4.520200096595568</v>
      </c>
      <c r="G254" s="171">
        <v>5.8569743027461216</v>
      </c>
      <c r="H254" s="171">
        <v>4.7871870859905146</v>
      </c>
      <c r="I254" s="171">
        <v>5.181408012759694</v>
      </c>
      <c r="J254" s="171">
        <v>4.556886087134874</v>
      </c>
      <c r="K254" s="171">
        <v>4.5039625713238358</v>
      </c>
      <c r="L254" s="171">
        <v>5.7235589205453214</v>
      </c>
      <c r="M254" s="171">
        <v>4.1687101306984813</v>
      </c>
      <c r="N254" s="101">
        <v>4.2405973561297898</v>
      </c>
      <c r="O254" s="101">
        <v>4.2371261917586489</v>
      </c>
      <c r="P254" t="str">
        <f t="shared" si="6"/>
        <v>RMSW tons</v>
      </c>
      <c r="Q254">
        <f t="shared" si="7"/>
        <v>58.011285518566758</v>
      </c>
    </row>
    <row r="255" spans="1:17" x14ac:dyDescent="0.2">
      <c r="A255" t="s">
        <v>65</v>
      </c>
      <c r="B255" t="s">
        <v>74</v>
      </c>
      <c r="C255" t="s">
        <v>56</v>
      </c>
      <c r="D255" s="172">
        <v>3898</v>
      </c>
      <c r="E255" s="172">
        <v>3894</v>
      </c>
      <c r="F255" s="172">
        <v>3901</v>
      </c>
      <c r="G255" s="172">
        <v>3910</v>
      </c>
      <c r="H255" s="172">
        <v>3904</v>
      </c>
      <c r="I255" s="172">
        <v>3909</v>
      </c>
      <c r="J255" s="172">
        <v>3915</v>
      </c>
      <c r="K255" s="172">
        <v>3908</v>
      </c>
      <c r="L255" s="170">
        <v>3913</v>
      </c>
      <c r="M255" s="170">
        <v>3910</v>
      </c>
      <c r="N255" s="172">
        <v>3925</v>
      </c>
      <c r="O255" s="172">
        <v>3931</v>
      </c>
      <c r="P255" t="str">
        <f t="shared" si="6"/>
        <v>NRREC cust</v>
      </c>
      <c r="Q255">
        <f t="shared" si="7"/>
        <v>46918</v>
      </c>
    </row>
    <row r="256" spans="1:17" x14ac:dyDescent="0.2">
      <c r="A256" t="s">
        <v>65</v>
      </c>
      <c r="C256" t="s">
        <v>57</v>
      </c>
      <c r="D256" s="172">
        <v>3558</v>
      </c>
      <c r="E256" s="172">
        <v>3565</v>
      </c>
      <c r="F256" s="172">
        <v>3572</v>
      </c>
      <c r="G256" s="172">
        <v>3587</v>
      </c>
      <c r="H256" s="172">
        <v>3607</v>
      </c>
      <c r="I256" s="172">
        <v>3613</v>
      </c>
      <c r="J256" s="172">
        <v>3619</v>
      </c>
      <c r="K256" s="172">
        <v>3615</v>
      </c>
      <c r="L256" s="170">
        <v>3621</v>
      </c>
      <c r="M256" s="170">
        <v>3621</v>
      </c>
      <c r="N256" s="172">
        <v>3638</v>
      </c>
      <c r="O256" s="172">
        <v>3649</v>
      </c>
      <c r="P256" t="str">
        <f t="shared" si="6"/>
        <v>NRYW cust</v>
      </c>
      <c r="Q256">
        <f t="shared" si="7"/>
        <v>43265</v>
      </c>
    </row>
    <row r="257" spans="1:17" x14ac:dyDescent="0.2">
      <c r="A257" t="s">
        <v>65</v>
      </c>
      <c r="D257" s="170"/>
      <c r="E257" s="172"/>
      <c r="F257" s="172"/>
      <c r="G257" s="172"/>
      <c r="H257" s="170"/>
      <c r="I257" s="172"/>
      <c r="J257" s="172"/>
      <c r="K257" s="172"/>
      <c r="L257" s="170"/>
      <c r="M257" s="172"/>
      <c r="N257" s="170"/>
      <c r="O257" s="172"/>
      <c r="P257" t="str">
        <f t="shared" si="6"/>
        <v>NR</v>
      </c>
      <c r="Q257">
        <f t="shared" si="7"/>
        <v>0</v>
      </c>
    </row>
    <row r="258" spans="1:17" x14ac:dyDescent="0.2">
      <c r="A258" t="s">
        <v>65</v>
      </c>
      <c r="C258" t="s">
        <v>58</v>
      </c>
      <c r="D258" s="171">
        <v>143.4118436723214</v>
      </c>
      <c r="E258" s="171">
        <v>135.62141214517263</v>
      </c>
      <c r="F258" s="171">
        <v>143.74</v>
      </c>
      <c r="G258" s="171">
        <v>139.9155672088753</v>
      </c>
      <c r="H258" s="171">
        <v>129.5835897094737</v>
      </c>
      <c r="I258" s="171">
        <v>137.98810330683517</v>
      </c>
      <c r="J258" s="171">
        <v>163.10298263203052</v>
      </c>
      <c r="K258" s="171">
        <v>146.59229017579554</v>
      </c>
      <c r="L258" s="171">
        <v>158.48765352331631</v>
      </c>
      <c r="M258" s="171">
        <v>119.79908558973756</v>
      </c>
      <c r="N258" s="171">
        <v>136.85336493484235</v>
      </c>
      <c r="O258" s="171">
        <v>132.37902514750664</v>
      </c>
      <c r="P258" t="str">
        <f t="shared" si="6"/>
        <v>NRRec tons</v>
      </c>
      <c r="Q258">
        <f t="shared" si="7"/>
        <v>1687.4749180459073</v>
      </c>
    </row>
    <row r="259" spans="1:17" x14ac:dyDescent="0.2">
      <c r="A259" t="s">
        <v>65</v>
      </c>
      <c r="C259" t="s">
        <v>59</v>
      </c>
      <c r="D259" s="171">
        <v>336.5679169922746</v>
      </c>
      <c r="E259" s="171">
        <v>294.71844292007438</v>
      </c>
      <c r="F259" s="171">
        <v>276.12</v>
      </c>
      <c r="G259" s="171">
        <v>229.37871624239918</v>
      </c>
      <c r="H259" s="171">
        <v>181.61986891477576</v>
      </c>
      <c r="I259" s="171">
        <v>182.59634720915727</v>
      </c>
      <c r="J259" s="171">
        <v>323.93188907750147</v>
      </c>
      <c r="K259" s="171">
        <v>171.22201928768607</v>
      </c>
      <c r="L259" s="171">
        <v>132.22505389251771</v>
      </c>
      <c r="M259" s="171">
        <v>120.11439654249865</v>
      </c>
      <c r="N259" s="171">
        <v>198.50539653252468</v>
      </c>
      <c r="O259" s="171">
        <v>274.56358129094161</v>
      </c>
      <c r="P259" t="str">
        <f t="shared" si="6"/>
        <v xml:space="preserve">NRYW tons </v>
      </c>
      <c r="Q259">
        <f t="shared" si="7"/>
        <v>2721.5636289023514</v>
      </c>
    </row>
    <row r="260" spans="1:17" x14ac:dyDescent="0.2">
      <c r="A260" t="s">
        <v>65</v>
      </c>
      <c r="C260" t="s">
        <v>60</v>
      </c>
      <c r="D260" s="171">
        <v>178.75775484524991</v>
      </c>
      <c r="E260" s="171">
        <v>179.30036644928151</v>
      </c>
      <c r="F260" s="171">
        <v>178.67</v>
      </c>
      <c r="G260" s="171">
        <v>195.31444464230552</v>
      </c>
      <c r="H260" s="171">
        <v>161.61135925204925</v>
      </c>
      <c r="I260" s="171">
        <v>171.97668245787244</v>
      </c>
      <c r="J260" s="171">
        <v>183.71484427750977</v>
      </c>
      <c r="K260" s="171">
        <v>166.71971909975258</v>
      </c>
      <c r="L260" s="171">
        <v>178.49154999177392</v>
      </c>
      <c r="M260" s="171">
        <v>147.79811325774605</v>
      </c>
      <c r="N260" s="171">
        <v>164.005005228149</v>
      </c>
      <c r="O260" s="171">
        <v>167.3822528435978</v>
      </c>
      <c r="P260" t="str">
        <f t="shared" ref="P260:P320" si="8">CONCATENATE(A260,C260)</f>
        <v>NRMSW tons</v>
      </c>
      <c r="Q260">
        <f t="shared" ref="Q260:Q320" si="9">SUM(D260:O260)</f>
        <v>2073.7420923452873</v>
      </c>
    </row>
    <row r="261" spans="1:17" x14ac:dyDescent="0.2">
      <c r="A261" t="s">
        <v>65</v>
      </c>
      <c r="B261" t="s">
        <v>75</v>
      </c>
      <c r="C261" t="s">
        <v>56</v>
      </c>
      <c r="D261" s="172">
        <v>27312</v>
      </c>
      <c r="E261" s="172">
        <v>28898</v>
      </c>
      <c r="F261" s="172">
        <v>28890</v>
      </c>
      <c r="G261" s="172">
        <v>28893</v>
      </c>
      <c r="H261" s="172">
        <v>28966</v>
      </c>
      <c r="I261" s="172">
        <v>29021</v>
      </c>
      <c r="J261" s="172">
        <v>28999</v>
      </c>
      <c r="K261" s="172">
        <v>28924</v>
      </c>
      <c r="L261" s="170">
        <v>28928</v>
      </c>
      <c r="M261" s="170">
        <v>28947</v>
      </c>
      <c r="N261" s="172">
        <v>29039</v>
      </c>
      <c r="O261" s="172">
        <v>29141</v>
      </c>
      <c r="P261" t="str">
        <f t="shared" si="8"/>
        <v>NRREC cust</v>
      </c>
      <c r="Q261">
        <f t="shared" si="9"/>
        <v>345958</v>
      </c>
    </row>
    <row r="262" spans="1:17" x14ac:dyDescent="0.2">
      <c r="A262" t="s">
        <v>65</v>
      </c>
      <c r="C262" t="s">
        <v>57</v>
      </c>
      <c r="D262" s="172">
        <v>25009</v>
      </c>
      <c r="E262" s="172">
        <v>26030</v>
      </c>
      <c r="F262" s="172">
        <v>26052</v>
      </c>
      <c r="G262" s="172">
        <v>26063</v>
      </c>
      <c r="H262" s="172">
        <v>26148</v>
      </c>
      <c r="I262" s="172">
        <v>26201</v>
      </c>
      <c r="J262" s="172">
        <v>26166</v>
      </c>
      <c r="K262" s="172">
        <v>26091</v>
      </c>
      <c r="L262" s="170">
        <v>26101</v>
      </c>
      <c r="M262" s="170">
        <v>26116</v>
      </c>
      <c r="N262" s="172">
        <v>26215</v>
      </c>
      <c r="O262" s="172">
        <v>26336</v>
      </c>
      <c r="P262" t="str">
        <f t="shared" si="8"/>
        <v>NRYW cust</v>
      </c>
      <c r="Q262">
        <f t="shared" si="9"/>
        <v>312528</v>
      </c>
    </row>
    <row r="263" spans="1:17" x14ac:dyDescent="0.2">
      <c r="A263" t="s">
        <v>65</v>
      </c>
      <c r="D263" s="170"/>
      <c r="E263" s="172"/>
      <c r="F263" s="172"/>
      <c r="G263" s="172"/>
      <c r="H263" s="170"/>
      <c r="I263" s="172"/>
      <c r="J263" s="172"/>
      <c r="K263" s="172"/>
      <c r="L263" s="172"/>
      <c r="M263" s="172"/>
      <c r="N263" s="170"/>
      <c r="O263" s="172"/>
      <c r="P263" t="str">
        <f t="shared" si="8"/>
        <v>NR</v>
      </c>
      <c r="Q263">
        <f t="shared" si="9"/>
        <v>0</v>
      </c>
    </row>
    <row r="264" spans="1:17" x14ac:dyDescent="0.2">
      <c r="A264" t="s">
        <v>65</v>
      </c>
      <c r="C264" t="s">
        <v>58</v>
      </c>
      <c r="D264" s="171">
        <v>1003.4936615451162</v>
      </c>
      <c r="E264" s="171">
        <v>974.08687049327045</v>
      </c>
      <c r="F264" s="171">
        <v>1017.3012530309485</v>
      </c>
      <c r="G264" s="171">
        <v>1046.4211273789679</v>
      </c>
      <c r="H264" s="171">
        <v>963.22355836736608</v>
      </c>
      <c r="I264" s="171">
        <v>1109.7626305803908</v>
      </c>
      <c r="J264" s="171">
        <v>1178.0994261023654</v>
      </c>
      <c r="K264" s="171">
        <v>1110.7384006527286</v>
      </c>
      <c r="L264" s="171">
        <v>1114.5327283281274</v>
      </c>
      <c r="M264" s="171">
        <v>868.67099278471039</v>
      </c>
      <c r="N264" s="101">
        <v>940.18107757177086</v>
      </c>
      <c r="O264" s="101">
        <v>1021.4774163357215</v>
      </c>
      <c r="P264" t="str">
        <f t="shared" si="8"/>
        <v>NRRec tons</v>
      </c>
      <c r="Q264">
        <f t="shared" si="9"/>
        <v>12347.989143171484</v>
      </c>
    </row>
    <row r="265" spans="1:17" x14ac:dyDescent="0.2">
      <c r="A265" t="s">
        <v>65</v>
      </c>
      <c r="C265" t="s">
        <v>59</v>
      </c>
      <c r="D265" s="171">
        <v>2645.5070628319199</v>
      </c>
      <c r="E265" s="171">
        <v>2355.814308931052</v>
      </c>
      <c r="F265" s="171">
        <v>2243.3328989201591</v>
      </c>
      <c r="G265" s="171">
        <v>1625.7611503879002</v>
      </c>
      <c r="H265" s="171">
        <v>1284.695843946399</v>
      </c>
      <c r="I265" s="171">
        <v>1614.6042852277828</v>
      </c>
      <c r="J265" s="171">
        <v>2669.2991529803544</v>
      </c>
      <c r="K265" s="171">
        <v>1328.860175945299</v>
      </c>
      <c r="L265" s="171">
        <v>940.52360644637656</v>
      </c>
      <c r="M265" s="171">
        <v>992.23196896854131</v>
      </c>
      <c r="N265" s="101">
        <v>1628.4272894694493</v>
      </c>
      <c r="O265" s="101">
        <v>2165.1583786126921</v>
      </c>
      <c r="P265" t="str">
        <f t="shared" si="8"/>
        <v xml:space="preserve">NRYW tons </v>
      </c>
      <c r="Q265">
        <f t="shared" si="9"/>
        <v>21494.216122667924</v>
      </c>
    </row>
    <row r="266" spans="1:17" x14ac:dyDescent="0.2">
      <c r="A266" t="s">
        <v>65</v>
      </c>
      <c r="C266" t="s">
        <v>60</v>
      </c>
      <c r="D266" s="171">
        <v>1312.2800626633837</v>
      </c>
      <c r="E266" s="171">
        <v>1318.412847888143</v>
      </c>
      <c r="F266" s="171">
        <v>1410.1372342101106</v>
      </c>
      <c r="G266" s="171">
        <v>1432.7636447131592</v>
      </c>
      <c r="H266" s="171">
        <v>1245.6756216441056</v>
      </c>
      <c r="I266" s="171">
        <v>1349.5301364919676</v>
      </c>
      <c r="J266" s="171">
        <v>1368.6998083542219</v>
      </c>
      <c r="K266" s="171">
        <v>1274.22</v>
      </c>
      <c r="L266" s="171">
        <v>1371.1825594102204</v>
      </c>
      <c r="M266" s="171">
        <v>1118.0602464925448</v>
      </c>
      <c r="N266" s="101">
        <v>1186.051882774181</v>
      </c>
      <c r="O266" s="101">
        <v>1295.6145672791465</v>
      </c>
      <c r="P266" t="str">
        <f t="shared" si="8"/>
        <v>NRMSW tons</v>
      </c>
      <c r="Q266">
        <f t="shared" si="9"/>
        <v>15682.628611921184</v>
      </c>
    </row>
    <row r="267" spans="1:17" x14ac:dyDescent="0.2">
      <c r="A267" t="s">
        <v>65</v>
      </c>
      <c r="B267" t="s">
        <v>76</v>
      </c>
      <c r="C267" t="s">
        <v>56</v>
      </c>
      <c r="D267" s="172">
        <v>1011</v>
      </c>
      <c r="E267" s="172">
        <v>999</v>
      </c>
      <c r="F267" s="172">
        <v>1005</v>
      </c>
      <c r="G267" s="172">
        <v>1006</v>
      </c>
      <c r="H267" s="172">
        <v>1004</v>
      </c>
      <c r="I267" s="172">
        <v>999</v>
      </c>
      <c r="J267" s="172">
        <v>998</v>
      </c>
      <c r="K267" s="172">
        <v>993</v>
      </c>
      <c r="L267" s="170">
        <v>985</v>
      </c>
      <c r="M267" s="170">
        <v>986</v>
      </c>
      <c r="N267" s="172">
        <v>990</v>
      </c>
      <c r="O267" s="172">
        <v>994</v>
      </c>
      <c r="P267" t="str">
        <f t="shared" si="8"/>
        <v>NRREC cust</v>
      </c>
      <c r="Q267">
        <f t="shared" si="9"/>
        <v>11970</v>
      </c>
    </row>
    <row r="268" spans="1:17" x14ac:dyDescent="0.2">
      <c r="A268" t="s">
        <v>65</v>
      </c>
      <c r="C268" t="s">
        <v>57</v>
      </c>
      <c r="D268" s="172">
        <v>770</v>
      </c>
      <c r="E268" s="172">
        <v>768</v>
      </c>
      <c r="F268" s="172">
        <v>773</v>
      </c>
      <c r="G268" s="172">
        <v>778</v>
      </c>
      <c r="H268" s="172">
        <v>772</v>
      </c>
      <c r="I268" s="172">
        <v>768</v>
      </c>
      <c r="J268" s="172">
        <v>766</v>
      </c>
      <c r="K268" s="172">
        <v>760</v>
      </c>
      <c r="L268" s="170">
        <v>755</v>
      </c>
      <c r="M268" s="170">
        <v>757</v>
      </c>
      <c r="N268" s="172">
        <v>762</v>
      </c>
      <c r="O268" s="172">
        <v>771</v>
      </c>
      <c r="P268" t="str">
        <f t="shared" si="8"/>
        <v>NRYW cust</v>
      </c>
      <c r="Q268">
        <f t="shared" si="9"/>
        <v>9200</v>
      </c>
    </row>
    <row r="269" spans="1:17" x14ac:dyDescent="0.2">
      <c r="A269" t="s">
        <v>65</v>
      </c>
      <c r="D269" s="170"/>
      <c r="E269" s="172"/>
      <c r="F269" s="172"/>
      <c r="G269" s="172"/>
      <c r="H269" s="170"/>
      <c r="I269" s="172"/>
      <c r="J269" s="172"/>
      <c r="K269" s="172"/>
      <c r="L269" s="172"/>
      <c r="M269" s="172"/>
      <c r="N269" s="170"/>
      <c r="O269" s="172"/>
      <c r="P269" t="str">
        <f t="shared" si="8"/>
        <v>NR</v>
      </c>
      <c r="Q269">
        <f t="shared" si="9"/>
        <v>0</v>
      </c>
    </row>
    <row r="270" spans="1:17" x14ac:dyDescent="0.2">
      <c r="A270" t="s">
        <v>65</v>
      </c>
      <c r="C270" t="s">
        <v>58</v>
      </c>
      <c r="D270" s="171">
        <v>37.494394289252767</v>
      </c>
      <c r="E270" s="171">
        <v>40.292939898659853</v>
      </c>
      <c r="F270" s="171">
        <v>35.256505153975532</v>
      </c>
      <c r="G270" s="171">
        <v>38.218613381364605</v>
      </c>
      <c r="H270" s="171">
        <v>40.362397019401257</v>
      </c>
      <c r="I270" s="171">
        <v>42.315854802120519</v>
      </c>
      <c r="J270" s="171">
        <v>50.147027979657658</v>
      </c>
      <c r="K270" s="171">
        <v>44.327376990603064</v>
      </c>
      <c r="L270" s="171">
        <v>32.842055879700588</v>
      </c>
      <c r="M270" s="171">
        <v>32.191770452777199</v>
      </c>
      <c r="N270" s="101">
        <v>42.219289326214138</v>
      </c>
      <c r="O270" s="101">
        <v>37.242021667452072</v>
      </c>
      <c r="P270" t="str">
        <f t="shared" si="8"/>
        <v>NRRec tons</v>
      </c>
      <c r="Q270">
        <f t="shared" si="9"/>
        <v>472.91024684117929</v>
      </c>
    </row>
    <row r="271" spans="1:17" x14ac:dyDescent="0.2">
      <c r="A271" t="s">
        <v>65</v>
      </c>
      <c r="C271" t="s">
        <v>59</v>
      </c>
      <c r="D271" s="171">
        <v>86.796657596736296</v>
      </c>
      <c r="E271" s="171">
        <v>112.44859198393674</v>
      </c>
      <c r="F271" s="171">
        <v>90.876768849225471</v>
      </c>
      <c r="G271" s="171">
        <v>63.232432820257372</v>
      </c>
      <c r="H271" s="171">
        <v>44.80233535829592</v>
      </c>
      <c r="I271" s="171">
        <v>60.016857092871085</v>
      </c>
      <c r="J271" s="171">
        <v>126.13873283864359</v>
      </c>
      <c r="K271" s="171">
        <v>47.837210591506292</v>
      </c>
      <c r="L271" s="171">
        <v>34.393917198116391</v>
      </c>
      <c r="M271" s="171">
        <v>32.575177874154292</v>
      </c>
      <c r="N271" s="101">
        <v>68.649764209320935</v>
      </c>
      <c r="O271" s="101">
        <v>75.289371928169402</v>
      </c>
      <c r="P271" t="str">
        <f t="shared" si="8"/>
        <v xml:space="preserve">NRYW tons </v>
      </c>
      <c r="Q271">
        <f t="shared" si="9"/>
        <v>843.05781834123366</v>
      </c>
    </row>
    <row r="272" spans="1:17" x14ac:dyDescent="0.2">
      <c r="A272" t="s">
        <v>65</v>
      </c>
      <c r="C272" t="s">
        <v>60</v>
      </c>
      <c r="D272" s="171">
        <v>56.577160203130319</v>
      </c>
      <c r="E272" s="171">
        <v>70.397185135288041</v>
      </c>
      <c r="F272" s="171">
        <v>54.524991217242992</v>
      </c>
      <c r="G272" s="171">
        <v>71.906071926251855</v>
      </c>
      <c r="H272" s="171">
        <v>56.530228713594845</v>
      </c>
      <c r="I272" s="171">
        <v>52.128682183426605</v>
      </c>
      <c r="J272" s="171">
        <v>73.473562600674299</v>
      </c>
      <c r="K272" s="171">
        <v>54.290387141371347</v>
      </c>
      <c r="L272" s="171">
        <v>56.643191121618251</v>
      </c>
      <c r="M272" s="171">
        <v>47.661861170886503</v>
      </c>
      <c r="N272" s="101">
        <v>61.70435183999097</v>
      </c>
      <c r="O272" s="101">
        <v>51.636710649331675</v>
      </c>
      <c r="P272" t="str">
        <f t="shared" si="8"/>
        <v>NRMSW tons</v>
      </c>
      <c r="Q272">
        <f t="shared" si="9"/>
        <v>707.47438390280774</v>
      </c>
    </row>
    <row r="273" spans="1:17" x14ac:dyDescent="0.2">
      <c r="A273" t="s">
        <v>55</v>
      </c>
      <c r="B273" t="s">
        <v>77</v>
      </c>
      <c r="C273" t="s">
        <v>56</v>
      </c>
      <c r="D273" s="172">
        <v>1037</v>
      </c>
      <c r="E273" s="172">
        <v>1039</v>
      </c>
      <c r="F273" s="172">
        <v>1034</v>
      </c>
      <c r="G273" s="172">
        <v>1040</v>
      </c>
      <c r="H273" s="172">
        <v>1034</v>
      </c>
      <c r="I273" s="172">
        <v>1040</v>
      </c>
      <c r="J273" s="172">
        <v>1035</v>
      </c>
      <c r="K273" s="172">
        <v>1029</v>
      </c>
      <c r="L273" s="170">
        <v>1020</v>
      </c>
      <c r="M273" s="170">
        <v>1017</v>
      </c>
      <c r="N273" s="172">
        <v>1015</v>
      </c>
      <c r="O273" s="172">
        <v>1016</v>
      </c>
      <c r="P273" t="str">
        <f t="shared" si="8"/>
        <v>RREC cust</v>
      </c>
      <c r="Q273">
        <f t="shared" si="9"/>
        <v>12356</v>
      </c>
    </row>
    <row r="274" spans="1:17" x14ac:dyDescent="0.2">
      <c r="A274" t="s">
        <v>55</v>
      </c>
      <c r="C274" t="s">
        <v>57</v>
      </c>
      <c r="D274" s="172">
        <v>721</v>
      </c>
      <c r="E274" s="172">
        <v>726</v>
      </c>
      <c r="F274" s="172">
        <v>724</v>
      </c>
      <c r="G274" s="172">
        <v>727</v>
      </c>
      <c r="H274" s="172">
        <v>724</v>
      </c>
      <c r="I274" s="172">
        <v>725</v>
      </c>
      <c r="J274" s="172">
        <v>714</v>
      </c>
      <c r="K274" s="172">
        <v>702</v>
      </c>
      <c r="L274" s="170">
        <v>695</v>
      </c>
      <c r="M274" s="170">
        <v>694</v>
      </c>
      <c r="N274" s="172">
        <v>700</v>
      </c>
      <c r="O274" s="172">
        <v>709</v>
      </c>
      <c r="P274" t="str">
        <f t="shared" si="8"/>
        <v>RYW cust</v>
      </c>
      <c r="Q274">
        <f t="shared" si="9"/>
        <v>8561</v>
      </c>
    </row>
    <row r="275" spans="1:17" x14ac:dyDescent="0.2">
      <c r="A275" t="s">
        <v>55</v>
      </c>
      <c r="D275" s="170"/>
      <c r="E275" s="172"/>
      <c r="F275" s="172"/>
      <c r="G275" s="172"/>
      <c r="H275" s="170"/>
      <c r="I275" s="172"/>
      <c r="J275" s="172"/>
      <c r="K275" s="172"/>
      <c r="L275" s="170"/>
      <c r="M275" s="172"/>
      <c r="N275" s="170"/>
      <c r="O275" s="172"/>
      <c r="P275" t="str">
        <f t="shared" si="8"/>
        <v>R</v>
      </c>
      <c r="Q275">
        <f t="shared" si="9"/>
        <v>0</v>
      </c>
    </row>
    <row r="276" spans="1:17" x14ac:dyDescent="0.2">
      <c r="A276" t="s">
        <v>55</v>
      </c>
      <c r="C276" t="s">
        <v>58</v>
      </c>
      <c r="D276" s="171">
        <v>28.072521553451189</v>
      </c>
      <c r="E276" s="171">
        <v>41.139554369914791</v>
      </c>
      <c r="F276" s="171">
        <v>28.77</v>
      </c>
      <c r="G276" s="171">
        <v>45.075626642001239</v>
      </c>
      <c r="H276" s="171">
        <v>34.954967711154438</v>
      </c>
      <c r="I276" s="171">
        <v>33.363092411375526</v>
      </c>
      <c r="J276" s="171">
        <v>43.44165645335346</v>
      </c>
      <c r="K276" s="171">
        <v>39.177205853169099</v>
      </c>
      <c r="L276" s="171">
        <v>47.010832157452192</v>
      </c>
      <c r="M276" s="171">
        <v>30.787988187773255</v>
      </c>
      <c r="N276" s="101">
        <v>33.036484797280067</v>
      </c>
      <c r="O276" s="101">
        <v>30.173714819709918</v>
      </c>
      <c r="P276" t="str">
        <f t="shared" si="8"/>
        <v>RRec tons</v>
      </c>
      <c r="Q276">
        <f t="shared" si="9"/>
        <v>435.00364495663513</v>
      </c>
    </row>
    <row r="277" spans="1:17" x14ac:dyDescent="0.2">
      <c r="A277" t="s">
        <v>55</v>
      </c>
      <c r="C277" t="s">
        <v>59</v>
      </c>
      <c r="D277" s="171">
        <v>107.63176445199335</v>
      </c>
      <c r="E277" s="171">
        <v>89.438021293159082</v>
      </c>
      <c r="F277" s="171">
        <v>72.989999999999995</v>
      </c>
      <c r="G277" s="171">
        <v>57.300136047928284</v>
      </c>
      <c r="H277" s="171">
        <v>53.791168027680747</v>
      </c>
      <c r="I277" s="171">
        <v>48.612444412926926</v>
      </c>
      <c r="J277" s="171">
        <v>136.61788440967712</v>
      </c>
      <c r="K277" s="171">
        <v>57.30267068991931</v>
      </c>
      <c r="L277" s="171">
        <v>42.975122692628631</v>
      </c>
      <c r="M277" s="171">
        <v>38.632661758461147</v>
      </c>
      <c r="N277" s="101">
        <v>51.230635461087694</v>
      </c>
      <c r="O277" s="101">
        <v>77.523069383327538</v>
      </c>
      <c r="P277" t="str">
        <f t="shared" si="8"/>
        <v xml:space="preserve">RYW tons </v>
      </c>
      <c r="Q277">
        <f t="shared" si="9"/>
        <v>834.04557862878983</v>
      </c>
    </row>
    <row r="278" spans="1:17" x14ac:dyDescent="0.2">
      <c r="A278" t="s">
        <v>55</v>
      </c>
      <c r="C278" t="s">
        <v>60</v>
      </c>
      <c r="D278" s="171">
        <v>64.767571003065186</v>
      </c>
      <c r="E278" s="171">
        <v>63.324881930755765</v>
      </c>
      <c r="F278" s="171">
        <v>58.7</v>
      </c>
      <c r="G278" s="171">
        <v>73.19999948775839</v>
      </c>
      <c r="H278" s="171">
        <v>58.123629114769216</v>
      </c>
      <c r="I278" s="171">
        <v>51.789886706061836</v>
      </c>
      <c r="J278" s="171">
        <v>72.6438170016187</v>
      </c>
      <c r="K278" s="171">
        <v>55.409995720502359</v>
      </c>
      <c r="L278" s="171">
        <v>66.50611038619823</v>
      </c>
      <c r="M278" s="171">
        <v>49.045359459600434</v>
      </c>
      <c r="N278" s="101">
        <v>53.48881780651795</v>
      </c>
      <c r="O278" s="101">
        <v>49.283061989695959</v>
      </c>
      <c r="P278" t="str">
        <f t="shared" si="8"/>
        <v>RMSW tons</v>
      </c>
      <c r="Q278">
        <f t="shared" si="9"/>
        <v>716.28313060654398</v>
      </c>
    </row>
    <row r="279" spans="1:17" x14ac:dyDescent="0.2">
      <c r="A279" t="s">
        <v>55</v>
      </c>
      <c r="B279" t="s">
        <v>78</v>
      </c>
      <c r="C279" t="s">
        <v>56</v>
      </c>
      <c r="D279" s="172">
        <v>366</v>
      </c>
      <c r="E279" s="172">
        <v>368</v>
      </c>
      <c r="F279" s="172">
        <v>367</v>
      </c>
      <c r="G279" s="172">
        <v>368</v>
      </c>
      <c r="H279" s="172">
        <v>368</v>
      </c>
      <c r="I279" s="172">
        <v>367</v>
      </c>
      <c r="J279" s="172">
        <v>370</v>
      </c>
      <c r="K279" s="172">
        <v>363</v>
      </c>
      <c r="L279" s="170">
        <v>362</v>
      </c>
      <c r="M279" s="170">
        <v>364</v>
      </c>
      <c r="N279" s="172">
        <v>366</v>
      </c>
      <c r="O279" s="172">
        <v>367</v>
      </c>
      <c r="P279" t="str">
        <f t="shared" si="8"/>
        <v>RREC cust</v>
      </c>
      <c r="Q279">
        <f t="shared" si="9"/>
        <v>4396</v>
      </c>
    </row>
    <row r="280" spans="1:17" x14ac:dyDescent="0.2">
      <c r="A280" t="s">
        <v>55</v>
      </c>
      <c r="C280" t="s">
        <v>57</v>
      </c>
      <c r="D280" s="172">
        <v>286</v>
      </c>
      <c r="E280" s="172">
        <v>290</v>
      </c>
      <c r="F280" s="172">
        <v>291</v>
      </c>
      <c r="G280" s="172">
        <v>289</v>
      </c>
      <c r="H280" s="172">
        <v>290</v>
      </c>
      <c r="I280" s="172">
        <v>287</v>
      </c>
      <c r="J280" s="172">
        <v>289</v>
      </c>
      <c r="K280" s="172">
        <v>282</v>
      </c>
      <c r="L280" s="170">
        <v>283</v>
      </c>
      <c r="M280" s="170">
        <v>283</v>
      </c>
      <c r="N280" s="172">
        <v>286</v>
      </c>
      <c r="O280" s="172">
        <v>286</v>
      </c>
      <c r="P280" t="str">
        <f t="shared" si="8"/>
        <v>RYW cust</v>
      </c>
      <c r="Q280">
        <f t="shared" si="9"/>
        <v>3442</v>
      </c>
    </row>
    <row r="281" spans="1:17" x14ac:dyDescent="0.2">
      <c r="A281" t="s">
        <v>55</v>
      </c>
      <c r="D281" s="170"/>
      <c r="E281" s="170"/>
      <c r="F281" s="170"/>
      <c r="G281" s="170"/>
      <c r="H281" s="170"/>
      <c r="I281" s="172"/>
      <c r="J281" s="172"/>
      <c r="K281" s="172"/>
      <c r="L281" s="170"/>
      <c r="M281" s="172"/>
      <c r="N281" s="170"/>
      <c r="O281" s="172"/>
      <c r="P281" t="str">
        <f t="shared" si="8"/>
        <v>R</v>
      </c>
      <c r="Q281">
        <f t="shared" si="9"/>
        <v>0</v>
      </c>
    </row>
    <row r="282" spans="1:17" x14ac:dyDescent="0.2">
      <c r="A282" t="s">
        <v>55</v>
      </c>
      <c r="C282" t="s">
        <v>58</v>
      </c>
      <c r="D282" s="171">
        <v>20.485329048513723</v>
      </c>
      <c r="E282" s="171">
        <v>10.488970031210474</v>
      </c>
      <c r="F282" s="171">
        <v>12.88</v>
      </c>
      <c r="G282" s="171">
        <v>13.131313722667029</v>
      </c>
      <c r="H282" s="171">
        <v>14.825932155260039</v>
      </c>
      <c r="I282" s="171">
        <v>13.460764747147232</v>
      </c>
      <c r="J282" s="171">
        <v>20.288004338583107</v>
      </c>
      <c r="K282" s="171">
        <v>15.246824955520779</v>
      </c>
      <c r="L282" s="171">
        <v>12.129289694610687</v>
      </c>
      <c r="M282" s="171">
        <v>10.338457786779863</v>
      </c>
      <c r="N282" s="171">
        <v>11.24531416003369</v>
      </c>
      <c r="O282" s="171">
        <v>14.02200079700761</v>
      </c>
      <c r="P282" t="str">
        <f t="shared" si="8"/>
        <v>RRec tons</v>
      </c>
      <c r="Q282">
        <f t="shared" si="9"/>
        <v>168.54220143733426</v>
      </c>
    </row>
    <row r="283" spans="1:17" x14ac:dyDescent="0.2">
      <c r="A283" t="s">
        <v>55</v>
      </c>
      <c r="C283" t="s">
        <v>59</v>
      </c>
      <c r="D283" s="171">
        <v>43.612584846519987</v>
      </c>
      <c r="E283" s="171">
        <v>21.990811140544231</v>
      </c>
      <c r="F283" s="171">
        <v>16.579999999999998</v>
      </c>
      <c r="G283" s="171">
        <v>21.560215621971516</v>
      </c>
      <c r="H283" s="171">
        <v>20.768563929774924</v>
      </c>
      <c r="I283" s="171">
        <v>12.082701649667243</v>
      </c>
      <c r="J283" s="171">
        <v>36.472264842238474</v>
      </c>
      <c r="K283" s="171">
        <v>17.627719498558459</v>
      </c>
      <c r="L283" s="171">
        <v>11.019505874110425</v>
      </c>
      <c r="M283" s="171">
        <v>13.134463252311155</v>
      </c>
      <c r="N283" s="171">
        <v>14.314996574182214</v>
      </c>
      <c r="O283" s="171">
        <v>15.399754617873185</v>
      </c>
      <c r="P283" t="str">
        <f t="shared" si="8"/>
        <v xml:space="preserve">RYW tons </v>
      </c>
      <c r="Q283">
        <f t="shared" si="9"/>
        <v>244.56358184775178</v>
      </c>
    </row>
    <row r="284" spans="1:17" x14ac:dyDescent="0.2">
      <c r="A284" t="s">
        <v>55</v>
      </c>
      <c r="C284" t="s">
        <v>60</v>
      </c>
      <c r="D284" s="171">
        <v>23.09845434587854</v>
      </c>
      <c r="E284" s="171">
        <v>20.682748797650255</v>
      </c>
      <c r="F284" s="171">
        <v>20.32</v>
      </c>
      <c r="G284" s="171">
        <v>24.405519976383459</v>
      </c>
      <c r="H284" s="171">
        <v>19.76138136880256</v>
      </c>
      <c r="I284" s="171">
        <v>19.56803740277039</v>
      </c>
      <c r="J284" s="171">
        <v>26.915136640471776</v>
      </c>
      <c r="K284" s="171">
        <v>19.653811956527576</v>
      </c>
      <c r="L284" s="171">
        <v>22.745782459487401</v>
      </c>
      <c r="M284" s="171">
        <v>17.159764094210221</v>
      </c>
      <c r="N284" s="171">
        <v>19.095823465284756</v>
      </c>
      <c r="O284" s="171">
        <v>17.253897434964625</v>
      </c>
      <c r="P284" t="str">
        <f t="shared" si="8"/>
        <v>RMSW tons</v>
      </c>
      <c r="Q284">
        <f t="shared" si="9"/>
        <v>250.66035794243157</v>
      </c>
    </row>
    <row r="285" spans="1:17" x14ac:dyDescent="0.2">
      <c r="A285" t="s">
        <v>65</v>
      </c>
      <c r="B285" t="s">
        <v>79</v>
      </c>
      <c r="C285" t="s">
        <v>56</v>
      </c>
      <c r="D285" s="172">
        <v>921</v>
      </c>
      <c r="E285" s="172">
        <v>930</v>
      </c>
      <c r="F285" s="172">
        <v>931</v>
      </c>
      <c r="G285" s="172">
        <v>925</v>
      </c>
      <c r="H285" s="172">
        <v>927</v>
      </c>
      <c r="I285" s="172">
        <v>931</v>
      </c>
      <c r="J285" s="172">
        <v>923</v>
      </c>
      <c r="K285" s="172">
        <v>924</v>
      </c>
      <c r="L285" s="170">
        <v>924</v>
      </c>
      <c r="M285" s="170">
        <v>919</v>
      </c>
      <c r="N285" s="172">
        <v>928</v>
      </c>
      <c r="O285" s="172">
        <v>931</v>
      </c>
      <c r="P285" t="str">
        <f t="shared" si="8"/>
        <v>NRREC cust</v>
      </c>
      <c r="Q285">
        <f t="shared" si="9"/>
        <v>11114</v>
      </c>
    </row>
    <row r="286" spans="1:17" x14ac:dyDescent="0.2">
      <c r="A286" t="s">
        <v>65</v>
      </c>
      <c r="C286" t="s">
        <v>57</v>
      </c>
      <c r="D286" s="172">
        <v>741</v>
      </c>
      <c r="E286" s="172">
        <v>749</v>
      </c>
      <c r="F286" s="172">
        <v>759</v>
      </c>
      <c r="G286" s="172">
        <v>756</v>
      </c>
      <c r="H286" s="172">
        <v>752</v>
      </c>
      <c r="I286" s="172">
        <v>749</v>
      </c>
      <c r="J286" s="172">
        <v>747</v>
      </c>
      <c r="K286" s="172">
        <v>744</v>
      </c>
      <c r="L286" s="170">
        <v>738</v>
      </c>
      <c r="M286" s="170">
        <v>730</v>
      </c>
      <c r="N286" s="172">
        <v>741</v>
      </c>
      <c r="O286" s="172">
        <v>741</v>
      </c>
      <c r="P286" t="str">
        <f t="shared" si="8"/>
        <v>NRYW cust</v>
      </c>
      <c r="Q286">
        <f t="shared" si="9"/>
        <v>8947</v>
      </c>
    </row>
    <row r="287" spans="1:17" x14ac:dyDescent="0.2">
      <c r="A287" t="s">
        <v>65</v>
      </c>
      <c r="D287" s="170"/>
      <c r="E287" s="170"/>
      <c r="F287" s="170"/>
      <c r="G287" s="170"/>
      <c r="H287" s="170"/>
      <c r="I287" s="172"/>
      <c r="J287" s="172"/>
      <c r="K287" s="172"/>
      <c r="L287" s="172"/>
      <c r="M287" s="172"/>
      <c r="N287" s="170"/>
      <c r="O287" s="172"/>
      <c r="P287" t="str">
        <f t="shared" si="8"/>
        <v>NR</v>
      </c>
      <c r="Q287">
        <f t="shared" si="9"/>
        <v>0</v>
      </c>
    </row>
    <row r="288" spans="1:17" x14ac:dyDescent="0.2">
      <c r="A288" t="s">
        <v>65</v>
      </c>
      <c r="C288" t="s">
        <v>58</v>
      </c>
      <c r="D288" s="171">
        <v>39.462852793399641</v>
      </c>
      <c r="E288" s="171">
        <v>41.30266536164757</v>
      </c>
      <c r="F288" s="171">
        <v>36.08</v>
      </c>
      <c r="G288" s="171">
        <v>33.755402599095632</v>
      </c>
      <c r="H288" s="171">
        <v>32.573728972581542</v>
      </c>
      <c r="I288" s="171">
        <v>42.352122074973664</v>
      </c>
      <c r="J288" s="171">
        <v>37.563846573355008</v>
      </c>
      <c r="K288" s="171">
        <v>38.31322883420976</v>
      </c>
      <c r="L288" s="171">
        <v>49.16425464736475</v>
      </c>
      <c r="M288" s="171">
        <v>31.161128086356786</v>
      </c>
      <c r="N288" s="101">
        <v>31.08567494010709</v>
      </c>
      <c r="O288" s="101">
        <v>35.651539141155261</v>
      </c>
      <c r="P288" t="str">
        <f t="shared" si="8"/>
        <v>NRRec tons</v>
      </c>
      <c r="Q288">
        <f t="shared" si="9"/>
        <v>448.4664440242467</v>
      </c>
    </row>
    <row r="289" spans="1:17" x14ac:dyDescent="0.2">
      <c r="A289" t="s">
        <v>65</v>
      </c>
      <c r="C289" t="s">
        <v>59</v>
      </c>
      <c r="D289" s="171">
        <v>99.614731940855265</v>
      </c>
      <c r="E289" s="171">
        <v>74.862255694494436</v>
      </c>
      <c r="F289" s="171">
        <v>80.349999999999994</v>
      </c>
      <c r="G289" s="171">
        <v>47.577187123137421</v>
      </c>
      <c r="H289" s="171">
        <v>39.687137653155801</v>
      </c>
      <c r="I289" s="171">
        <v>59.286736392085274</v>
      </c>
      <c r="J289" s="171">
        <v>93.135022043392453</v>
      </c>
      <c r="K289" s="171">
        <v>32.491338927098482</v>
      </c>
      <c r="L289" s="171">
        <v>28.575309538987522</v>
      </c>
      <c r="M289" s="171">
        <v>23.794248654896119</v>
      </c>
      <c r="N289" s="101">
        <v>48.794826615609857</v>
      </c>
      <c r="O289" s="101">
        <v>75.289641476120352</v>
      </c>
      <c r="P289" t="str">
        <f t="shared" si="8"/>
        <v xml:space="preserve">NRYW tons </v>
      </c>
      <c r="Q289">
        <f t="shared" si="9"/>
        <v>703.45843605983293</v>
      </c>
    </row>
    <row r="290" spans="1:17" x14ac:dyDescent="0.2">
      <c r="A290" t="s">
        <v>65</v>
      </c>
      <c r="C290" t="s">
        <v>60</v>
      </c>
      <c r="D290" s="171">
        <v>54.283551844387262</v>
      </c>
      <c r="E290" s="171">
        <v>46.811376201647739</v>
      </c>
      <c r="F290" s="171">
        <v>56.8</v>
      </c>
      <c r="G290" s="171">
        <v>47.457182993872728</v>
      </c>
      <c r="H290" s="171">
        <v>48.610891552265528</v>
      </c>
      <c r="I290" s="171">
        <v>51.569087452674083</v>
      </c>
      <c r="J290" s="171">
        <v>43.649243939533143</v>
      </c>
      <c r="K290" s="171">
        <v>44.313572368267607</v>
      </c>
      <c r="L290" s="171">
        <v>51.801857057867934</v>
      </c>
      <c r="M290" s="171">
        <v>37.185623672271845</v>
      </c>
      <c r="N290" s="101">
        <v>40.816934348395556</v>
      </c>
      <c r="O290" s="101">
        <v>49.522378766882589</v>
      </c>
      <c r="P290" t="str">
        <f t="shared" si="8"/>
        <v>NRMSW tons</v>
      </c>
      <c r="Q290">
        <f t="shared" si="9"/>
        <v>572.82170019806608</v>
      </c>
    </row>
    <row r="291" spans="1:17" x14ac:dyDescent="0.2">
      <c r="A291" t="s">
        <v>55</v>
      </c>
      <c r="B291" t="s">
        <v>80</v>
      </c>
      <c r="C291" t="s">
        <v>56</v>
      </c>
      <c r="D291" s="172">
        <v>5432</v>
      </c>
      <c r="E291" s="172">
        <v>5435</v>
      </c>
      <c r="F291" s="172">
        <v>5443</v>
      </c>
      <c r="G291" s="172">
        <v>5452</v>
      </c>
      <c r="H291" s="172">
        <v>5461</v>
      </c>
      <c r="I291" s="172">
        <v>5471</v>
      </c>
      <c r="J291" s="172">
        <v>5476</v>
      </c>
      <c r="K291" s="172">
        <v>5476</v>
      </c>
      <c r="L291" s="170">
        <v>5477</v>
      </c>
      <c r="M291" s="170">
        <v>5480</v>
      </c>
      <c r="N291" s="172">
        <v>5502</v>
      </c>
      <c r="O291" s="172">
        <v>5527</v>
      </c>
      <c r="P291" t="str">
        <f t="shared" si="8"/>
        <v>RREC cust</v>
      </c>
      <c r="Q291">
        <f t="shared" si="9"/>
        <v>65632</v>
      </c>
    </row>
    <row r="292" spans="1:17" x14ac:dyDescent="0.2">
      <c r="A292" t="s">
        <v>55</v>
      </c>
      <c r="C292" t="s">
        <v>57</v>
      </c>
      <c r="D292" s="172">
        <v>3405</v>
      </c>
      <c r="E292" s="172">
        <v>3427</v>
      </c>
      <c r="F292" s="172">
        <v>3448</v>
      </c>
      <c r="G292" s="172">
        <v>3452</v>
      </c>
      <c r="H292" s="172">
        <v>3438</v>
      </c>
      <c r="I292" s="172">
        <v>3423</v>
      </c>
      <c r="J292" s="172">
        <v>3407</v>
      </c>
      <c r="K292" s="172">
        <v>3373</v>
      </c>
      <c r="L292" s="170">
        <v>3338</v>
      </c>
      <c r="M292" s="170">
        <v>3335</v>
      </c>
      <c r="N292" s="172">
        <v>3381</v>
      </c>
      <c r="O292" s="172">
        <v>3440</v>
      </c>
      <c r="P292" t="str">
        <f t="shared" si="8"/>
        <v>RYW cust</v>
      </c>
      <c r="Q292">
        <f t="shared" si="9"/>
        <v>40867</v>
      </c>
    </row>
    <row r="293" spans="1:17" x14ac:dyDescent="0.2">
      <c r="A293" t="s">
        <v>55</v>
      </c>
      <c r="D293" s="170"/>
      <c r="E293" s="172"/>
      <c r="F293" s="172"/>
      <c r="G293" s="172"/>
      <c r="H293" s="170"/>
      <c r="I293" s="172"/>
      <c r="J293" s="172"/>
      <c r="K293" s="172"/>
      <c r="L293" s="170"/>
      <c r="M293" s="172"/>
      <c r="N293" s="170"/>
      <c r="O293" s="172"/>
      <c r="P293" t="str">
        <f t="shared" si="8"/>
        <v>R</v>
      </c>
      <c r="Q293">
        <f t="shared" si="9"/>
        <v>0</v>
      </c>
    </row>
    <row r="294" spans="1:17" x14ac:dyDescent="0.2">
      <c r="A294" t="s">
        <v>55</v>
      </c>
      <c r="C294" t="s">
        <v>58</v>
      </c>
      <c r="D294" s="171">
        <v>189.73780382939196</v>
      </c>
      <c r="E294" s="171">
        <v>162.79772805400447</v>
      </c>
      <c r="F294" s="171">
        <v>152.52000000000001</v>
      </c>
      <c r="G294" s="171">
        <v>172.71965175032159</v>
      </c>
      <c r="H294" s="171">
        <v>161.4670818489096</v>
      </c>
      <c r="I294" s="171">
        <v>207.76119713229613</v>
      </c>
      <c r="J294" s="171">
        <v>191.06597317385896</v>
      </c>
      <c r="K294" s="171">
        <v>185.99299650822542</v>
      </c>
      <c r="L294" s="171">
        <v>204.41602517353226</v>
      </c>
      <c r="M294" s="171">
        <v>156.0873349391579</v>
      </c>
      <c r="N294" s="101">
        <v>160.31069633849918</v>
      </c>
      <c r="O294" s="101">
        <v>184.2792560758493</v>
      </c>
      <c r="P294" t="str">
        <f t="shared" si="8"/>
        <v>RRec tons</v>
      </c>
      <c r="Q294">
        <f t="shared" si="9"/>
        <v>2129.1557448240465</v>
      </c>
    </row>
    <row r="295" spans="1:17" x14ac:dyDescent="0.2">
      <c r="A295" t="s">
        <v>55</v>
      </c>
      <c r="C295" t="s">
        <v>59</v>
      </c>
      <c r="D295" s="171">
        <v>417.07766419413025</v>
      </c>
      <c r="E295" s="171">
        <v>330.05512878705491</v>
      </c>
      <c r="F295" s="171">
        <v>329.78</v>
      </c>
      <c r="G295" s="171">
        <v>210.99261829794131</v>
      </c>
      <c r="H295" s="171">
        <v>155.80079058430533</v>
      </c>
      <c r="I295" s="171">
        <v>165.2168238962949</v>
      </c>
      <c r="J295" s="171">
        <v>301.5675301666094</v>
      </c>
      <c r="K295" s="171">
        <v>202.23145417277294</v>
      </c>
      <c r="L295" s="171">
        <v>116.39959445756364</v>
      </c>
      <c r="M295" s="171">
        <v>109.53288531969125</v>
      </c>
      <c r="N295" s="101">
        <v>180.08715168225243</v>
      </c>
      <c r="O295" s="101">
        <v>258.20624958376777</v>
      </c>
      <c r="P295" t="str">
        <f t="shared" si="8"/>
        <v xml:space="preserve">RYW tons </v>
      </c>
      <c r="Q295">
        <f t="shared" si="9"/>
        <v>2776.9478911423844</v>
      </c>
    </row>
    <row r="296" spans="1:17" x14ac:dyDescent="0.2">
      <c r="A296" t="s">
        <v>55</v>
      </c>
      <c r="C296" t="s">
        <v>60</v>
      </c>
      <c r="D296" s="171">
        <v>321.00728427837174</v>
      </c>
      <c r="E296" s="171">
        <v>295.77753283933311</v>
      </c>
      <c r="F296" s="171">
        <v>323.8</v>
      </c>
      <c r="G296" s="171">
        <v>318.17181449907758</v>
      </c>
      <c r="H296" s="171">
        <v>278.84534508789028</v>
      </c>
      <c r="I296" s="171">
        <v>305.71745576693473</v>
      </c>
      <c r="J296" s="171">
        <v>308.01687586095022</v>
      </c>
      <c r="K296" s="171">
        <v>284.0185495692985</v>
      </c>
      <c r="L296" s="171">
        <v>314.08680797186395</v>
      </c>
      <c r="M296" s="171">
        <v>256.26013608490132</v>
      </c>
      <c r="N296" s="101">
        <v>266.77584601496983</v>
      </c>
      <c r="O296" s="101">
        <v>300.17960115203596</v>
      </c>
      <c r="P296" t="str">
        <f t="shared" si="8"/>
        <v>RMSW tons</v>
      </c>
      <c r="Q296">
        <f t="shared" si="9"/>
        <v>3572.657249125627</v>
      </c>
    </row>
    <row r="297" spans="1:17" x14ac:dyDescent="0.2">
      <c r="A297" t="s">
        <v>65</v>
      </c>
      <c r="B297" t="s">
        <v>81</v>
      </c>
      <c r="C297" t="s">
        <v>56</v>
      </c>
      <c r="D297" s="172">
        <v>6406</v>
      </c>
      <c r="E297" s="172">
        <v>6441</v>
      </c>
      <c r="F297" s="172">
        <v>6376</v>
      </c>
      <c r="G297" s="172">
        <v>6443</v>
      </c>
      <c r="H297" s="172">
        <v>6457</v>
      </c>
      <c r="I297" s="172">
        <v>6391</v>
      </c>
      <c r="J297" s="172">
        <v>6424</v>
      </c>
      <c r="K297" s="172">
        <v>6432</v>
      </c>
      <c r="L297" s="170">
        <v>6359</v>
      </c>
      <c r="M297" s="170">
        <v>6399</v>
      </c>
      <c r="N297" s="172">
        <v>6429</v>
      </c>
      <c r="O297" s="172">
        <v>6406</v>
      </c>
      <c r="P297" t="str">
        <f t="shared" si="8"/>
        <v>NRREC cust</v>
      </c>
      <c r="Q297">
        <f t="shared" si="9"/>
        <v>76963</v>
      </c>
    </row>
    <row r="298" spans="1:17" x14ac:dyDescent="0.2">
      <c r="A298" t="s">
        <v>65</v>
      </c>
      <c r="C298" t="s">
        <v>57</v>
      </c>
      <c r="D298" s="172">
        <v>6140</v>
      </c>
      <c r="E298" s="172">
        <v>6169</v>
      </c>
      <c r="F298" s="172">
        <v>6104</v>
      </c>
      <c r="G298" s="172">
        <v>6172</v>
      </c>
      <c r="H298" s="172">
        <v>6189</v>
      </c>
      <c r="I298" s="172">
        <v>6125</v>
      </c>
      <c r="J298" s="172">
        <v>6156</v>
      </c>
      <c r="K298" s="172">
        <v>6158</v>
      </c>
      <c r="L298" s="170">
        <v>6091</v>
      </c>
      <c r="M298" s="170">
        <v>6133</v>
      </c>
      <c r="N298" s="172">
        <v>6166</v>
      </c>
      <c r="O298" s="172">
        <v>6145</v>
      </c>
      <c r="P298" t="str">
        <f t="shared" si="8"/>
        <v>NRYW cust</v>
      </c>
      <c r="Q298">
        <f t="shared" si="9"/>
        <v>73748</v>
      </c>
    </row>
    <row r="299" spans="1:17" x14ac:dyDescent="0.2">
      <c r="A299" t="s">
        <v>65</v>
      </c>
      <c r="D299" s="170"/>
      <c r="E299" s="172"/>
      <c r="F299" s="172"/>
      <c r="G299" s="172"/>
      <c r="H299" s="170"/>
      <c r="I299" s="172"/>
      <c r="J299" s="172"/>
      <c r="K299" s="172"/>
      <c r="L299" s="172"/>
      <c r="M299" s="172"/>
      <c r="N299" s="170"/>
      <c r="O299" s="172"/>
      <c r="P299" t="str">
        <f t="shared" si="8"/>
        <v>NR</v>
      </c>
      <c r="Q299">
        <f t="shared" si="9"/>
        <v>0</v>
      </c>
    </row>
    <row r="300" spans="1:17" x14ac:dyDescent="0.2">
      <c r="A300" t="s">
        <v>65</v>
      </c>
      <c r="C300" t="s">
        <v>58</v>
      </c>
      <c r="D300" s="171">
        <v>257.58806871403755</v>
      </c>
      <c r="E300" s="171">
        <v>228.75312066946168</v>
      </c>
      <c r="F300" s="171">
        <v>237.98</v>
      </c>
      <c r="G300" s="171">
        <v>265.76393134523647</v>
      </c>
      <c r="H300" s="171">
        <v>232.39715529650394</v>
      </c>
      <c r="I300" s="171">
        <v>249.25997409642906</v>
      </c>
      <c r="J300" s="171">
        <v>271.09325284242811</v>
      </c>
      <c r="K300" s="171">
        <v>258.79365773279972</v>
      </c>
      <c r="L300" s="171">
        <v>278.31909720352047</v>
      </c>
      <c r="M300" s="171">
        <v>201.66518082235478</v>
      </c>
      <c r="N300" s="101">
        <v>225.40779048421555</v>
      </c>
      <c r="O300" s="101">
        <v>237.25986215162555</v>
      </c>
      <c r="P300" t="str">
        <f t="shared" si="8"/>
        <v>NRRec tons</v>
      </c>
      <c r="Q300">
        <f t="shared" si="9"/>
        <v>2944.2810913586127</v>
      </c>
    </row>
    <row r="301" spans="1:17" x14ac:dyDescent="0.2">
      <c r="A301" t="s">
        <v>65</v>
      </c>
      <c r="C301" t="s">
        <v>59</v>
      </c>
      <c r="D301" s="171">
        <v>664.09915704003231</v>
      </c>
      <c r="E301" s="171">
        <v>574.02721686992516</v>
      </c>
      <c r="F301" s="171">
        <v>520.58000000000004</v>
      </c>
      <c r="G301" s="171">
        <v>408.21802110730533</v>
      </c>
      <c r="H301" s="171">
        <v>330.94496633498568</v>
      </c>
      <c r="I301" s="171">
        <v>437.1486233710861</v>
      </c>
      <c r="J301" s="171">
        <v>753.76230672795691</v>
      </c>
      <c r="K301" s="171">
        <v>457.88427834913927</v>
      </c>
      <c r="L301" s="171">
        <v>284.32259949451139</v>
      </c>
      <c r="M301" s="171">
        <v>261.28554875150354</v>
      </c>
      <c r="N301" s="101">
        <v>367.74468187821782</v>
      </c>
      <c r="O301" s="101">
        <v>493.66296278661116</v>
      </c>
      <c r="P301" t="str">
        <f t="shared" si="8"/>
        <v xml:space="preserve">NRYW tons </v>
      </c>
      <c r="Q301">
        <f t="shared" si="9"/>
        <v>5553.6803627112758</v>
      </c>
    </row>
    <row r="302" spans="1:17" x14ac:dyDescent="0.2">
      <c r="A302" t="s">
        <v>65</v>
      </c>
      <c r="C302" t="s">
        <v>60</v>
      </c>
      <c r="D302" s="171">
        <v>345.20227902205124</v>
      </c>
      <c r="E302" s="171">
        <v>327.80558966543714</v>
      </c>
      <c r="F302" s="171">
        <v>342.87</v>
      </c>
      <c r="G302" s="171">
        <v>361.93529228518463</v>
      </c>
      <c r="H302" s="171">
        <v>304.73135887547545</v>
      </c>
      <c r="I302" s="171">
        <v>321.58424704743516</v>
      </c>
      <c r="J302" s="171">
        <v>333.99705482767655</v>
      </c>
      <c r="K302" s="171">
        <v>308.78731254982415</v>
      </c>
      <c r="L302" s="171">
        <v>342.90721201972593</v>
      </c>
      <c r="M302" s="171">
        <v>269.7883958684846</v>
      </c>
      <c r="N302" s="101">
        <v>292.85672149096547</v>
      </c>
      <c r="O302" s="101">
        <v>306.24352165652567</v>
      </c>
      <c r="P302" t="str">
        <f t="shared" si="8"/>
        <v>NRMSW tons</v>
      </c>
      <c r="Q302">
        <f t="shared" si="9"/>
        <v>3858.7089853087864</v>
      </c>
    </row>
    <row r="303" spans="1:17" x14ac:dyDescent="0.2">
      <c r="A303" t="s">
        <v>55</v>
      </c>
      <c r="B303" t="s">
        <v>61</v>
      </c>
      <c r="C303" t="s">
        <v>56</v>
      </c>
      <c r="D303" s="172">
        <v>3161</v>
      </c>
      <c r="E303" s="172">
        <v>3146</v>
      </c>
      <c r="F303" s="172">
        <v>3160</v>
      </c>
      <c r="G303" s="172">
        <v>3153</v>
      </c>
      <c r="H303" s="172">
        <v>3164</v>
      </c>
      <c r="I303" s="172">
        <v>3172</v>
      </c>
      <c r="J303" s="172">
        <v>3185</v>
      </c>
      <c r="K303" s="172">
        <v>3178</v>
      </c>
      <c r="L303" s="170">
        <v>3174</v>
      </c>
      <c r="M303" s="170">
        <v>3199</v>
      </c>
      <c r="N303" s="172">
        <v>3190</v>
      </c>
      <c r="O303" s="172">
        <v>3196</v>
      </c>
      <c r="P303" t="str">
        <f t="shared" si="8"/>
        <v>RREC cust</v>
      </c>
      <c r="Q303">
        <f t="shared" si="9"/>
        <v>38078</v>
      </c>
    </row>
    <row r="304" spans="1:17" x14ac:dyDescent="0.2">
      <c r="A304" t="s">
        <v>55</v>
      </c>
      <c r="C304" t="s">
        <v>57</v>
      </c>
      <c r="D304" s="172">
        <v>2098</v>
      </c>
      <c r="E304" s="172">
        <v>2112</v>
      </c>
      <c r="F304" s="172">
        <v>2116</v>
      </c>
      <c r="G304" s="172">
        <v>2115</v>
      </c>
      <c r="H304" s="172">
        <v>2126</v>
      </c>
      <c r="I304" s="172">
        <v>2117</v>
      </c>
      <c r="J304" s="172">
        <v>2088</v>
      </c>
      <c r="K304" s="172">
        <v>2054</v>
      </c>
      <c r="L304" s="170">
        <v>2033</v>
      </c>
      <c r="M304" s="170">
        <v>2029</v>
      </c>
      <c r="N304" s="172">
        <v>2059</v>
      </c>
      <c r="O304" s="172">
        <v>2096</v>
      </c>
      <c r="P304" t="str">
        <f t="shared" si="8"/>
        <v>RYW cust</v>
      </c>
      <c r="Q304">
        <f t="shared" si="9"/>
        <v>25043</v>
      </c>
    </row>
    <row r="305" spans="1:17" x14ac:dyDescent="0.2">
      <c r="A305" t="s">
        <v>55</v>
      </c>
      <c r="D305" s="170"/>
      <c r="E305" s="172"/>
      <c r="F305" s="172"/>
      <c r="G305" s="172"/>
      <c r="H305" s="170"/>
      <c r="I305" s="172"/>
      <c r="J305" s="172"/>
      <c r="K305" s="172"/>
      <c r="L305" s="172"/>
      <c r="M305" s="170"/>
      <c r="N305" s="172"/>
      <c r="O305" s="172"/>
      <c r="P305" t="str">
        <f t="shared" si="8"/>
        <v>R</v>
      </c>
      <c r="Q305">
        <f t="shared" si="9"/>
        <v>0</v>
      </c>
    </row>
    <row r="306" spans="1:17" x14ac:dyDescent="0.2">
      <c r="A306" t="s">
        <v>55</v>
      </c>
      <c r="C306" t="s">
        <v>58</v>
      </c>
      <c r="D306" s="171">
        <v>117.3869694385164</v>
      </c>
      <c r="E306" s="171">
        <v>96.986964259524115</v>
      </c>
      <c r="F306" s="171">
        <v>91.77</v>
      </c>
      <c r="G306" s="171">
        <v>105.99436928560303</v>
      </c>
      <c r="H306" s="171">
        <v>96.494336115067895</v>
      </c>
      <c r="I306" s="171">
        <v>96.731787380458456</v>
      </c>
      <c r="J306" s="171">
        <v>134.53180796797528</v>
      </c>
      <c r="K306" s="171">
        <v>115.64589421933462</v>
      </c>
      <c r="L306" s="171">
        <v>116.67304474563892</v>
      </c>
      <c r="M306" s="171">
        <v>87.219006505627434</v>
      </c>
      <c r="N306" s="101">
        <v>85.77</v>
      </c>
      <c r="O306" s="101">
        <v>91.995022121328375</v>
      </c>
      <c r="P306" t="str">
        <f t="shared" si="8"/>
        <v>RRec tons</v>
      </c>
      <c r="Q306">
        <f t="shared" si="9"/>
        <v>1237.1992020390746</v>
      </c>
    </row>
    <row r="307" spans="1:17" x14ac:dyDescent="0.2">
      <c r="A307" t="s">
        <v>55</v>
      </c>
      <c r="C307" t="s">
        <v>59</v>
      </c>
      <c r="D307" s="171">
        <v>247.15527409719621</v>
      </c>
      <c r="E307" s="171">
        <v>181.86134066355322</v>
      </c>
      <c r="F307" s="171">
        <v>159.69999999999999</v>
      </c>
      <c r="G307" s="171">
        <v>129.56515745295093</v>
      </c>
      <c r="H307" s="171">
        <v>90.867721984036208</v>
      </c>
      <c r="I307" s="171">
        <v>122.48281754085075</v>
      </c>
      <c r="J307" s="171">
        <v>229.33133202212917</v>
      </c>
      <c r="K307" s="171">
        <v>67.817713104337031</v>
      </c>
      <c r="L307" s="171">
        <v>60.04928591278243</v>
      </c>
      <c r="M307" s="171">
        <v>54.601869555814588</v>
      </c>
      <c r="N307" s="101">
        <v>112.33</v>
      </c>
      <c r="O307" s="101">
        <v>152.88175564522879</v>
      </c>
      <c r="P307" t="str">
        <f t="shared" si="8"/>
        <v xml:space="preserve">RYW tons </v>
      </c>
      <c r="Q307">
        <f t="shared" si="9"/>
        <v>1608.6442679788793</v>
      </c>
    </row>
    <row r="308" spans="1:17" x14ac:dyDescent="0.2">
      <c r="A308" t="s">
        <v>55</v>
      </c>
      <c r="C308" t="s">
        <v>60</v>
      </c>
      <c r="D308" s="171">
        <v>163.39789976818344</v>
      </c>
      <c r="E308" s="171">
        <v>147.11359383366559</v>
      </c>
      <c r="F308" s="171">
        <v>146.13</v>
      </c>
      <c r="G308" s="171">
        <v>176.97214813889693</v>
      </c>
      <c r="H308" s="171">
        <v>143.17383323885048</v>
      </c>
      <c r="I308" s="171">
        <v>144.63018214369407</v>
      </c>
      <c r="J308" s="171">
        <v>178.0253756032557</v>
      </c>
      <c r="K308" s="171">
        <v>145.66999999999999</v>
      </c>
      <c r="L308" s="171">
        <v>173.07887800490735</v>
      </c>
      <c r="M308" s="171">
        <v>131.11000000000001</v>
      </c>
      <c r="N308" s="101">
        <v>138.44999999999999</v>
      </c>
      <c r="O308" s="101">
        <v>135.80765885947758</v>
      </c>
      <c r="P308" t="str">
        <f t="shared" si="8"/>
        <v>RMSW tons</v>
      </c>
      <c r="Q308">
        <f t="shared" si="9"/>
        <v>1823.5595695909317</v>
      </c>
    </row>
    <row r="309" spans="1:17" x14ac:dyDescent="0.2">
      <c r="A309" t="s">
        <v>65</v>
      </c>
      <c r="B309" t="s">
        <v>82</v>
      </c>
      <c r="C309" t="s">
        <v>56</v>
      </c>
      <c r="D309" s="172">
        <v>8129</v>
      </c>
      <c r="E309" s="172">
        <v>8151</v>
      </c>
      <c r="F309" s="172">
        <v>8182</v>
      </c>
      <c r="G309" s="172">
        <v>8235</v>
      </c>
      <c r="H309" s="172">
        <v>8268</v>
      </c>
      <c r="I309" s="172">
        <v>8285</v>
      </c>
      <c r="J309" s="172">
        <v>8268</v>
      </c>
      <c r="K309" s="172">
        <v>8278</v>
      </c>
      <c r="L309" s="170">
        <v>8313</v>
      </c>
      <c r="M309" s="170">
        <v>8332</v>
      </c>
      <c r="N309" s="172">
        <v>8358</v>
      </c>
      <c r="O309" s="172">
        <v>8396</v>
      </c>
      <c r="P309" t="str">
        <f t="shared" si="8"/>
        <v>NRREC cust</v>
      </c>
      <c r="Q309">
        <f t="shared" si="9"/>
        <v>99195</v>
      </c>
    </row>
    <row r="310" spans="1:17" x14ac:dyDescent="0.2">
      <c r="A310" t="s">
        <v>65</v>
      </c>
      <c r="C310" t="s">
        <v>57</v>
      </c>
      <c r="D310" s="172">
        <v>4778</v>
      </c>
      <c r="E310" s="172">
        <v>4819</v>
      </c>
      <c r="F310" s="172">
        <v>4861</v>
      </c>
      <c r="G310" s="172">
        <v>4876</v>
      </c>
      <c r="H310" s="172">
        <v>4880</v>
      </c>
      <c r="I310" s="172">
        <v>4849</v>
      </c>
      <c r="J310" s="172">
        <v>4790</v>
      </c>
      <c r="K310" s="172">
        <v>4710</v>
      </c>
      <c r="L310" s="170">
        <v>4683</v>
      </c>
      <c r="M310" s="170">
        <v>4686</v>
      </c>
      <c r="N310" s="172">
        <v>4756</v>
      </c>
      <c r="O310" s="172">
        <v>4847</v>
      </c>
      <c r="P310" t="str">
        <f t="shared" si="8"/>
        <v>NRYW cust</v>
      </c>
      <c r="Q310">
        <f t="shared" si="9"/>
        <v>57535</v>
      </c>
    </row>
    <row r="311" spans="1:17" x14ac:dyDescent="0.2">
      <c r="A311" t="s">
        <v>65</v>
      </c>
      <c r="D311" s="170"/>
      <c r="E311" s="172"/>
      <c r="F311" s="172"/>
      <c r="G311" s="172"/>
      <c r="H311" s="170"/>
      <c r="I311" s="172"/>
      <c r="J311" s="172"/>
      <c r="K311" s="172"/>
      <c r="L311" s="172"/>
      <c r="M311" s="172"/>
      <c r="N311" s="170"/>
      <c r="O311" s="172"/>
      <c r="P311" t="str">
        <f t="shared" si="8"/>
        <v>NR</v>
      </c>
      <c r="Q311">
        <f t="shared" si="9"/>
        <v>0</v>
      </c>
    </row>
    <row r="312" spans="1:17" x14ac:dyDescent="0.2">
      <c r="A312" t="s">
        <v>65</v>
      </c>
      <c r="C312" t="s">
        <v>58</v>
      </c>
      <c r="D312" s="171">
        <v>297.81228876643883</v>
      </c>
      <c r="E312" s="171">
        <v>294.9776141290302</v>
      </c>
      <c r="F312" s="171">
        <v>276.93</v>
      </c>
      <c r="G312" s="171">
        <v>287.92782560971835</v>
      </c>
      <c r="H312" s="171">
        <v>270.96584891004773</v>
      </c>
      <c r="I312" s="171">
        <v>311.90761441221787</v>
      </c>
      <c r="J312" s="171">
        <v>336.32980782203032</v>
      </c>
      <c r="K312" s="171">
        <v>303.3127966553767</v>
      </c>
      <c r="L312" s="171">
        <v>340.69234436324928</v>
      </c>
      <c r="M312" s="171">
        <v>233.99822496742823</v>
      </c>
      <c r="N312" s="101">
        <v>262.30690720053127</v>
      </c>
      <c r="O312" s="101">
        <v>296.79003594548533</v>
      </c>
      <c r="P312" t="str">
        <f t="shared" si="8"/>
        <v>NRRec tons</v>
      </c>
      <c r="Q312">
        <f t="shared" si="9"/>
        <v>3513.951308781554</v>
      </c>
    </row>
    <row r="313" spans="1:17" x14ac:dyDescent="0.2">
      <c r="A313" t="s">
        <v>65</v>
      </c>
      <c r="C313" t="s">
        <v>59</v>
      </c>
      <c r="D313" s="171">
        <v>581.74462327775018</v>
      </c>
      <c r="E313" s="171">
        <v>525.64044127189527</v>
      </c>
      <c r="F313" s="171">
        <v>475.01</v>
      </c>
      <c r="G313" s="171">
        <v>330.3634032027972</v>
      </c>
      <c r="H313" s="171">
        <v>256.16654748212574</v>
      </c>
      <c r="I313" s="171">
        <v>351.52567593641288</v>
      </c>
      <c r="J313" s="171">
        <v>588.65773516634476</v>
      </c>
      <c r="K313" s="171">
        <v>195.48563158566949</v>
      </c>
      <c r="L313" s="171">
        <v>158.90095998255606</v>
      </c>
      <c r="M313" s="171">
        <v>135.05496982268656</v>
      </c>
      <c r="N313" s="101">
        <v>329.21004954411035</v>
      </c>
      <c r="O313" s="101">
        <v>485.60660544546317</v>
      </c>
      <c r="P313" t="str">
        <f t="shared" si="8"/>
        <v xml:space="preserve">NRYW tons </v>
      </c>
      <c r="Q313">
        <f t="shared" si="9"/>
        <v>4413.3666427178114</v>
      </c>
    </row>
    <row r="314" spans="1:17" x14ac:dyDescent="0.2">
      <c r="A314" t="s">
        <v>65</v>
      </c>
      <c r="C314" t="s">
        <v>60</v>
      </c>
      <c r="D314" s="171">
        <v>445.47234962561708</v>
      </c>
      <c r="E314" s="171">
        <v>442.6251129596244</v>
      </c>
      <c r="F314" s="171">
        <v>472.29</v>
      </c>
      <c r="G314" s="171">
        <v>470.55809986896082</v>
      </c>
      <c r="H314" s="171">
        <v>417.12120186679317</v>
      </c>
      <c r="I314" s="171">
        <v>464.04354077268101</v>
      </c>
      <c r="J314" s="171">
        <v>476.65484603775047</v>
      </c>
      <c r="K314" s="171">
        <v>434.01796631926516</v>
      </c>
      <c r="L314" s="171">
        <v>475.57553983837585</v>
      </c>
      <c r="M314" s="171">
        <v>379.69440220130008</v>
      </c>
      <c r="N314" s="101">
        <v>407.1706968433503</v>
      </c>
      <c r="O314" s="101">
        <v>446.79114685373838</v>
      </c>
      <c r="P314" t="str">
        <f t="shared" si="8"/>
        <v>NRMSW tons</v>
      </c>
      <c r="Q314">
        <f t="shared" si="9"/>
        <v>5332.0149031874571</v>
      </c>
    </row>
    <row r="315" spans="1:17" x14ac:dyDescent="0.2">
      <c r="A315" t="s">
        <v>65</v>
      </c>
      <c r="B315" t="s">
        <v>83</v>
      </c>
      <c r="C315" t="s">
        <v>56</v>
      </c>
      <c r="D315" s="172">
        <v>1087</v>
      </c>
      <c r="E315" s="172">
        <v>1332</v>
      </c>
      <c r="F315" s="172">
        <v>1340</v>
      </c>
      <c r="G315" s="172">
        <v>1359</v>
      </c>
      <c r="H315" s="172">
        <v>1367</v>
      </c>
      <c r="I315" s="172">
        <v>1373</v>
      </c>
      <c r="J315" s="172">
        <v>1454</v>
      </c>
      <c r="K315" s="172">
        <v>1464</v>
      </c>
      <c r="L315" s="170">
        <v>1468</v>
      </c>
      <c r="M315" s="170">
        <v>1465</v>
      </c>
      <c r="N315" s="172">
        <v>1469</v>
      </c>
      <c r="O315" s="172">
        <v>1477</v>
      </c>
      <c r="P315" t="str">
        <f t="shared" si="8"/>
        <v>NRREC cust</v>
      </c>
      <c r="Q315">
        <f t="shared" si="9"/>
        <v>16655</v>
      </c>
    </row>
    <row r="316" spans="1:17" x14ac:dyDescent="0.2">
      <c r="A316" t="s">
        <v>65</v>
      </c>
      <c r="C316" t="s">
        <v>57</v>
      </c>
      <c r="D316" s="172">
        <v>572</v>
      </c>
      <c r="E316" s="172">
        <v>863</v>
      </c>
      <c r="F316" s="172">
        <v>901</v>
      </c>
      <c r="G316" s="172">
        <v>927</v>
      </c>
      <c r="H316" s="172">
        <v>951</v>
      </c>
      <c r="I316" s="172">
        <v>962</v>
      </c>
      <c r="J316" s="172">
        <v>995</v>
      </c>
      <c r="K316" s="172">
        <v>1014</v>
      </c>
      <c r="L316" s="170">
        <v>1029</v>
      </c>
      <c r="M316" s="170">
        <v>1038</v>
      </c>
      <c r="N316" s="172">
        <v>1072</v>
      </c>
      <c r="O316" s="172">
        <v>1082</v>
      </c>
      <c r="P316" t="str">
        <f t="shared" si="8"/>
        <v>NRYW cust</v>
      </c>
      <c r="Q316">
        <f t="shared" si="9"/>
        <v>11406</v>
      </c>
    </row>
    <row r="317" spans="1:17" x14ac:dyDescent="0.2">
      <c r="A317" t="s">
        <v>65</v>
      </c>
      <c r="D317" s="170"/>
      <c r="E317" s="172"/>
      <c r="F317" s="172"/>
      <c r="G317" s="172"/>
      <c r="H317" s="170"/>
      <c r="I317" s="172"/>
      <c r="J317" s="172"/>
      <c r="K317" s="172"/>
      <c r="L317" s="172"/>
      <c r="M317" s="172"/>
      <c r="N317" s="170"/>
      <c r="O317" s="172"/>
      <c r="P317" t="str">
        <f t="shared" si="8"/>
        <v>NR</v>
      </c>
      <c r="Q317">
        <f t="shared" si="9"/>
        <v>0</v>
      </c>
    </row>
    <row r="318" spans="1:17" x14ac:dyDescent="0.2">
      <c r="A318" t="s">
        <v>65</v>
      </c>
      <c r="C318" t="s">
        <v>58</v>
      </c>
      <c r="D318" s="171">
        <v>33.666168234585776</v>
      </c>
      <c r="E318" s="171">
        <v>42.900904824363053</v>
      </c>
      <c r="F318" s="171">
        <v>49.81</v>
      </c>
      <c r="G318" s="171">
        <v>42.065875887450304</v>
      </c>
      <c r="H318" s="171">
        <v>46.938709604795513</v>
      </c>
      <c r="I318" s="171">
        <v>62.256714031504167</v>
      </c>
      <c r="J318" s="171">
        <v>50.956263562855824</v>
      </c>
      <c r="K318" s="171">
        <v>54.653598166491037</v>
      </c>
      <c r="L318" s="171">
        <v>49.340013356033836</v>
      </c>
      <c r="M318" s="171">
        <v>41.340718857003289</v>
      </c>
      <c r="N318" s="101">
        <v>48.121735784899968</v>
      </c>
      <c r="O318" s="101">
        <v>45.974261559809229</v>
      </c>
      <c r="P318" t="str">
        <f t="shared" si="8"/>
        <v>NRRec tons</v>
      </c>
      <c r="Q318">
        <f t="shared" si="9"/>
        <v>568.02496386979203</v>
      </c>
    </row>
    <row r="319" spans="1:17" x14ac:dyDescent="0.2">
      <c r="A319" t="s">
        <v>65</v>
      </c>
      <c r="C319" t="s">
        <v>59</v>
      </c>
      <c r="D319" s="171">
        <v>44.772736389912907</v>
      </c>
      <c r="E319" s="171">
        <v>68.48238981460706</v>
      </c>
      <c r="F319" s="171">
        <v>96.87</v>
      </c>
      <c r="G319" s="171">
        <v>47.1996415420994</v>
      </c>
      <c r="H319" s="171">
        <v>42.527296395418723</v>
      </c>
      <c r="I319" s="171">
        <v>44.980088406614854</v>
      </c>
      <c r="J319" s="171">
        <v>66.991741327385867</v>
      </c>
      <c r="K319" s="171">
        <v>42.527590652314437</v>
      </c>
      <c r="L319" s="171">
        <v>20.080492777393093</v>
      </c>
      <c r="M319" s="171">
        <v>27.674657483397453</v>
      </c>
      <c r="N319" s="101">
        <v>50.166113569440952</v>
      </c>
      <c r="O319" s="101">
        <v>64.675353586915065</v>
      </c>
      <c r="P319" t="str">
        <f t="shared" si="8"/>
        <v xml:space="preserve">NRYW tons </v>
      </c>
      <c r="Q319">
        <f t="shared" si="9"/>
        <v>616.94810194549984</v>
      </c>
    </row>
    <row r="320" spans="1:17" x14ac:dyDescent="0.2">
      <c r="A320" t="s">
        <v>65</v>
      </c>
      <c r="C320" t="s">
        <v>60</v>
      </c>
      <c r="D320" s="171">
        <v>61.198684964803192</v>
      </c>
      <c r="E320" s="171">
        <v>79.52367429955325</v>
      </c>
      <c r="F320" s="171">
        <v>89.33</v>
      </c>
      <c r="G320" s="171">
        <v>71.024685982937115</v>
      </c>
      <c r="H320" s="171">
        <v>70.20199095426446</v>
      </c>
      <c r="I320" s="171">
        <v>77.73516872154633</v>
      </c>
      <c r="J320" s="171">
        <v>76.478590815100333</v>
      </c>
      <c r="K320" s="171">
        <v>74.957872654586296</v>
      </c>
      <c r="L320" s="171">
        <v>79.198382566082145</v>
      </c>
      <c r="M320" s="171">
        <v>66.549493086035923</v>
      </c>
      <c r="N320" s="101">
        <v>75.076877195587841</v>
      </c>
      <c r="O320" s="101">
        <v>84.399899779148598</v>
      </c>
      <c r="P320" t="str">
        <f t="shared" si="8"/>
        <v>NRMSW tons</v>
      </c>
      <c r="Q320">
        <f t="shared" si="9"/>
        <v>905.67532101964548</v>
      </c>
    </row>
    <row r="321" spans="4:11" x14ac:dyDescent="0.2">
      <c r="D321" s="172"/>
      <c r="E321" s="172"/>
      <c r="F321" s="172"/>
      <c r="G321" s="172"/>
      <c r="H321" s="172"/>
      <c r="I321" s="172"/>
      <c r="J321" s="172"/>
      <c r="K321" s="172"/>
    </row>
    <row r="322" spans="4:11" x14ac:dyDescent="0.2">
      <c r="D322" s="172"/>
      <c r="E322" s="172"/>
      <c r="F322" s="172"/>
      <c r="G322" s="172"/>
      <c r="H322" s="172"/>
      <c r="I322" s="172"/>
      <c r="J322" s="172"/>
      <c r="K322" s="172"/>
    </row>
    <row r="323" spans="4:11" x14ac:dyDescent="0.2">
      <c r="D323" s="170"/>
      <c r="E323" s="172"/>
      <c r="F323" s="172"/>
      <c r="G323" s="172"/>
      <c r="H323" s="170"/>
      <c r="I323" s="172"/>
      <c r="J323" s="172"/>
      <c r="K323" s="172"/>
    </row>
    <row r="324" spans="4:11" x14ac:dyDescent="0.2">
      <c r="D324" s="173"/>
      <c r="E324" s="173"/>
      <c r="F324" s="173"/>
      <c r="G324" s="173"/>
      <c r="H324" s="173"/>
      <c r="I324" s="173"/>
      <c r="J324" s="173"/>
      <c r="K324" s="173"/>
    </row>
    <row r="325" spans="4:11" x14ac:dyDescent="0.2">
      <c r="D325" s="173"/>
      <c r="E325" s="173"/>
      <c r="F325" s="173"/>
      <c r="G325" s="173"/>
      <c r="H325" s="173"/>
      <c r="I325" s="173"/>
      <c r="J325" s="173"/>
      <c r="K325" s="173"/>
    </row>
    <row r="326" spans="4:11" x14ac:dyDescent="0.2">
      <c r="D326" s="173"/>
      <c r="E326" s="173"/>
      <c r="F326" s="173"/>
      <c r="G326" s="173"/>
      <c r="H326" s="173"/>
      <c r="I326" s="173"/>
      <c r="J326" s="173"/>
      <c r="K326" s="173"/>
    </row>
  </sheetData>
  <mergeCells count="4">
    <mergeCell ref="A39:B39"/>
    <mergeCell ref="R1:T1"/>
    <mergeCell ref="A200:B200"/>
    <mergeCell ref="H162:K16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6"/>
  <sheetViews>
    <sheetView workbookViewId="0">
      <selection activeCell="R3" sqref="R3"/>
    </sheetView>
  </sheetViews>
  <sheetFormatPr defaultRowHeight="12.75" x14ac:dyDescent="0.2"/>
  <cols>
    <col min="16" max="16" width="12.42578125" bestFit="1" customWidth="1"/>
    <col min="18" max="18" width="13.140625" bestFit="1" customWidth="1"/>
    <col min="19" max="19" width="12.85546875" bestFit="1" customWidth="1"/>
    <col min="20" max="20" width="14.7109375" bestFit="1" customWidth="1"/>
  </cols>
  <sheetData>
    <row r="1" spans="1:22" x14ac:dyDescent="0.2">
      <c r="R1" s="319" t="s">
        <v>55</v>
      </c>
      <c r="S1" s="319"/>
      <c r="T1" s="319"/>
    </row>
    <row r="2" spans="1:22" x14ac:dyDescent="0.2"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Q2" t="s">
        <v>2</v>
      </c>
      <c r="R2" t="s">
        <v>96</v>
      </c>
      <c r="S2" t="s">
        <v>97</v>
      </c>
      <c r="T2" t="s">
        <v>98</v>
      </c>
      <c r="U2" t="s">
        <v>99</v>
      </c>
      <c r="V2" t="s">
        <v>57</v>
      </c>
    </row>
    <row r="3" spans="1:22" x14ac:dyDescent="0.2">
      <c r="A3" t="s">
        <v>100</v>
      </c>
      <c r="B3" t="s">
        <v>54</v>
      </c>
      <c r="C3" t="s">
        <v>56</v>
      </c>
      <c r="D3">
        <f>'[8]183 Tons'!H66</f>
        <v>821</v>
      </c>
      <c r="E3">
        <f>'[8]183 Tons'!I66</f>
        <v>824</v>
      </c>
      <c r="F3">
        <f>'[8]183 Tons'!J66</f>
        <v>798</v>
      </c>
      <c r="G3">
        <f>'[8]183 Tons'!K66</f>
        <v>797</v>
      </c>
      <c r="H3">
        <f>'[8]183 Tons'!L66</f>
        <v>818</v>
      </c>
      <c r="I3">
        <f>'[8]183 Tons'!M66</f>
        <v>823</v>
      </c>
      <c r="J3">
        <f>'[8]183 Tons'!N66</f>
        <v>814</v>
      </c>
      <c r="K3">
        <f>'[8]183 Tons'!O66</f>
        <v>822</v>
      </c>
      <c r="L3">
        <f>'[9]183 Tons'!D66</f>
        <v>817</v>
      </c>
      <c r="M3">
        <f>'[9]183 Tons'!E66</f>
        <v>818</v>
      </c>
      <c r="N3">
        <f>'[9]183 Tons'!F66</f>
        <v>825</v>
      </c>
      <c r="O3">
        <f>'[9]183 Tons'!G66</f>
        <v>825</v>
      </c>
      <c r="P3" t="str">
        <f>CONCATENATE(A3,C3)</f>
        <v>MRREC cust</v>
      </c>
      <c r="Q3">
        <f>SUM(D3:O3)</f>
        <v>9802</v>
      </c>
      <c r="R3">
        <f>SUMIF($P3:$P159,$P$13,Q3:Q159)</f>
        <v>12328.033482246014</v>
      </c>
      <c r="S3">
        <f>SUMIF($P3:$P159,$P$14,$Q3:$Q159)</f>
        <v>13014.552590310834</v>
      </c>
      <c r="T3">
        <f>SUMIF($P3:$P159,$P$12,$Q3:$Q159)</f>
        <v>24402.588436574672</v>
      </c>
      <c r="U3">
        <f>SUMIF($P3:$P159,$P$9,$Q3:$Q159)</f>
        <v>409509</v>
      </c>
      <c r="V3">
        <f>SUMIF($P3:$P159,$P$10,$O3:$O159)</f>
        <v>15550</v>
      </c>
    </row>
    <row r="4" spans="1:22" x14ac:dyDescent="0.2">
      <c r="A4" t="s">
        <v>100</v>
      </c>
      <c r="C4" t="s">
        <v>57</v>
      </c>
      <c r="D4">
        <f>'[8]183 Tons'!H67</f>
        <v>490</v>
      </c>
      <c r="E4">
        <f>'[8]183 Tons'!I67</f>
        <v>493</v>
      </c>
      <c r="F4">
        <f>'[8]183 Tons'!J67</f>
        <v>485</v>
      </c>
      <c r="G4">
        <f>'[8]183 Tons'!K67</f>
        <v>486</v>
      </c>
      <c r="H4">
        <f>'[8]183 Tons'!L67</f>
        <v>494</v>
      </c>
      <c r="I4">
        <f>'[8]183 Tons'!M67</f>
        <v>495</v>
      </c>
      <c r="J4">
        <f>'[8]183 Tons'!N67</f>
        <v>484</v>
      </c>
      <c r="K4">
        <f>'[8]183 Tons'!O67</f>
        <v>485</v>
      </c>
      <c r="L4">
        <f>'[9]183 Tons'!D67</f>
        <v>483</v>
      </c>
      <c r="M4">
        <f>'[9]183 Tons'!E67</f>
        <v>482</v>
      </c>
      <c r="N4">
        <f>'[9]183 Tons'!F67</f>
        <v>484</v>
      </c>
      <c r="O4">
        <f>'[9]183 Tons'!G67</f>
        <v>488</v>
      </c>
      <c r="P4" t="str">
        <f t="shared" ref="P4:P67" si="0">CONCATENATE(A4,C4)</f>
        <v>MRYW cust</v>
      </c>
      <c r="Q4">
        <f t="shared" ref="Q4:Q67" si="1">SUM(D4:O4)</f>
        <v>5849</v>
      </c>
      <c r="U4">
        <f>SUMIF($P3:$P159,$P$9,$O3:$O159)</f>
        <v>34224</v>
      </c>
    </row>
    <row r="5" spans="1:22" x14ac:dyDescent="0.2">
      <c r="A5" t="s">
        <v>100</v>
      </c>
      <c r="D5">
        <f>'[8]183 Tons'!H68</f>
        <v>0</v>
      </c>
      <c r="E5">
        <f>'[8]183 Tons'!I68</f>
        <v>0</v>
      </c>
      <c r="F5">
        <f>'[8]183 Tons'!J68</f>
        <v>0</v>
      </c>
      <c r="G5">
        <f>'[8]183 Tons'!K68</f>
        <v>0</v>
      </c>
      <c r="H5">
        <f>'[8]183 Tons'!L68</f>
        <v>0</v>
      </c>
      <c r="I5">
        <f>'[8]183 Tons'!M68</f>
        <v>0</v>
      </c>
      <c r="J5">
        <f>'[8]183 Tons'!N68</f>
        <v>0</v>
      </c>
      <c r="K5">
        <f>'[8]183 Tons'!O68</f>
        <v>0</v>
      </c>
      <c r="L5">
        <f>'[9]183 Tons'!D68</f>
        <v>0</v>
      </c>
      <c r="M5">
        <f>'[9]183 Tons'!E68</f>
        <v>0</v>
      </c>
      <c r="N5">
        <f>'[9]183 Tons'!F68</f>
        <v>0</v>
      </c>
      <c r="O5">
        <f>'[9]183 Tons'!G68</f>
        <v>0</v>
      </c>
      <c r="P5" t="str">
        <f t="shared" si="0"/>
        <v>MR</v>
      </c>
      <c r="Q5">
        <f t="shared" si="1"/>
        <v>0</v>
      </c>
    </row>
    <row r="6" spans="1:22" x14ac:dyDescent="0.2">
      <c r="A6" t="s">
        <v>100</v>
      </c>
      <c r="C6" t="s">
        <v>60</v>
      </c>
      <c r="D6">
        <f>'[8]183 Tons'!H69</f>
        <v>60.330834892273778</v>
      </c>
      <c r="E6">
        <f>'[8]183 Tons'!I69</f>
        <v>49.329369861700059</v>
      </c>
      <c r="F6">
        <f>'[8]183 Tons'!J69</f>
        <v>50.997835780797637</v>
      </c>
      <c r="G6">
        <f>'[8]183 Tons'!K69</f>
        <v>67.442372392162426</v>
      </c>
      <c r="H6">
        <f>'[8]183 Tons'!L69</f>
        <v>50.581142379356841</v>
      </c>
      <c r="I6">
        <f>'[8]183 Tons'!M69</f>
        <v>39.570301286225288</v>
      </c>
      <c r="J6">
        <f>'[8]183 Tons'!N69</f>
        <v>47.469894018315458</v>
      </c>
      <c r="K6">
        <f>'[8]183 Tons'!O69</f>
        <v>46.2966184032285</v>
      </c>
      <c r="L6">
        <f>'[9]183 Tons'!D69</f>
        <v>55.993458133532265</v>
      </c>
      <c r="M6">
        <f>'[9]183 Tons'!E69</f>
        <v>40.716003658099396</v>
      </c>
      <c r="N6">
        <f>'[9]183 Tons'!F69</f>
        <v>47.609455652333047</v>
      </c>
      <c r="O6">
        <f>'[9]183 Tons'!G69</f>
        <v>50.051281179343029</v>
      </c>
      <c r="P6" t="str">
        <f t="shared" si="0"/>
        <v>MRMSW tons</v>
      </c>
      <c r="Q6">
        <f t="shared" si="1"/>
        <v>606.38856763736771</v>
      </c>
    </row>
    <row r="7" spans="1:22" x14ac:dyDescent="0.2">
      <c r="A7" t="s">
        <v>100</v>
      </c>
      <c r="C7" t="s">
        <v>58</v>
      </c>
      <c r="D7">
        <f>'[8]183 Tons'!H70</f>
        <v>22.67521841799428</v>
      </c>
      <c r="E7">
        <f>'[8]183 Tons'!I70</f>
        <v>23.444501672622653</v>
      </c>
      <c r="F7">
        <f>'[8]183 Tons'!J70</f>
        <v>25.501676564728928</v>
      </c>
      <c r="G7">
        <f>'[8]183 Tons'!K70</f>
        <v>32.0804725845327</v>
      </c>
      <c r="H7">
        <f>'[8]183 Tons'!L70</f>
        <v>24.229274601066518</v>
      </c>
      <c r="I7">
        <f>'[8]183 Tons'!M70</f>
        <v>25.398495337971013</v>
      </c>
      <c r="J7">
        <f>'[8]183 Tons'!N70</f>
        <v>21.812418107368991</v>
      </c>
      <c r="K7">
        <f>'[8]183 Tons'!O70</f>
        <v>20.102239674771521</v>
      </c>
      <c r="L7">
        <f>'[9]183 Tons'!D70</f>
        <v>36.233321080667231</v>
      </c>
      <c r="M7">
        <f>'[9]183 Tons'!E70</f>
        <v>19.382704297636529</v>
      </c>
      <c r="N7">
        <f>'[9]183 Tons'!F70</f>
        <v>25.604192235308947</v>
      </c>
      <c r="O7">
        <f>'[9]183 Tons'!G70</f>
        <v>13.957297529528878</v>
      </c>
      <c r="P7" t="str">
        <f t="shared" si="0"/>
        <v>MRRec tons</v>
      </c>
      <c r="Q7">
        <f t="shared" si="1"/>
        <v>290.42181210419818</v>
      </c>
    </row>
    <row r="8" spans="1:22" x14ac:dyDescent="0.2">
      <c r="A8" t="s">
        <v>100</v>
      </c>
      <c r="C8" t="s">
        <v>59</v>
      </c>
      <c r="D8">
        <f>'[8]183 Tons'!H71</f>
        <v>47.363141034282812</v>
      </c>
      <c r="E8">
        <f>'[8]183 Tons'!I71</f>
        <v>34.82381220578511</v>
      </c>
      <c r="F8">
        <f>'[8]183 Tons'!J71</f>
        <v>25.826022378648901</v>
      </c>
      <c r="G8">
        <f>'[8]183 Tons'!K71</f>
        <v>17.858482751558878</v>
      </c>
      <c r="H8">
        <f>'[8]183 Tons'!L71</f>
        <v>22.562601002889018</v>
      </c>
      <c r="I8">
        <f>'[8]183 Tons'!M71</f>
        <v>19.733911200010951</v>
      </c>
      <c r="J8">
        <f>'[8]183 Tons'!N71</f>
        <v>28.713713242549328</v>
      </c>
      <c r="K8">
        <f>'[8]183 Tons'!O71</f>
        <v>23.67</v>
      </c>
      <c r="L8">
        <f>'[9]183 Tons'!D71</f>
        <v>12.411954884086606</v>
      </c>
      <c r="M8">
        <f>'[9]183 Tons'!E71</f>
        <v>7.3952899424005816</v>
      </c>
      <c r="N8">
        <f>'[9]183 Tons'!F71</f>
        <v>14.603909254150141</v>
      </c>
      <c r="O8">
        <f>'[9]183 Tons'!G71</f>
        <v>35.220839409462606</v>
      </c>
      <c r="P8" t="str">
        <f t="shared" si="0"/>
        <v xml:space="preserve">MRYW tons </v>
      </c>
      <c r="Q8">
        <f t="shared" si="1"/>
        <v>290.18367730582497</v>
      </c>
    </row>
    <row r="9" spans="1:22" x14ac:dyDescent="0.2">
      <c r="A9" t="s">
        <v>55</v>
      </c>
      <c r="B9" t="s">
        <v>61</v>
      </c>
      <c r="C9" t="s">
        <v>56</v>
      </c>
      <c r="D9">
        <f>'[8]183 Tons'!H90</f>
        <v>4680</v>
      </c>
      <c r="E9">
        <f>'[8]183 Tons'!I90</f>
        <v>4687</v>
      </c>
      <c r="F9">
        <f>'[8]183 Tons'!J90</f>
        <v>2775</v>
      </c>
      <c r="G9">
        <f>'[8]183 Tons'!K90</f>
        <v>2788</v>
      </c>
      <c r="H9">
        <f>'[8]183 Tons'!L90</f>
        <v>2801</v>
      </c>
      <c r="I9">
        <f>'[8]183 Tons'!M90</f>
        <v>2813</v>
      </c>
      <c r="J9">
        <f>'[8]183 Tons'!N90</f>
        <v>2766</v>
      </c>
      <c r="K9">
        <f>'[8]183 Tons'!O90</f>
        <v>2807</v>
      </c>
      <c r="L9">
        <f>'[9]183 Tons'!D90</f>
        <v>2781</v>
      </c>
      <c r="M9">
        <f>'[9]183 Tons'!E90</f>
        <v>2783</v>
      </c>
      <c r="N9">
        <f>'[9]183 Tons'!F90</f>
        <v>2825</v>
      </c>
      <c r="O9">
        <f>'[9]183 Tons'!G90</f>
        <v>2797</v>
      </c>
      <c r="P9" t="str">
        <f t="shared" si="0"/>
        <v>RREC cust</v>
      </c>
      <c r="Q9">
        <f t="shared" si="1"/>
        <v>37303</v>
      </c>
    </row>
    <row r="10" spans="1:22" x14ac:dyDescent="0.2">
      <c r="A10" t="s">
        <v>55</v>
      </c>
      <c r="C10" t="s">
        <v>57</v>
      </c>
      <c r="D10">
        <f>'[8]183 Tons'!H91</f>
        <v>2516</v>
      </c>
      <c r="E10">
        <f>'[8]183 Tons'!I91</f>
        <v>2539</v>
      </c>
      <c r="F10">
        <f>'[8]183 Tons'!J91</f>
        <v>1380</v>
      </c>
      <c r="G10">
        <f>'[8]183 Tons'!K91</f>
        <v>1378</v>
      </c>
      <c r="H10">
        <f>'[8]183 Tons'!L91</f>
        <v>1373</v>
      </c>
      <c r="I10">
        <f>'[8]183 Tons'!M91</f>
        <v>1366</v>
      </c>
      <c r="J10">
        <f>'[8]183 Tons'!N91</f>
        <v>1345</v>
      </c>
      <c r="K10">
        <f>'[8]183 Tons'!O91</f>
        <v>1352</v>
      </c>
      <c r="L10">
        <f>'[9]183 Tons'!D91</f>
        <v>1331</v>
      </c>
      <c r="M10">
        <f>'[9]183 Tons'!E91</f>
        <v>1324</v>
      </c>
      <c r="N10">
        <f>'[9]183 Tons'!F91</f>
        <v>1345</v>
      </c>
      <c r="O10">
        <f>'[9]183 Tons'!G91</f>
        <v>1353</v>
      </c>
      <c r="P10" t="str">
        <f t="shared" si="0"/>
        <v>RYW cust</v>
      </c>
      <c r="Q10">
        <f t="shared" si="1"/>
        <v>18602</v>
      </c>
    </row>
    <row r="11" spans="1:22" x14ac:dyDescent="0.2">
      <c r="A11" t="s">
        <v>55</v>
      </c>
      <c r="D11">
        <f>'[8]183 Tons'!H92</f>
        <v>0</v>
      </c>
      <c r="E11">
        <f>'[8]183 Tons'!I92</f>
        <v>0</v>
      </c>
      <c r="F11">
        <f>'[8]183 Tons'!J92</f>
        <v>0</v>
      </c>
      <c r="G11">
        <f>'[8]183 Tons'!K92</f>
        <v>0</v>
      </c>
      <c r="H11">
        <f>'[8]183 Tons'!L92</f>
        <v>0</v>
      </c>
      <c r="I11">
        <f>'[8]183 Tons'!M92</f>
        <v>0</v>
      </c>
      <c r="J11">
        <f>'[8]183 Tons'!N92</f>
        <v>0</v>
      </c>
      <c r="K11">
        <f>'[8]183 Tons'!O92</f>
        <v>0</v>
      </c>
      <c r="L11">
        <f>'[9]183 Tons'!D92</f>
        <v>0</v>
      </c>
      <c r="M11">
        <f>'[9]183 Tons'!E92</f>
        <v>0</v>
      </c>
      <c r="N11">
        <f>'[9]183 Tons'!F92</f>
        <v>0</v>
      </c>
      <c r="O11">
        <f>'[9]183 Tons'!G92</f>
        <v>0</v>
      </c>
      <c r="P11" t="str">
        <f t="shared" si="0"/>
        <v>R</v>
      </c>
      <c r="Q11">
        <f t="shared" si="1"/>
        <v>0</v>
      </c>
    </row>
    <row r="12" spans="1:22" x14ac:dyDescent="0.2">
      <c r="A12" t="s">
        <v>55</v>
      </c>
      <c r="C12" t="s">
        <v>60</v>
      </c>
      <c r="D12">
        <f>'[8]183 Tons'!H93</f>
        <v>283.18807715632857</v>
      </c>
      <c r="E12">
        <f>'[8]183 Tons'!I93</f>
        <v>260.26921728364908</v>
      </c>
      <c r="F12">
        <f>'[8]183 Tons'!J93</f>
        <v>185.76449795411443</v>
      </c>
      <c r="G12">
        <f>'[8]183 Tons'!K93</f>
        <v>203.55413831745287</v>
      </c>
      <c r="H12">
        <f>'[8]183 Tons'!L93</f>
        <v>176.43562141189753</v>
      </c>
      <c r="I12">
        <f>'[8]183 Tons'!M93</f>
        <v>164.17070426114915</v>
      </c>
      <c r="J12">
        <f>'[8]183 Tons'!N93</f>
        <v>158.76142593198219</v>
      </c>
      <c r="K12">
        <f>'[8]183 Tons'!O93</f>
        <v>168.94871550087601</v>
      </c>
      <c r="L12">
        <f>'[9]183 Tons'!D93</f>
        <v>172.64923740860823</v>
      </c>
      <c r="M12">
        <f>'[9]183 Tons'!E93</f>
        <v>146.90342810455621</v>
      </c>
      <c r="N12">
        <f>'[9]183 Tons'!F93</f>
        <v>150.07156422350894</v>
      </c>
      <c r="O12">
        <f>'[9]183 Tons'!G93</f>
        <v>188.80191596138209</v>
      </c>
      <c r="P12" t="str">
        <f t="shared" si="0"/>
        <v>RMSW tons</v>
      </c>
      <c r="Q12">
        <f>SUM(D12:O12)</f>
        <v>2259.5185435155058</v>
      </c>
    </row>
    <row r="13" spans="1:22" x14ac:dyDescent="0.2">
      <c r="A13" t="s">
        <v>55</v>
      </c>
      <c r="C13" t="s">
        <v>58</v>
      </c>
      <c r="D13">
        <f>'[8]183 Tons'!H94</f>
        <v>113.90237109317114</v>
      </c>
      <c r="E13">
        <f>'[8]183 Tons'!I94</f>
        <v>102.82131066216978</v>
      </c>
      <c r="F13">
        <f>'[8]183 Tons'!J94</f>
        <v>80.98035695052026</v>
      </c>
      <c r="G13">
        <f>'[8]183 Tons'!K94</f>
        <v>66.537661760799708</v>
      </c>
      <c r="H13">
        <f>'[8]183 Tons'!L94</f>
        <v>66.439141955297913</v>
      </c>
      <c r="I13">
        <f>'[8]183 Tons'!M94</f>
        <v>63.38973304910278</v>
      </c>
      <c r="J13">
        <f>'[8]183 Tons'!N94</f>
        <v>67.275243827380493</v>
      </c>
      <c r="K13">
        <f>'[8]183 Tons'!O94</f>
        <v>86.684350556423297</v>
      </c>
      <c r="L13">
        <f>'[9]183 Tons'!D94</f>
        <v>91.787145573581455</v>
      </c>
      <c r="M13">
        <f>'[9]183 Tons'!E94</f>
        <v>59.935177328212916</v>
      </c>
      <c r="N13">
        <f>'[9]183 Tons'!F94</f>
        <v>64.423285663727654</v>
      </c>
      <c r="O13">
        <f>'[9]183 Tons'!G94</f>
        <v>61.744007261304617</v>
      </c>
      <c r="P13" t="str">
        <f t="shared" si="0"/>
        <v>RRec tons</v>
      </c>
      <c r="Q13">
        <f t="shared" si="1"/>
        <v>925.91978568169202</v>
      </c>
    </row>
    <row r="14" spans="1:22" x14ac:dyDescent="0.2">
      <c r="A14" t="s">
        <v>55</v>
      </c>
      <c r="C14" t="s">
        <v>59</v>
      </c>
      <c r="D14">
        <f>'[8]183 Tons'!H95</f>
        <v>274.72472904755136</v>
      </c>
      <c r="E14">
        <f>'[8]183 Tons'!I95</f>
        <v>234.2520055662568</v>
      </c>
      <c r="F14">
        <f>'[8]183 Tons'!J95</f>
        <v>82.44596036493347</v>
      </c>
      <c r="G14">
        <f>'[8]183 Tons'!K95</f>
        <v>58.641846972485695</v>
      </c>
      <c r="H14">
        <f>'[8]183 Tons'!L95</f>
        <v>77.678387337640828</v>
      </c>
      <c r="I14">
        <f>'[8]183 Tons'!M95</f>
        <v>80.582325041643188</v>
      </c>
      <c r="J14">
        <f>'[8]183 Tons'!N95</f>
        <v>72.13572364937842</v>
      </c>
      <c r="K14">
        <f>'[8]183 Tons'!O95</f>
        <v>33.627498873429012</v>
      </c>
      <c r="L14">
        <f>'[9]183 Tons'!D95</f>
        <v>35.595265492347721</v>
      </c>
      <c r="M14">
        <f>'[9]183 Tons'!E95</f>
        <v>21.507459907032942</v>
      </c>
      <c r="N14">
        <f>'[9]183 Tons'!F95</f>
        <v>51.513649009384856</v>
      </c>
      <c r="O14">
        <f>'[9]183 Tons'!G95</f>
        <v>131.32009336358507</v>
      </c>
      <c r="P14" t="str">
        <f t="shared" si="0"/>
        <v xml:space="preserve">RYW tons </v>
      </c>
      <c r="Q14">
        <f t="shared" si="1"/>
        <v>1154.0249446256694</v>
      </c>
    </row>
    <row r="15" spans="1:22" x14ac:dyDescent="0.2">
      <c r="A15" t="s">
        <v>55</v>
      </c>
      <c r="B15" t="s">
        <v>62</v>
      </c>
      <c r="C15" t="s">
        <v>56</v>
      </c>
      <c r="D15">
        <f>'[8]183 Tons'!H114</f>
        <v>0</v>
      </c>
      <c r="E15">
        <f>'[8]183 Tons'!I114</f>
        <v>0</v>
      </c>
      <c r="F15">
        <f>'[8]183 Tons'!J114</f>
        <v>1843</v>
      </c>
      <c r="G15">
        <f>'[8]183 Tons'!K114</f>
        <v>1882</v>
      </c>
      <c r="H15">
        <f>'[8]183 Tons'!L114</f>
        <v>1846</v>
      </c>
      <c r="I15">
        <f>'[8]183 Tons'!M114</f>
        <v>1855</v>
      </c>
      <c r="J15">
        <f>'[8]183 Tons'!N114</f>
        <v>1843</v>
      </c>
      <c r="K15">
        <f>'[8]183 Tons'!O114</f>
        <v>1845</v>
      </c>
      <c r="L15">
        <f>'[9]183 Tons'!D114</f>
        <v>1817</v>
      </c>
      <c r="M15">
        <f>'[9]183 Tons'!E114</f>
        <v>1837</v>
      </c>
      <c r="N15">
        <f>'[9]183 Tons'!F114</f>
        <v>1847</v>
      </c>
      <c r="O15">
        <f>'[9]183 Tons'!G114</f>
        <v>1816</v>
      </c>
      <c r="P15" t="str">
        <f t="shared" si="0"/>
        <v>RREC cust</v>
      </c>
      <c r="Q15">
        <f t="shared" si="1"/>
        <v>18431</v>
      </c>
    </row>
    <row r="16" spans="1:22" x14ac:dyDescent="0.2">
      <c r="A16" t="s">
        <v>55</v>
      </c>
      <c r="C16" t="s">
        <v>57</v>
      </c>
      <c r="D16">
        <f>'[8]183 Tons'!H115</f>
        <v>0</v>
      </c>
      <c r="E16">
        <f>'[8]183 Tons'!I115</f>
        <v>0</v>
      </c>
      <c r="F16">
        <f>'[8]183 Tons'!J115</f>
        <v>1141</v>
      </c>
      <c r="G16">
        <f>'[8]183 Tons'!K115</f>
        <v>1171</v>
      </c>
      <c r="H16">
        <f>'[8]183 Tons'!L115</f>
        <v>1155</v>
      </c>
      <c r="I16">
        <f>'[8]183 Tons'!M115</f>
        <v>1158</v>
      </c>
      <c r="J16">
        <f>'[8]183 Tons'!N115</f>
        <v>1143</v>
      </c>
      <c r="K16">
        <f>'[8]183 Tons'!O115</f>
        <v>1139</v>
      </c>
      <c r="L16">
        <f>'[9]183 Tons'!D115</f>
        <v>1126</v>
      </c>
      <c r="M16">
        <f>'[9]183 Tons'!E115</f>
        <v>1128</v>
      </c>
      <c r="N16">
        <f>'[9]183 Tons'!F115</f>
        <v>1134</v>
      </c>
      <c r="O16">
        <f>'[9]183 Tons'!G115</f>
        <v>1130</v>
      </c>
      <c r="P16" t="str">
        <f t="shared" si="0"/>
        <v>RYW cust</v>
      </c>
      <c r="Q16">
        <f t="shared" si="1"/>
        <v>11425</v>
      </c>
    </row>
    <row r="17" spans="1:17" x14ac:dyDescent="0.2">
      <c r="A17" t="s">
        <v>55</v>
      </c>
      <c r="D17">
        <f>'[8]183 Tons'!H116</f>
        <v>0</v>
      </c>
      <c r="E17">
        <f>'[8]183 Tons'!I116</f>
        <v>0</v>
      </c>
      <c r="F17">
        <f>'[8]183 Tons'!J116</f>
        <v>0</v>
      </c>
      <c r="G17">
        <f>'[8]183 Tons'!K116</f>
        <v>0</v>
      </c>
      <c r="H17">
        <f>'[8]183 Tons'!L116</f>
        <v>0</v>
      </c>
      <c r="I17">
        <f>'[8]183 Tons'!M116</f>
        <v>0</v>
      </c>
      <c r="J17">
        <f>'[8]183 Tons'!N116</f>
        <v>0</v>
      </c>
      <c r="K17">
        <f>'[8]183 Tons'!O116</f>
        <v>0</v>
      </c>
      <c r="L17">
        <f>'[9]183 Tons'!D116</f>
        <v>0</v>
      </c>
      <c r="M17">
        <f>'[9]183 Tons'!E116</f>
        <v>0</v>
      </c>
      <c r="N17">
        <f>'[9]183 Tons'!F116</f>
        <v>0</v>
      </c>
      <c r="O17">
        <f>'[9]183 Tons'!G116</f>
        <v>0</v>
      </c>
      <c r="P17" t="str">
        <f t="shared" si="0"/>
        <v>R</v>
      </c>
      <c r="Q17">
        <f t="shared" si="1"/>
        <v>0</v>
      </c>
    </row>
    <row r="18" spans="1:17" x14ac:dyDescent="0.2">
      <c r="A18" t="s">
        <v>55</v>
      </c>
      <c r="C18" t="s">
        <v>60</v>
      </c>
      <c r="D18">
        <f>'[8]183 Tons'!H117</f>
        <v>0</v>
      </c>
      <c r="E18">
        <f>'[8]183 Tons'!I117</f>
        <v>0</v>
      </c>
      <c r="F18">
        <f>'[8]183 Tons'!J117</f>
        <v>116.96544418719576</v>
      </c>
      <c r="G18">
        <f>'[8]183 Tons'!K117</f>
        <v>110.24889202254715</v>
      </c>
      <c r="H18">
        <f>'[8]183 Tons'!L117</f>
        <v>116.6145957647115</v>
      </c>
      <c r="I18">
        <f>'[8]183 Tons'!M117</f>
        <v>109.74448933125618</v>
      </c>
      <c r="J18">
        <f>'[8]183 Tons'!N117</f>
        <v>89.650673741624175</v>
      </c>
      <c r="K18">
        <f>'[8]183 Tons'!O117</f>
        <v>104.77793880227583</v>
      </c>
      <c r="L18">
        <f>'[9]183 Tons'!D117</f>
        <v>95.086063151948153</v>
      </c>
      <c r="M18">
        <f>'[9]183 Tons'!E117</f>
        <v>83.804476708025121</v>
      </c>
      <c r="N18">
        <f>'[9]183 Tons'!F117</f>
        <v>99.679518895030569</v>
      </c>
      <c r="O18">
        <f>'[9]183 Tons'!G117</f>
        <v>102.59512925818971</v>
      </c>
      <c r="P18" t="str">
        <f t="shared" si="0"/>
        <v>RMSW tons</v>
      </c>
      <c r="Q18">
        <f t="shared" si="1"/>
        <v>1029.1672218628041</v>
      </c>
    </row>
    <row r="19" spans="1:17" x14ac:dyDescent="0.2">
      <c r="A19" t="s">
        <v>55</v>
      </c>
      <c r="C19" t="s">
        <v>58</v>
      </c>
      <c r="D19">
        <f>'[8]183 Tons'!H118</f>
        <v>0</v>
      </c>
      <c r="E19">
        <f>'[8]183 Tons'!I118</f>
        <v>0</v>
      </c>
      <c r="F19">
        <f>'[8]183 Tons'!J118</f>
        <v>69.115620527154149</v>
      </c>
      <c r="G19">
        <f>'[8]183 Tons'!K118</f>
        <v>46.61901420069298</v>
      </c>
      <c r="H19">
        <f>'[8]183 Tons'!L118</f>
        <v>45.805649800982032</v>
      </c>
      <c r="I19">
        <f>'[8]183 Tons'!M118</f>
        <v>46.505867590278925</v>
      </c>
      <c r="J19">
        <f>'[8]183 Tons'!N118</f>
        <v>48.717834194415708</v>
      </c>
      <c r="K19">
        <f>'[8]183 Tons'!O118</f>
        <v>72.566355137403946</v>
      </c>
      <c r="L19">
        <f>'[9]183 Tons'!D118</f>
        <v>58.749421922204192</v>
      </c>
      <c r="M19">
        <f>'[9]183 Tons'!E118</f>
        <v>48.263473044873543</v>
      </c>
      <c r="N19">
        <f>'[9]183 Tons'!F118</f>
        <v>51.483666914559649</v>
      </c>
      <c r="O19">
        <f>'[9]183 Tons'!G118</f>
        <v>41.50314170632538</v>
      </c>
      <c r="P19" t="str">
        <f t="shared" si="0"/>
        <v>RRec tons</v>
      </c>
      <c r="Q19">
        <f t="shared" si="1"/>
        <v>529.33004503889049</v>
      </c>
    </row>
    <row r="20" spans="1:17" x14ac:dyDescent="0.2">
      <c r="A20" t="s">
        <v>55</v>
      </c>
      <c r="C20" t="s">
        <v>59</v>
      </c>
      <c r="D20">
        <f>'[8]183 Tons'!H119</f>
        <v>0</v>
      </c>
      <c r="E20">
        <f>'[8]183 Tons'!I119</f>
        <v>0</v>
      </c>
      <c r="F20">
        <f>'[8]183 Tons'!J119</f>
        <v>102.01117020964162</v>
      </c>
      <c r="G20">
        <f>'[8]183 Tons'!K119</f>
        <v>75.783897716962173</v>
      </c>
      <c r="H20">
        <f>'[8]183 Tons'!L119</f>
        <v>88.621609840230363</v>
      </c>
      <c r="I20">
        <f>'[8]183 Tons'!M119</f>
        <v>102.03965419343695</v>
      </c>
      <c r="J20">
        <f>'[8]183 Tons'!N119</f>
        <v>106.31160771997628</v>
      </c>
      <c r="K20">
        <f>'[8]183 Tons'!O119</f>
        <v>39.368578063059623</v>
      </c>
      <c r="L20">
        <f>'[9]183 Tons'!D119</f>
        <v>40.962024117101777</v>
      </c>
      <c r="M20">
        <f>'[9]183 Tons'!E119</f>
        <v>22.5333803652649</v>
      </c>
      <c r="N20">
        <f>'[9]183 Tons'!F119</f>
        <v>81.546488675591178</v>
      </c>
      <c r="O20">
        <f>'[9]183 Tons'!G119</f>
        <v>128.60012629512605</v>
      </c>
      <c r="P20" t="str">
        <f t="shared" si="0"/>
        <v xml:space="preserve">RYW tons </v>
      </c>
      <c r="Q20">
        <f t="shared" si="1"/>
        <v>787.77853719639086</v>
      </c>
    </row>
    <row r="21" spans="1:17" x14ac:dyDescent="0.2">
      <c r="A21" t="s">
        <v>65</v>
      </c>
      <c r="B21" t="s">
        <v>63</v>
      </c>
      <c r="C21" t="s">
        <v>56</v>
      </c>
      <c r="D21">
        <f>'[8]183 Tons'!H139</f>
        <v>1908</v>
      </c>
      <c r="E21">
        <f>'[8]183 Tons'!I139</f>
        <v>1924</v>
      </c>
      <c r="F21">
        <f>'[8]183 Tons'!J139</f>
        <v>1912</v>
      </c>
      <c r="G21">
        <f>'[8]183 Tons'!K139</f>
        <v>1916</v>
      </c>
      <c r="H21">
        <f>'[8]183 Tons'!L139</f>
        <v>1927</v>
      </c>
      <c r="I21">
        <f>'[8]183 Tons'!M139</f>
        <v>1932</v>
      </c>
      <c r="J21">
        <f>'[8]183 Tons'!N139</f>
        <v>1917</v>
      </c>
      <c r="K21">
        <f>'[8]183 Tons'!O139</f>
        <v>1924</v>
      </c>
      <c r="L21">
        <f>'[9]183 Tons'!D139</f>
        <v>1913</v>
      </c>
      <c r="M21">
        <f>'[9]183 Tons'!E139</f>
        <v>1914</v>
      </c>
      <c r="N21">
        <f>'[9]183 Tons'!F139</f>
        <v>1923</v>
      </c>
      <c r="O21">
        <f>'[9]183 Tons'!G139</f>
        <v>1927</v>
      </c>
      <c r="P21" t="str">
        <f t="shared" si="0"/>
        <v>NRREC cust</v>
      </c>
      <c r="Q21">
        <f t="shared" si="1"/>
        <v>23037</v>
      </c>
    </row>
    <row r="22" spans="1:17" x14ac:dyDescent="0.2">
      <c r="A22" t="s">
        <v>65</v>
      </c>
      <c r="C22" t="s">
        <v>57</v>
      </c>
      <c r="D22">
        <f>'[8]183 Tons'!H140</f>
        <v>1170</v>
      </c>
      <c r="E22">
        <f>'[8]183 Tons'!I140</f>
        <v>1188</v>
      </c>
      <c r="F22">
        <f>'[8]183 Tons'!J140</f>
        <v>1186</v>
      </c>
      <c r="G22">
        <f>'[8]183 Tons'!K140</f>
        <v>1196</v>
      </c>
      <c r="H22">
        <f>'[8]183 Tons'!L140</f>
        <v>1198</v>
      </c>
      <c r="I22">
        <f>'[8]183 Tons'!M140</f>
        <v>1205</v>
      </c>
      <c r="J22">
        <f>'[8]183 Tons'!N140</f>
        <v>1196</v>
      </c>
      <c r="K22">
        <f>'[8]183 Tons'!O140</f>
        <v>1195</v>
      </c>
      <c r="L22">
        <f>'[9]183 Tons'!D140</f>
        <v>1182</v>
      </c>
      <c r="M22">
        <f>'[9]183 Tons'!E140</f>
        <v>1184</v>
      </c>
      <c r="N22">
        <f>'[9]183 Tons'!F140</f>
        <v>1197</v>
      </c>
      <c r="O22">
        <f>'[9]183 Tons'!G140</f>
        <v>1206</v>
      </c>
      <c r="P22" t="str">
        <f t="shared" si="0"/>
        <v>NRYW cust</v>
      </c>
      <c r="Q22">
        <f t="shared" si="1"/>
        <v>14303</v>
      </c>
    </row>
    <row r="23" spans="1:17" x14ac:dyDescent="0.2">
      <c r="A23" t="s">
        <v>65</v>
      </c>
      <c r="D23">
        <f>'[8]183 Tons'!H141</f>
        <v>0</v>
      </c>
      <c r="E23">
        <f>'[8]183 Tons'!I141</f>
        <v>0</v>
      </c>
      <c r="F23">
        <f>'[8]183 Tons'!J141</f>
        <v>0</v>
      </c>
      <c r="G23">
        <f>'[8]183 Tons'!K141</f>
        <v>0</v>
      </c>
      <c r="H23">
        <f>'[8]183 Tons'!L141</f>
        <v>0</v>
      </c>
      <c r="I23">
        <f>'[8]183 Tons'!M141</f>
        <v>0</v>
      </c>
      <c r="J23">
        <f>'[8]183 Tons'!N141</f>
        <v>0</v>
      </c>
      <c r="K23">
        <f>'[8]183 Tons'!O141</f>
        <v>0</v>
      </c>
      <c r="L23">
        <f>'[9]183 Tons'!D141</f>
        <v>0</v>
      </c>
      <c r="M23">
        <f>'[9]183 Tons'!E141</f>
        <v>0</v>
      </c>
      <c r="N23">
        <f>'[9]183 Tons'!F141</f>
        <v>0</v>
      </c>
      <c r="O23">
        <f>'[9]183 Tons'!G141</f>
        <v>0</v>
      </c>
      <c r="P23" t="str">
        <f t="shared" si="0"/>
        <v>NR</v>
      </c>
      <c r="Q23">
        <f t="shared" si="1"/>
        <v>0</v>
      </c>
    </row>
    <row r="24" spans="1:17" x14ac:dyDescent="0.2">
      <c r="A24" t="s">
        <v>65</v>
      </c>
      <c r="C24" t="s">
        <v>60</v>
      </c>
      <c r="D24">
        <f>'[8]183 Tons'!H142</f>
        <v>103.60301462209382</v>
      </c>
      <c r="E24">
        <f>'[8]183 Tons'!I142</f>
        <v>94.281509152369679</v>
      </c>
      <c r="F24">
        <f>'[8]183 Tons'!J142</f>
        <v>123.67179199476534</v>
      </c>
      <c r="G24">
        <f>'[8]183 Tons'!K142</f>
        <v>43.751528204573347</v>
      </c>
      <c r="H24">
        <f>'[8]183 Tons'!L142</f>
        <v>45.162046604486939</v>
      </c>
      <c r="I24">
        <f>'[8]183 Tons'!M142</f>
        <v>114.97186789255313</v>
      </c>
      <c r="J24">
        <f>'[8]183 Tons'!N142</f>
        <v>95.114970929042983</v>
      </c>
      <c r="K24">
        <f>'[8]183 Tons'!O142</f>
        <v>112.70779691683407</v>
      </c>
      <c r="L24">
        <f>'[9]183 Tons'!D142</f>
        <v>97.918200566762479</v>
      </c>
      <c r="M24">
        <f>'[9]183 Tons'!E142</f>
        <v>72.763468856900417</v>
      </c>
      <c r="N24">
        <f>'[9]183 Tons'!F142</f>
        <v>71.647697932595122</v>
      </c>
      <c r="O24">
        <f>'[9]183 Tons'!G142</f>
        <v>104.66808939408629</v>
      </c>
      <c r="P24" t="str">
        <f t="shared" si="0"/>
        <v>NRMSW tons</v>
      </c>
      <c r="Q24">
        <f t="shared" si="1"/>
        <v>1080.2619830670637</v>
      </c>
    </row>
    <row r="25" spans="1:17" x14ac:dyDescent="0.2">
      <c r="A25" t="s">
        <v>65</v>
      </c>
      <c r="C25" t="s">
        <v>58</v>
      </c>
      <c r="D25">
        <f>'[8]183 Tons'!H143</f>
        <v>67.936571667558809</v>
      </c>
      <c r="E25">
        <f>'[8]183 Tons'!I143</f>
        <v>57.541109505769732</v>
      </c>
      <c r="F25">
        <f>'[8]183 Tons'!J143</f>
        <v>53.5607891694968</v>
      </c>
      <c r="G25">
        <f>'[8]183 Tons'!K143</f>
        <v>50.856765554839178</v>
      </c>
      <c r="H25">
        <f>'[8]183 Tons'!L143</f>
        <v>53.748029422856192</v>
      </c>
      <c r="I25">
        <f>'[8]183 Tons'!M143</f>
        <v>73.055328494305812</v>
      </c>
      <c r="J25">
        <f>'[8]183 Tons'!N143</f>
        <v>56.518589788367947</v>
      </c>
      <c r="K25">
        <f>'[8]183 Tons'!O143</f>
        <v>59.369223039463712</v>
      </c>
      <c r="L25">
        <f>'[9]183 Tons'!D143</f>
        <v>57.955126414445097</v>
      </c>
      <c r="M25">
        <f>'[9]183 Tons'!E143</f>
        <v>48.022940406872458</v>
      </c>
      <c r="N25">
        <f>'[9]183 Tons'!F143</f>
        <v>60.61142528243775</v>
      </c>
      <c r="O25">
        <f>'[9]183 Tons'!G143</f>
        <v>77.594354174969553</v>
      </c>
      <c r="P25" t="str">
        <f t="shared" si="0"/>
        <v>NRRec tons</v>
      </c>
      <c r="Q25">
        <f t="shared" si="1"/>
        <v>716.77025292138296</v>
      </c>
    </row>
    <row r="26" spans="1:17" x14ac:dyDescent="0.2">
      <c r="A26" t="s">
        <v>65</v>
      </c>
      <c r="C26" t="s">
        <v>59</v>
      </c>
      <c r="D26">
        <f>'[8]183 Tons'!H144</f>
        <v>109.42224740352515</v>
      </c>
      <c r="E26">
        <f>'[8]183 Tons'!I144</f>
        <v>105.52473714401782</v>
      </c>
      <c r="F26">
        <f>'[8]183 Tons'!J144</f>
        <v>122.60418348118277</v>
      </c>
      <c r="G26">
        <f>'[8]183 Tons'!K144</f>
        <v>71.204807719966624</v>
      </c>
      <c r="H26">
        <f>'[8]183 Tons'!L144</f>
        <v>70.746074286960607</v>
      </c>
      <c r="I26">
        <f>'[8]183 Tons'!M144</f>
        <v>75.238218974998119</v>
      </c>
      <c r="J26">
        <f>'[8]183 Tons'!N144</f>
        <v>86.464389612408041</v>
      </c>
      <c r="K26">
        <f>'[8]183 Tons'!O144</f>
        <v>70.279498030945661</v>
      </c>
      <c r="L26">
        <f>'[9]183 Tons'!D144</f>
        <v>67.663617219416906</v>
      </c>
      <c r="M26">
        <f>'[9]183 Tons'!E144</f>
        <v>38.678726536064801</v>
      </c>
      <c r="N26">
        <f>'[9]183 Tons'!F144</f>
        <v>89.241100816308247</v>
      </c>
      <c r="O26">
        <f>'[9]183 Tons'!G144</f>
        <v>108.68455227416295</v>
      </c>
      <c r="P26" t="str">
        <f t="shared" si="0"/>
        <v xml:space="preserve">NRYW tons </v>
      </c>
      <c r="Q26">
        <f t="shared" si="1"/>
        <v>1015.7521534999576</v>
      </c>
    </row>
    <row r="27" spans="1:17" x14ac:dyDescent="0.2">
      <c r="A27" t="s">
        <v>100</v>
      </c>
      <c r="B27" t="s">
        <v>64</v>
      </c>
      <c r="C27" t="s">
        <v>56</v>
      </c>
      <c r="D27">
        <f>'[8]183 Tons'!H164</f>
        <v>1697</v>
      </c>
      <c r="E27">
        <f>'[8]183 Tons'!I164</f>
        <v>1715</v>
      </c>
      <c r="F27">
        <f>'[8]183 Tons'!J164</f>
        <v>1687</v>
      </c>
      <c r="G27">
        <f>'[8]183 Tons'!K164</f>
        <v>1706</v>
      </c>
      <c r="H27">
        <f>'[8]183 Tons'!L164</f>
        <v>1791</v>
      </c>
      <c r="I27">
        <f>'[8]183 Tons'!M164</f>
        <v>1797</v>
      </c>
      <c r="J27">
        <f>'[8]183 Tons'!N164</f>
        <v>1776</v>
      </c>
      <c r="K27">
        <f>'[8]183 Tons'!O164</f>
        <v>1795</v>
      </c>
      <c r="L27">
        <f>'[9]183 Tons'!D164</f>
        <v>1759</v>
      </c>
      <c r="M27">
        <f>'[9]183 Tons'!E164</f>
        <v>1780</v>
      </c>
      <c r="N27">
        <f>'[9]183 Tons'!F164</f>
        <v>1802</v>
      </c>
      <c r="O27">
        <f>'[9]183 Tons'!G164</f>
        <v>1766</v>
      </c>
      <c r="P27" t="str">
        <f t="shared" si="0"/>
        <v>MRREC cust</v>
      </c>
      <c r="Q27">
        <f t="shared" si="1"/>
        <v>21071</v>
      </c>
    </row>
    <row r="28" spans="1:17" x14ac:dyDescent="0.2">
      <c r="A28" t="s">
        <v>100</v>
      </c>
      <c r="C28" t="s">
        <v>57</v>
      </c>
      <c r="D28">
        <f>'[8]183 Tons'!H165</f>
        <v>842</v>
      </c>
      <c r="E28">
        <f>'[8]183 Tons'!I165</f>
        <v>855</v>
      </c>
      <c r="F28">
        <f>'[8]183 Tons'!J165</f>
        <v>845</v>
      </c>
      <c r="G28">
        <f>'[8]183 Tons'!K165</f>
        <v>854</v>
      </c>
      <c r="H28">
        <f>'[8]183 Tons'!L165</f>
        <v>876</v>
      </c>
      <c r="I28">
        <f>'[8]183 Tons'!M165</f>
        <v>877</v>
      </c>
      <c r="J28">
        <f>'[8]183 Tons'!N165</f>
        <v>868</v>
      </c>
      <c r="K28">
        <f>'[8]183 Tons'!O165</f>
        <v>879</v>
      </c>
      <c r="L28">
        <f>'[9]183 Tons'!D165</f>
        <v>864</v>
      </c>
      <c r="M28">
        <f>'[9]183 Tons'!E165</f>
        <v>865</v>
      </c>
      <c r="N28">
        <f>'[9]183 Tons'!F165</f>
        <v>873</v>
      </c>
      <c r="O28">
        <f>'[9]183 Tons'!G165</f>
        <v>873</v>
      </c>
      <c r="P28" t="str">
        <f t="shared" si="0"/>
        <v>MRYW cust</v>
      </c>
      <c r="Q28">
        <f t="shared" si="1"/>
        <v>10371</v>
      </c>
    </row>
    <row r="29" spans="1:17" x14ac:dyDescent="0.2">
      <c r="A29" t="s">
        <v>100</v>
      </c>
      <c r="D29">
        <f>'[8]183 Tons'!H166</f>
        <v>0</v>
      </c>
      <c r="E29">
        <f>'[8]183 Tons'!I166</f>
        <v>0</v>
      </c>
      <c r="F29">
        <f>'[8]183 Tons'!J166</f>
        <v>0</v>
      </c>
      <c r="G29">
        <f>'[8]183 Tons'!K166</f>
        <v>0</v>
      </c>
      <c r="H29">
        <f>'[8]183 Tons'!L166</f>
        <v>0</v>
      </c>
      <c r="I29">
        <f>'[8]183 Tons'!M166</f>
        <v>0</v>
      </c>
      <c r="J29">
        <f>'[8]183 Tons'!N166</f>
        <v>0</v>
      </c>
      <c r="K29">
        <f>'[8]183 Tons'!O166</f>
        <v>0</v>
      </c>
      <c r="L29">
        <f>'[9]183 Tons'!D166</f>
        <v>0</v>
      </c>
      <c r="M29">
        <f>'[9]183 Tons'!E166</f>
        <v>0</v>
      </c>
      <c r="N29">
        <f>'[9]183 Tons'!F166</f>
        <v>0</v>
      </c>
      <c r="O29">
        <f>'[9]183 Tons'!G166</f>
        <v>0</v>
      </c>
      <c r="P29" t="str">
        <f t="shared" si="0"/>
        <v>MR</v>
      </c>
      <c r="Q29">
        <f t="shared" si="1"/>
        <v>0</v>
      </c>
    </row>
    <row r="30" spans="1:17" x14ac:dyDescent="0.2">
      <c r="A30" t="s">
        <v>100</v>
      </c>
      <c r="C30" t="s">
        <v>60</v>
      </c>
      <c r="D30">
        <f>'[8]183 Tons'!H167</f>
        <v>113.73132520415047</v>
      </c>
      <c r="E30">
        <f>'[8]183 Tons'!I167</f>
        <v>90.520560640027966</v>
      </c>
      <c r="F30">
        <f>'[8]183 Tons'!J167</f>
        <v>94.779928301445182</v>
      </c>
      <c r="G30">
        <f>'[8]183 Tons'!K167</f>
        <v>119.95287870800979</v>
      </c>
      <c r="H30">
        <f>'[8]183 Tons'!L167</f>
        <v>77.785049828307891</v>
      </c>
      <c r="I30">
        <f>'[8]183 Tons'!M167</f>
        <v>82.868635581311381</v>
      </c>
      <c r="J30">
        <f>'[8]183 Tons'!N167</f>
        <v>103.30804721923536</v>
      </c>
      <c r="K30">
        <f>'[8]183 Tons'!O167</f>
        <v>91.392123916948577</v>
      </c>
      <c r="L30">
        <f>'[9]183 Tons'!D167</f>
        <v>109.84873855719695</v>
      </c>
      <c r="M30">
        <f>'[9]183 Tons'!E167</f>
        <v>82.48011034077966</v>
      </c>
      <c r="N30">
        <f>'[9]183 Tons'!F167</f>
        <v>95.198021308166901</v>
      </c>
      <c r="O30">
        <f>'[9]183 Tons'!G167</f>
        <v>97.997762787529581</v>
      </c>
      <c r="P30" t="str">
        <f t="shared" si="0"/>
        <v>MRMSW tons</v>
      </c>
      <c r="Q30">
        <f t="shared" si="1"/>
        <v>1159.8631823931098</v>
      </c>
    </row>
    <row r="31" spans="1:17" x14ac:dyDescent="0.2">
      <c r="A31" t="s">
        <v>100</v>
      </c>
      <c r="C31" t="s">
        <v>58</v>
      </c>
      <c r="D31">
        <f>'[8]183 Tons'!H168</f>
        <v>39.399799824262601</v>
      </c>
      <c r="E31">
        <f>'[8]183 Tons'!I168</f>
        <v>34.446701863814859</v>
      </c>
      <c r="F31">
        <f>'[8]183 Tons'!J168</f>
        <v>43.747409304896841</v>
      </c>
      <c r="G31">
        <f>'[8]183 Tons'!K168</f>
        <v>57.587375496036529</v>
      </c>
      <c r="H31">
        <f>'[8]183 Tons'!L168</f>
        <v>40.312759247183529</v>
      </c>
      <c r="I31">
        <f>'[8]183 Tons'!M168</f>
        <v>44.688844030511497</v>
      </c>
      <c r="J31">
        <f>'[8]183 Tons'!N168</f>
        <v>33.112343506307504</v>
      </c>
      <c r="K31">
        <f>'[8]183 Tons'!O168</f>
        <v>40.41466877322263</v>
      </c>
      <c r="L31">
        <f>'[9]183 Tons'!D168</f>
        <v>61.825575557264507</v>
      </c>
      <c r="M31">
        <f>'[9]183 Tons'!E168</f>
        <v>41.363097254843296</v>
      </c>
      <c r="N31">
        <f>'[9]183 Tons'!F168</f>
        <v>42.591865190860439</v>
      </c>
      <c r="O31">
        <f>'[9]183 Tons'!G168</f>
        <v>41.342282137525672</v>
      </c>
      <c r="P31" t="str">
        <f t="shared" si="0"/>
        <v>MRRec tons</v>
      </c>
      <c r="Q31">
        <f t="shared" si="1"/>
        <v>520.83272218673005</v>
      </c>
    </row>
    <row r="32" spans="1:17" x14ac:dyDescent="0.2">
      <c r="A32" t="s">
        <v>100</v>
      </c>
      <c r="C32" t="s">
        <v>59</v>
      </c>
      <c r="D32">
        <f>'[8]183 Tons'!H169</f>
        <v>108.43094214245642</v>
      </c>
      <c r="E32">
        <f>'[8]183 Tons'!I169</f>
        <v>94.408659533963771</v>
      </c>
      <c r="F32">
        <f>'[8]183 Tons'!J169</f>
        <v>77.188912655032567</v>
      </c>
      <c r="G32">
        <f>'[8]183 Tons'!K169</f>
        <v>73.626310411118112</v>
      </c>
      <c r="H32">
        <f>'[8]183 Tons'!L169</f>
        <v>70.943413258170324</v>
      </c>
      <c r="I32">
        <f>'[8]183 Tons'!M169</f>
        <v>63.337172717544902</v>
      </c>
      <c r="J32">
        <f>'[8]183 Tons'!N169</f>
        <v>70.746790947887519</v>
      </c>
      <c r="K32">
        <f>'[8]183 Tons'!O169</f>
        <v>15.871614525210006</v>
      </c>
      <c r="L32">
        <f>'[9]183 Tons'!D169</f>
        <v>35.503172848173968</v>
      </c>
      <c r="M32">
        <f>'[9]183 Tons'!E169</f>
        <v>16.030663988397198</v>
      </c>
      <c r="N32">
        <f>'[9]183 Tons'!F169</f>
        <v>52.278048820761327</v>
      </c>
      <c r="O32">
        <f>'[9]183 Tons'!G169</f>
        <v>86.873200229531108</v>
      </c>
      <c r="P32" t="str">
        <f t="shared" si="0"/>
        <v xml:space="preserve">MRYW tons </v>
      </c>
      <c r="Q32">
        <f t="shared" si="1"/>
        <v>765.23890207824729</v>
      </c>
    </row>
    <row r="33" spans="1:17" x14ac:dyDescent="0.2">
      <c r="A33" t="s">
        <v>65</v>
      </c>
      <c r="B33" t="s">
        <v>66</v>
      </c>
      <c r="C33" t="s">
        <v>56</v>
      </c>
      <c r="D33">
        <f>'[8]183 Tons'!H188</f>
        <v>3925</v>
      </c>
      <c r="E33">
        <f>'[8]183 Tons'!I188</f>
        <v>3966</v>
      </c>
      <c r="F33">
        <f>'[8]183 Tons'!J188</f>
        <v>3929</v>
      </c>
      <c r="G33">
        <f>'[8]183 Tons'!K188</f>
        <v>3898</v>
      </c>
      <c r="H33">
        <f>'[8]183 Tons'!L188</f>
        <v>3958</v>
      </c>
      <c r="I33">
        <f>'[8]183 Tons'!M188</f>
        <v>3983</v>
      </c>
      <c r="J33">
        <f>'[8]183 Tons'!N188</f>
        <v>3906</v>
      </c>
      <c r="K33">
        <f>'[8]183 Tons'!O188</f>
        <v>3961</v>
      </c>
      <c r="L33">
        <f>'[9]183 Tons'!D188</f>
        <v>3925</v>
      </c>
      <c r="M33">
        <f>'[9]183 Tons'!E188</f>
        <v>3949</v>
      </c>
      <c r="N33">
        <f>'[9]183 Tons'!F188</f>
        <v>3998</v>
      </c>
      <c r="O33">
        <f>'[9]183 Tons'!G188</f>
        <v>3970</v>
      </c>
      <c r="P33" t="str">
        <f t="shared" si="0"/>
        <v>NRREC cust</v>
      </c>
      <c r="Q33">
        <f t="shared" si="1"/>
        <v>47368</v>
      </c>
    </row>
    <row r="34" spans="1:17" x14ac:dyDescent="0.2">
      <c r="A34" t="s">
        <v>65</v>
      </c>
      <c r="C34" t="s">
        <v>57</v>
      </c>
      <c r="D34">
        <f>'[8]183 Tons'!H189</f>
        <v>1381</v>
      </c>
      <c r="E34">
        <f>'[8]183 Tons'!I189</f>
        <v>1408</v>
      </c>
      <c r="F34">
        <f>'[8]183 Tons'!J189</f>
        <v>1414</v>
      </c>
      <c r="G34">
        <f>'[8]183 Tons'!K189</f>
        <v>1416</v>
      </c>
      <c r="H34">
        <f>'[8]183 Tons'!L189</f>
        <v>1427</v>
      </c>
      <c r="I34">
        <f>'[8]183 Tons'!M189</f>
        <v>1426</v>
      </c>
      <c r="J34">
        <f>'[8]183 Tons'!N189</f>
        <v>1392</v>
      </c>
      <c r="K34">
        <f>'[8]183 Tons'!O189</f>
        <v>1397</v>
      </c>
      <c r="L34">
        <f>'[9]183 Tons'!D189</f>
        <v>1394</v>
      </c>
      <c r="M34">
        <f>'[9]183 Tons'!E189</f>
        <v>1383</v>
      </c>
      <c r="N34">
        <f>'[9]183 Tons'!F189</f>
        <v>1427</v>
      </c>
      <c r="O34">
        <f>'[9]183 Tons'!G189</f>
        <v>1441</v>
      </c>
      <c r="P34" t="str">
        <f t="shared" si="0"/>
        <v>NRYW cust</v>
      </c>
      <c r="Q34">
        <f t="shared" si="1"/>
        <v>16906</v>
      </c>
    </row>
    <row r="35" spans="1:17" x14ac:dyDescent="0.2">
      <c r="A35" t="s">
        <v>65</v>
      </c>
      <c r="D35">
        <f>'[8]183 Tons'!H190</f>
        <v>0</v>
      </c>
      <c r="E35">
        <f>'[8]183 Tons'!I190</f>
        <v>0</v>
      </c>
      <c r="F35">
        <f>'[8]183 Tons'!J190</f>
        <v>0</v>
      </c>
      <c r="G35">
        <f>'[8]183 Tons'!K190</f>
        <v>0</v>
      </c>
      <c r="H35">
        <f>'[8]183 Tons'!L190</f>
        <v>0</v>
      </c>
      <c r="I35">
        <f>'[8]183 Tons'!M190</f>
        <v>0</v>
      </c>
      <c r="J35">
        <f>'[8]183 Tons'!N190</f>
        <v>0</v>
      </c>
      <c r="K35">
        <f>'[8]183 Tons'!O190</f>
        <v>0</v>
      </c>
      <c r="L35">
        <f>'[9]183 Tons'!D190</f>
        <v>0</v>
      </c>
      <c r="M35">
        <f>'[9]183 Tons'!E190</f>
        <v>0</v>
      </c>
      <c r="N35">
        <f>'[9]183 Tons'!F190</f>
        <v>0</v>
      </c>
      <c r="O35">
        <f>'[9]183 Tons'!G190</f>
        <v>0</v>
      </c>
      <c r="P35" t="str">
        <f t="shared" si="0"/>
        <v>NR</v>
      </c>
      <c r="Q35">
        <f t="shared" si="1"/>
        <v>0</v>
      </c>
    </row>
    <row r="36" spans="1:17" x14ac:dyDescent="0.2">
      <c r="A36" t="s">
        <v>65</v>
      </c>
      <c r="C36" t="s">
        <v>60</v>
      </c>
      <c r="D36">
        <f>'[8]183 Tons'!H191</f>
        <v>259.04472374043291</v>
      </c>
      <c r="E36">
        <f>'[8]183 Tons'!I191</f>
        <v>225.24289296399266</v>
      </c>
      <c r="F36">
        <f>'[8]183 Tons'!J191</f>
        <v>253.20379729947169</v>
      </c>
      <c r="G36">
        <f>'[8]183 Tons'!K191</f>
        <v>246.88619616610455</v>
      </c>
      <c r="H36">
        <f>'[8]183 Tons'!L191</f>
        <v>244.77674528096529</v>
      </c>
      <c r="I36">
        <f>'[8]183 Tons'!M191</f>
        <v>262.6622740401196</v>
      </c>
      <c r="J36">
        <f>'[8]183 Tons'!N191</f>
        <v>236.72075645855804</v>
      </c>
      <c r="K36">
        <f>'[8]183 Tons'!O191</f>
        <v>223.70602869188474</v>
      </c>
      <c r="L36">
        <f>'[9]183 Tons'!D191</f>
        <v>255.42843976876679</v>
      </c>
      <c r="M36">
        <f>'[9]183 Tons'!E191</f>
        <v>216.62312817016647</v>
      </c>
      <c r="N36">
        <f>'[9]183 Tons'!F191</f>
        <v>228.13502457427074</v>
      </c>
      <c r="O36">
        <f>'[9]183 Tons'!G191</f>
        <v>231.72458130923627</v>
      </c>
      <c r="P36" t="str">
        <f t="shared" si="0"/>
        <v>NRMSW tons</v>
      </c>
      <c r="Q36">
        <f t="shared" si="1"/>
        <v>2884.15458846397</v>
      </c>
    </row>
    <row r="37" spans="1:17" x14ac:dyDescent="0.2">
      <c r="A37" t="s">
        <v>65</v>
      </c>
      <c r="C37" t="s">
        <v>58</v>
      </c>
      <c r="D37">
        <f>'[8]183 Tons'!H192</f>
        <v>136.42431213469388</v>
      </c>
      <c r="E37">
        <f>'[8]183 Tons'!I192</f>
        <v>103.66091178320748</v>
      </c>
      <c r="F37">
        <f>'[8]183 Tons'!J192</f>
        <v>94.306179160652462</v>
      </c>
      <c r="G37">
        <f>'[8]183 Tons'!K192</f>
        <v>94.523015266549379</v>
      </c>
      <c r="H37">
        <f>'[8]183 Tons'!L192</f>
        <v>119.1997562700803</v>
      </c>
      <c r="I37">
        <f>'[8]183 Tons'!M192</f>
        <v>128.7954623327455</v>
      </c>
      <c r="J37">
        <f>'[8]183 Tons'!N192</f>
        <v>118.66879351254551</v>
      </c>
      <c r="K37">
        <f>'[8]183 Tons'!O192</f>
        <v>110.29520506491673</v>
      </c>
      <c r="L37">
        <f>'[9]183 Tons'!D192</f>
        <v>96.112200357212188</v>
      </c>
      <c r="M37">
        <f>'[9]183 Tons'!E192</f>
        <v>99.254644955392735</v>
      </c>
      <c r="N37">
        <f>'[9]183 Tons'!F192</f>
        <v>105.29809798231983</v>
      </c>
      <c r="O37">
        <f>'[9]183 Tons'!G192</f>
        <v>126.87932505046543</v>
      </c>
      <c r="P37" t="str">
        <f t="shared" si="0"/>
        <v>NRRec tons</v>
      </c>
      <c r="Q37">
        <f t="shared" si="1"/>
        <v>1333.4179038707814</v>
      </c>
    </row>
    <row r="38" spans="1:17" x14ac:dyDescent="0.2">
      <c r="A38" t="s">
        <v>65</v>
      </c>
      <c r="C38" t="s">
        <v>59</v>
      </c>
      <c r="D38">
        <f>'[8]183 Tons'!H193</f>
        <v>155.97178393516168</v>
      </c>
      <c r="E38">
        <f>'[8]183 Tons'!I193</f>
        <v>115.61905146819784</v>
      </c>
      <c r="F38">
        <f>'[8]183 Tons'!J193</f>
        <v>96.125379064709847</v>
      </c>
      <c r="G38">
        <f>'[8]183 Tons'!K193</f>
        <v>59.047982230237849</v>
      </c>
      <c r="H38">
        <f>'[8]183 Tons'!L193</f>
        <v>89.924036751727158</v>
      </c>
      <c r="I38">
        <f>'[8]183 Tons'!M193</f>
        <v>68.293374127918781</v>
      </c>
      <c r="J38">
        <f>'[8]183 Tons'!N193</f>
        <v>102.15660788654424</v>
      </c>
      <c r="K38">
        <f>'[8]183 Tons'!O193</f>
        <v>47.469837410391278</v>
      </c>
      <c r="L38">
        <f>'[9]183 Tons'!D193</f>
        <v>28.827535535272563</v>
      </c>
      <c r="M38">
        <f>'[9]183 Tons'!E193</f>
        <v>18.000979949678278</v>
      </c>
      <c r="N38">
        <f>'[9]183 Tons'!F193</f>
        <v>35.192655063540023</v>
      </c>
      <c r="O38">
        <f>'[9]183 Tons'!G193</f>
        <v>70.80028196623509</v>
      </c>
      <c r="P38" t="str">
        <f t="shared" si="0"/>
        <v xml:space="preserve">NRYW tons </v>
      </c>
      <c r="Q38">
        <f t="shared" si="1"/>
        <v>887.42950538961441</v>
      </c>
    </row>
    <row r="39" spans="1:17" x14ac:dyDescent="0.2">
      <c r="A39" s="319">
        <v>176</v>
      </c>
      <c r="B39" s="319"/>
      <c r="P39" t="str">
        <f t="shared" si="0"/>
        <v>176</v>
      </c>
      <c r="Q39">
        <f t="shared" si="1"/>
        <v>0</v>
      </c>
    </row>
    <row r="40" spans="1:17" x14ac:dyDescent="0.2">
      <c r="A40" t="s">
        <v>100</v>
      </c>
      <c r="B40" t="s">
        <v>67</v>
      </c>
      <c r="C40" t="s">
        <v>56</v>
      </c>
      <c r="D40">
        <f>'[10]176 Tons'!H66</f>
        <v>2652</v>
      </c>
      <c r="E40">
        <f>'[10]176 Tons'!I66</f>
        <v>2652</v>
      </c>
      <c r="F40">
        <f>'[10]176 Tons'!J66</f>
        <v>2638</v>
      </c>
      <c r="G40">
        <f>'[10]176 Tons'!K66</f>
        <v>2651</v>
      </c>
      <c r="H40">
        <f>'[10]176 Tons'!L66</f>
        <v>2719</v>
      </c>
      <c r="I40">
        <f>'[10]176 Tons'!M66</f>
        <v>2750</v>
      </c>
      <c r="J40">
        <f>'[10]176 Tons'!N66</f>
        <v>2729</v>
      </c>
      <c r="K40">
        <f>'[10]176 Tons'!O66</f>
        <v>2774</v>
      </c>
      <c r="L40">
        <f>'[11]176 Tons'!D66</f>
        <v>2756</v>
      </c>
      <c r="M40">
        <f>'[11]176 Tons'!E66</f>
        <v>2780</v>
      </c>
      <c r="N40">
        <f>'[11]176 Tons'!F66</f>
        <v>2802</v>
      </c>
      <c r="O40">
        <f>'[11]176 Tons'!G66</f>
        <v>2817</v>
      </c>
      <c r="P40" t="str">
        <f t="shared" si="0"/>
        <v>MRREC cust</v>
      </c>
      <c r="Q40">
        <f t="shared" si="1"/>
        <v>32720</v>
      </c>
    </row>
    <row r="41" spans="1:17" x14ac:dyDescent="0.2">
      <c r="A41" t="s">
        <v>100</v>
      </c>
      <c r="C41" t="s">
        <v>57</v>
      </c>
      <c r="D41">
        <f>'[10]176 Tons'!H67</f>
        <v>1210</v>
      </c>
      <c r="E41">
        <f>'[10]176 Tons'!I67</f>
        <v>1223</v>
      </c>
      <c r="F41">
        <f>'[10]176 Tons'!J67</f>
        <v>1229</v>
      </c>
      <c r="G41">
        <f>'[10]176 Tons'!K67</f>
        <v>1226</v>
      </c>
      <c r="H41">
        <f>'[10]176 Tons'!L67</f>
        <v>1243</v>
      </c>
      <c r="I41">
        <f>'[10]176 Tons'!M67</f>
        <v>1242</v>
      </c>
      <c r="J41">
        <f>'[10]176 Tons'!N67</f>
        <v>1222</v>
      </c>
      <c r="K41">
        <f>'[10]176 Tons'!O67</f>
        <v>1226</v>
      </c>
      <c r="L41">
        <f>'[11]176 Tons'!D67</f>
        <v>1208</v>
      </c>
      <c r="M41">
        <f>'[11]176 Tons'!E67</f>
        <v>1220</v>
      </c>
      <c r="N41">
        <f>'[11]176 Tons'!F67</f>
        <v>1230</v>
      </c>
      <c r="O41">
        <f>'[11]176 Tons'!G67</f>
        <v>1254</v>
      </c>
      <c r="P41" t="str">
        <f t="shared" si="0"/>
        <v>MRYW cust</v>
      </c>
      <c r="Q41">
        <f t="shared" si="1"/>
        <v>14733</v>
      </c>
    </row>
    <row r="42" spans="1:17" x14ac:dyDescent="0.2">
      <c r="A42" t="s">
        <v>100</v>
      </c>
      <c r="D42">
        <f>'[10]176 Tons'!H68</f>
        <v>0</v>
      </c>
      <c r="E42">
        <f>'[10]176 Tons'!I68</f>
        <v>0</v>
      </c>
      <c r="F42">
        <f>'[10]176 Tons'!J68</f>
        <v>0</v>
      </c>
      <c r="G42">
        <f>'[10]176 Tons'!K68</f>
        <v>0</v>
      </c>
      <c r="H42">
        <f>'[10]176 Tons'!L68</f>
        <v>0</v>
      </c>
      <c r="I42">
        <f>'[10]176 Tons'!M68</f>
        <v>0</v>
      </c>
      <c r="J42">
        <f>'[10]176 Tons'!N68</f>
        <v>0</v>
      </c>
      <c r="K42">
        <f>'[10]176 Tons'!O68</f>
        <v>0</v>
      </c>
      <c r="L42">
        <f>'[11]176 Tons'!D68</f>
        <v>0</v>
      </c>
      <c r="M42">
        <f>'[11]176 Tons'!E68</f>
        <v>0</v>
      </c>
      <c r="N42">
        <f>'[11]176 Tons'!F68</f>
        <v>0</v>
      </c>
      <c r="O42">
        <f>'[11]176 Tons'!G68</f>
        <v>0</v>
      </c>
      <c r="P42" t="str">
        <f t="shared" si="0"/>
        <v>MR</v>
      </c>
      <c r="Q42">
        <f t="shared" si="1"/>
        <v>0</v>
      </c>
    </row>
    <row r="43" spans="1:17" x14ac:dyDescent="0.2">
      <c r="A43" t="s">
        <v>100</v>
      </c>
      <c r="C43" t="s">
        <v>58</v>
      </c>
      <c r="D43">
        <f>'[10]176 Tons'!H69</f>
        <v>87.652281695923151</v>
      </c>
      <c r="E43">
        <f>'[10]176 Tons'!I69</f>
        <v>58.50757626326552</v>
      </c>
      <c r="F43">
        <f>'[10]176 Tons'!J69</f>
        <v>88.269284404372826</v>
      </c>
      <c r="G43">
        <f>'[10]176 Tons'!K69</f>
        <v>55.858525827438186</v>
      </c>
      <c r="H43">
        <f>'[10]176 Tons'!L69</f>
        <v>72.15380187439284</v>
      </c>
      <c r="I43">
        <f>'[10]176 Tons'!M69</f>
        <v>79.233895438574308</v>
      </c>
      <c r="J43">
        <f>'[10]176 Tons'!N69</f>
        <v>72.564870769657105</v>
      </c>
      <c r="K43">
        <f>'[10]176 Tons'!O69</f>
        <v>59.766389820307133</v>
      </c>
      <c r="L43">
        <f>'[11]176 Tons'!D69</f>
        <v>66.239527442239009</v>
      </c>
      <c r="M43">
        <f>'[11]176 Tons'!E69</f>
        <v>62.988523401211559</v>
      </c>
      <c r="N43">
        <f>'[11]176 Tons'!F69</f>
        <v>72.564406629869367</v>
      </c>
      <c r="O43">
        <f>'[11]176 Tons'!G69</f>
        <v>70.942858933109008</v>
      </c>
      <c r="P43" t="str">
        <f t="shared" si="0"/>
        <v>MRRec tons</v>
      </c>
      <c r="Q43">
        <f t="shared" si="1"/>
        <v>846.7419425003601</v>
      </c>
    </row>
    <row r="44" spans="1:17" x14ac:dyDescent="0.2">
      <c r="A44" t="s">
        <v>100</v>
      </c>
      <c r="C44" t="s">
        <v>59</v>
      </c>
      <c r="D44">
        <f>'[10]176 Tons'!H70</f>
        <v>123.56426850629202</v>
      </c>
      <c r="E44">
        <f>'[10]176 Tons'!I70</f>
        <v>135.7458865088139</v>
      </c>
      <c r="F44">
        <f>'[10]176 Tons'!J70</f>
        <v>74.601306896747062</v>
      </c>
      <c r="G44">
        <f>'[10]176 Tons'!K70</f>
        <v>10.69520912488499</v>
      </c>
      <c r="H44">
        <f>'[10]176 Tons'!L70</f>
        <v>37.301397226730089</v>
      </c>
      <c r="I44">
        <f>'[10]176 Tons'!M70</f>
        <v>49.87780498122995</v>
      </c>
      <c r="J44">
        <f>'[10]176 Tons'!N70</f>
        <v>82.077041257170094</v>
      </c>
      <c r="K44">
        <f>'[10]176 Tons'!O70</f>
        <v>56.42</v>
      </c>
      <c r="L44">
        <f>'[11]176 Tons'!D70</f>
        <v>0.12834040307055461</v>
      </c>
      <c r="M44">
        <f>'[11]176 Tons'!E70</f>
        <v>7.1441016108364272E-2</v>
      </c>
      <c r="N44">
        <f>'[11]176 Tons'!F70</f>
        <v>0.17497447615697315</v>
      </c>
      <c r="O44">
        <f>'[11]176 Tons'!G70</f>
        <v>63.38833488613411</v>
      </c>
      <c r="P44" t="str">
        <f t="shared" si="0"/>
        <v xml:space="preserve">MRYW tons </v>
      </c>
      <c r="Q44">
        <f t="shared" si="1"/>
        <v>634.04600528333799</v>
      </c>
    </row>
    <row r="45" spans="1:17" x14ac:dyDescent="0.2">
      <c r="A45" t="s">
        <v>100</v>
      </c>
      <c r="C45" t="s">
        <v>60</v>
      </c>
      <c r="D45">
        <f>'[10]176 Tons'!H71</f>
        <v>181.16682299127271</v>
      </c>
      <c r="E45">
        <f>'[10]176 Tons'!I71</f>
        <v>171.69774018972996</v>
      </c>
      <c r="F45">
        <f>'[10]176 Tons'!J71</f>
        <v>191.53825161309217</v>
      </c>
      <c r="G45">
        <f>'[10]176 Tons'!K71</f>
        <v>188.45206300310198</v>
      </c>
      <c r="H45">
        <f>'[10]176 Tons'!L71</f>
        <v>184.36316859146274</v>
      </c>
      <c r="I45">
        <f>'[10]176 Tons'!M71</f>
        <v>179.61286474880848</v>
      </c>
      <c r="J45">
        <f>'[10]176 Tons'!N71</f>
        <v>168.74172663542552</v>
      </c>
      <c r="K45">
        <f>'[10]176 Tons'!O71</f>
        <v>174.86857739022045</v>
      </c>
      <c r="L45">
        <f>'[11]176 Tons'!D71</f>
        <v>170.84141335915047</v>
      </c>
      <c r="M45">
        <f>'[11]176 Tons'!E71</f>
        <v>149.9780051936774</v>
      </c>
      <c r="N45">
        <f>'[11]176 Tons'!F71</f>
        <v>159.95633782559517</v>
      </c>
      <c r="O45">
        <f>'[11]176 Tons'!G71</f>
        <v>187.13388193653142</v>
      </c>
      <c r="P45" t="str">
        <f t="shared" si="0"/>
        <v>MRMSW tons</v>
      </c>
      <c r="Q45">
        <f t="shared" si="1"/>
        <v>2108.3508534780685</v>
      </c>
    </row>
    <row r="46" spans="1:17" x14ac:dyDescent="0.2">
      <c r="A46" t="s">
        <v>55</v>
      </c>
      <c r="B46" t="s">
        <v>68</v>
      </c>
      <c r="C46" t="s">
        <v>56</v>
      </c>
      <c r="D46">
        <f>'[10]176 Tons'!H90</f>
        <v>1152</v>
      </c>
      <c r="E46">
        <f>'[10]176 Tons'!I90</f>
        <v>1153</v>
      </c>
      <c r="F46">
        <f>'[10]176 Tons'!J90</f>
        <v>1153</v>
      </c>
      <c r="G46">
        <f>'[10]176 Tons'!K90</f>
        <v>1153</v>
      </c>
      <c r="H46">
        <f>'[10]176 Tons'!L90</f>
        <v>1141</v>
      </c>
      <c r="I46">
        <f>'[10]176 Tons'!M90</f>
        <v>1151</v>
      </c>
      <c r="J46">
        <f>'[10]176 Tons'!N90</f>
        <v>1139</v>
      </c>
      <c r="K46">
        <f>'[10]176 Tons'!O90</f>
        <v>1145</v>
      </c>
      <c r="L46">
        <f>'[11]176 Tons'!D90</f>
        <v>1145</v>
      </c>
      <c r="M46">
        <f>'[11]176 Tons'!E90</f>
        <v>1149</v>
      </c>
      <c r="N46">
        <f>'[11]176 Tons'!F90</f>
        <v>1155</v>
      </c>
      <c r="O46">
        <f>'[11]176 Tons'!G90</f>
        <v>1141</v>
      </c>
      <c r="P46" t="str">
        <f t="shared" si="0"/>
        <v>RREC cust</v>
      </c>
      <c r="Q46">
        <f t="shared" si="1"/>
        <v>13777</v>
      </c>
    </row>
    <row r="47" spans="1:17" x14ac:dyDescent="0.2">
      <c r="A47" t="s">
        <v>55</v>
      </c>
      <c r="C47" t="s">
        <v>57</v>
      </c>
      <c r="D47">
        <f>'[10]176 Tons'!H91</f>
        <v>528</v>
      </c>
      <c r="E47">
        <f>'[10]176 Tons'!I91</f>
        <v>525</v>
      </c>
      <c r="F47">
        <f>'[10]176 Tons'!J91</f>
        <v>525</v>
      </c>
      <c r="G47">
        <f>'[10]176 Tons'!K91</f>
        <v>518</v>
      </c>
      <c r="H47">
        <f>'[10]176 Tons'!L91</f>
        <v>511</v>
      </c>
      <c r="I47">
        <f>'[10]176 Tons'!M91</f>
        <v>515</v>
      </c>
      <c r="J47">
        <f>'[10]176 Tons'!N91</f>
        <v>508</v>
      </c>
      <c r="K47">
        <f>'[10]176 Tons'!O91</f>
        <v>512</v>
      </c>
      <c r="L47">
        <f>'[11]176 Tons'!D91</f>
        <v>508</v>
      </c>
      <c r="M47">
        <f>'[11]176 Tons'!E91</f>
        <v>507</v>
      </c>
      <c r="N47">
        <f>'[11]176 Tons'!F91</f>
        <v>519</v>
      </c>
      <c r="O47">
        <f>'[11]176 Tons'!G91</f>
        <v>525</v>
      </c>
      <c r="P47" t="str">
        <f t="shared" si="0"/>
        <v>RYW cust</v>
      </c>
      <c r="Q47">
        <f t="shared" si="1"/>
        <v>6201</v>
      </c>
    </row>
    <row r="48" spans="1:17" x14ac:dyDescent="0.2">
      <c r="A48" t="s">
        <v>55</v>
      </c>
      <c r="D48">
        <f>'[10]176 Tons'!H92</f>
        <v>0</v>
      </c>
      <c r="E48">
        <f>'[10]176 Tons'!I92</f>
        <v>0</v>
      </c>
      <c r="F48">
        <f>'[10]176 Tons'!J92</f>
        <v>0</v>
      </c>
      <c r="G48">
        <f>'[10]176 Tons'!K92</f>
        <v>0</v>
      </c>
      <c r="H48">
        <f>'[10]176 Tons'!L92</f>
        <v>0</v>
      </c>
      <c r="I48">
        <f>'[10]176 Tons'!M92</f>
        <v>0</v>
      </c>
      <c r="J48">
        <f>'[10]176 Tons'!N92</f>
        <v>0</v>
      </c>
      <c r="K48">
        <f>'[10]176 Tons'!O92</f>
        <v>0</v>
      </c>
      <c r="L48">
        <f>'[11]176 Tons'!D92</f>
        <v>0</v>
      </c>
      <c r="M48">
        <f>'[11]176 Tons'!E92</f>
        <v>0</v>
      </c>
      <c r="N48">
        <f>'[11]176 Tons'!F92</f>
        <v>0</v>
      </c>
      <c r="O48">
        <f>'[11]176 Tons'!G92</f>
        <v>0</v>
      </c>
      <c r="P48" t="str">
        <f t="shared" si="0"/>
        <v>R</v>
      </c>
      <c r="Q48">
        <f t="shared" si="1"/>
        <v>0</v>
      </c>
    </row>
    <row r="49" spans="1:17" x14ac:dyDescent="0.2">
      <c r="A49" t="s">
        <v>55</v>
      </c>
      <c r="C49" t="s">
        <v>58</v>
      </c>
      <c r="D49">
        <f>'[10]176 Tons'!H93</f>
        <v>40.217487172240773</v>
      </c>
      <c r="E49">
        <f>'[10]176 Tons'!I93</f>
        <v>23.100847772697772</v>
      </c>
      <c r="F49">
        <f>'[10]176 Tons'!J93</f>
        <v>24.30620103591999</v>
      </c>
      <c r="G49">
        <f>'[10]176 Tons'!K93</f>
        <v>34.187550519622384</v>
      </c>
      <c r="H49">
        <f>'[10]176 Tons'!L93</f>
        <v>32.196366744478716</v>
      </c>
      <c r="I49">
        <f>'[10]176 Tons'!M93</f>
        <v>40.943982568045236</v>
      </c>
      <c r="J49">
        <f>'[10]176 Tons'!N93</f>
        <v>33.431018691577925</v>
      </c>
      <c r="K49">
        <f>'[10]176 Tons'!O93</f>
        <v>31.052311054743328</v>
      </c>
      <c r="L49">
        <f>'[11]176 Tons'!D93</f>
        <v>30.011134695738114</v>
      </c>
      <c r="M49">
        <f>'[11]176 Tons'!E93</f>
        <v>28.888945019997795</v>
      </c>
      <c r="N49">
        <f>'[11]176 Tons'!F93</f>
        <v>31.576917497709101</v>
      </c>
      <c r="O49">
        <f>'[11]176 Tons'!G93</f>
        <v>33.144732678391172</v>
      </c>
      <c r="P49" t="str">
        <f t="shared" si="0"/>
        <v>RRec tons</v>
      </c>
      <c r="Q49">
        <f t="shared" si="1"/>
        <v>383.05749545116225</v>
      </c>
    </row>
    <row r="50" spans="1:17" x14ac:dyDescent="0.2">
      <c r="A50" t="s">
        <v>55</v>
      </c>
      <c r="C50" t="s">
        <v>59</v>
      </c>
      <c r="D50">
        <f>'[10]176 Tons'!H94</f>
        <v>57.263574853526322</v>
      </c>
      <c r="E50">
        <f>'[10]176 Tons'!I94</f>
        <v>84.655073251460109</v>
      </c>
      <c r="F50">
        <f>'[10]176 Tons'!J94</f>
        <v>69.162866669809262</v>
      </c>
      <c r="G50">
        <f>'[10]176 Tons'!K94</f>
        <v>41.451254419403945</v>
      </c>
      <c r="H50">
        <f>'[10]176 Tons'!L94</f>
        <v>49.02299787609256</v>
      </c>
      <c r="I50">
        <f>'[10]176 Tons'!M94</f>
        <v>54.4448490025773</v>
      </c>
      <c r="J50">
        <f>'[10]176 Tons'!N94</f>
        <v>45.318424118548755</v>
      </c>
      <c r="K50">
        <f>'[10]176 Tons'!O94</f>
        <v>28.999080518584563</v>
      </c>
      <c r="L50">
        <f>'[11]176 Tons'!D94</f>
        <v>28.642785367345056</v>
      </c>
      <c r="M50">
        <f>'[11]176 Tons'!E94</f>
        <v>16.899625919830534</v>
      </c>
      <c r="N50">
        <f>'[11]176 Tons'!F94</f>
        <v>43.734349393134472</v>
      </c>
      <c r="O50">
        <f>'[11]176 Tons'!G94</f>
        <v>61.31046571358015</v>
      </c>
      <c r="P50" t="str">
        <f t="shared" si="0"/>
        <v xml:space="preserve">RYW tons </v>
      </c>
      <c r="Q50">
        <f t="shared" si="1"/>
        <v>580.90534710389306</v>
      </c>
    </row>
    <row r="51" spans="1:17" x14ac:dyDescent="0.2">
      <c r="A51" t="s">
        <v>55</v>
      </c>
      <c r="C51" t="s">
        <v>60</v>
      </c>
      <c r="D51">
        <f>'[10]176 Tons'!H95</f>
        <v>66.36443432392015</v>
      </c>
      <c r="E51">
        <f>'[10]176 Tons'!I95</f>
        <v>62.747945757203865</v>
      </c>
      <c r="F51">
        <f>'[10]176 Tons'!J95</f>
        <v>75.73095159418375</v>
      </c>
      <c r="G51">
        <f>'[10]176 Tons'!K95</f>
        <v>70.583493105392705</v>
      </c>
      <c r="H51">
        <f>'[10]176 Tons'!L95</f>
        <v>72.880951575524335</v>
      </c>
      <c r="I51">
        <f>'[10]176 Tons'!M95</f>
        <v>84.990679665510697</v>
      </c>
      <c r="J51">
        <f>'[10]176 Tons'!N95</f>
        <v>75.393403746858851</v>
      </c>
      <c r="K51">
        <f>'[10]176 Tons'!O95</f>
        <v>67.56450947871619</v>
      </c>
      <c r="L51">
        <f>'[11]176 Tons'!D95</f>
        <v>72.768772834569589</v>
      </c>
      <c r="M51">
        <f>'[11]176 Tons'!E95</f>
        <v>64.470987005316815</v>
      </c>
      <c r="N51">
        <f>'[11]176 Tons'!F95</f>
        <v>55.786102084041993</v>
      </c>
      <c r="O51">
        <f>'[11]176 Tons'!G95</f>
        <v>71.802002328155737</v>
      </c>
      <c r="P51" t="str">
        <f t="shared" si="0"/>
        <v>RMSW tons</v>
      </c>
      <c r="Q51">
        <f t="shared" si="1"/>
        <v>841.08423349939471</v>
      </c>
    </row>
    <row r="52" spans="1:17" x14ac:dyDescent="0.2">
      <c r="A52" t="s">
        <v>55</v>
      </c>
      <c r="B52" t="s">
        <v>61</v>
      </c>
      <c r="C52" t="s">
        <v>56</v>
      </c>
      <c r="D52">
        <f>'[10]176 Tons'!H114</f>
        <v>17909</v>
      </c>
      <c r="E52">
        <f>'[10]176 Tons'!I114</f>
        <v>17964</v>
      </c>
      <c r="F52">
        <f>'[10]176 Tons'!J114</f>
        <v>17877</v>
      </c>
      <c r="G52">
        <f>'[10]176 Tons'!K114</f>
        <v>17930</v>
      </c>
      <c r="H52">
        <f>'[10]176 Tons'!L114</f>
        <v>17839</v>
      </c>
      <c r="I52">
        <f>'[10]176 Tons'!M114</f>
        <v>17954</v>
      </c>
      <c r="J52">
        <f>'[10]176 Tons'!N114</f>
        <v>17818</v>
      </c>
      <c r="K52">
        <f>'[10]176 Tons'!O114</f>
        <v>17947</v>
      </c>
      <c r="L52">
        <f>'[11]176 Tons'!D114</f>
        <v>17893</v>
      </c>
      <c r="M52">
        <f>'[11]176 Tons'!E114</f>
        <v>17922</v>
      </c>
      <c r="N52">
        <f>'[11]176 Tons'!F114</f>
        <v>17942</v>
      </c>
      <c r="O52">
        <f>'[11]176 Tons'!G114</f>
        <v>17982</v>
      </c>
      <c r="P52" t="str">
        <f t="shared" si="0"/>
        <v>RREC cust</v>
      </c>
      <c r="Q52">
        <f t="shared" si="1"/>
        <v>214977</v>
      </c>
    </row>
    <row r="53" spans="1:17" x14ac:dyDescent="0.2">
      <c r="A53" t="s">
        <v>55</v>
      </c>
      <c r="C53" t="s">
        <v>57</v>
      </c>
      <c r="D53">
        <f>'[10]176 Tons'!H115</f>
        <v>5535</v>
      </c>
      <c r="E53">
        <f>'[10]176 Tons'!I115</f>
        <v>5597</v>
      </c>
      <c r="F53">
        <f>'[10]176 Tons'!J115</f>
        <v>5601</v>
      </c>
      <c r="G53">
        <f>'[10]176 Tons'!K115</f>
        <v>5659</v>
      </c>
      <c r="H53">
        <f>'[10]176 Tons'!L115</f>
        <v>5577</v>
      </c>
      <c r="I53">
        <f>'[10]176 Tons'!M115</f>
        <v>5573</v>
      </c>
      <c r="J53">
        <f>'[10]176 Tons'!N115</f>
        <v>5520</v>
      </c>
      <c r="K53">
        <f>'[10]176 Tons'!O115</f>
        <v>5527</v>
      </c>
      <c r="L53">
        <f>'[11]176 Tons'!D115</f>
        <v>5501</v>
      </c>
      <c r="M53">
        <f>'[11]176 Tons'!E115</f>
        <v>5517</v>
      </c>
      <c r="N53">
        <f>'[11]176 Tons'!F115</f>
        <v>5571</v>
      </c>
      <c r="O53">
        <f>'[11]176 Tons'!G115</f>
        <v>5667</v>
      </c>
      <c r="P53" t="str">
        <f t="shared" si="0"/>
        <v>RYW cust</v>
      </c>
      <c r="Q53">
        <f t="shared" si="1"/>
        <v>66845</v>
      </c>
    </row>
    <row r="54" spans="1:17" x14ac:dyDescent="0.2">
      <c r="A54" t="s">
        <v>55</v>
      </c>
      <c r="D54">
        <f>'[10]176 Tons'!H116</f>
        <v>0</v>
      </c>
      <c r="E54">
        <f>'[10]176 Tons'!I116</f>
        <v>0</v>
      </c>
      <c r="F54">
        <f>'[10]176 Tons'!J116</f>
        <v>0</v>
      </c>
      <c r="G54">
        <f>'[10]176 Tons'!K116</f>
        <v>0</v>
      </c>
      <c r="H54">
        <f>'[10]176 Tons'!L116</f>
        <v>0</v>
      </c>
      <c r="I54">
        <f>'[10]176 Tons'!M116</f>
        <v>0</v>
      </c>
      <c r="J54">
        <f>'[10]176 Tons'!N116</f>
        <v>0</v>
      </c>
      <c r="K54">
        <f>'[10]176 Tons'!O116</f>
        <v>0</v>
      </c>
      <c r="L54">
        <f>'[11]176 Tons'!D116</f>
        <v>0</v>
      </c>
      <c r="M54">
        <f>'[11]176 Tons'!E116</f>
        <v>0</v>
      </c>
      <c r="N54">
        <f>'[11]176 Tons'!F116</f>
        <v>0</v>
      </c>
      <c r="O54">
        <f>'[11]176 Tons'!G116</f>
        <v>0</v>
      </c>
      <c r="P54" t="str">
        <f t="shared" si="0"/>
        <v>R</v>
      </c>
      <c r="Q54">
        <f t="shared" si="1"/>
        <v>0</v>
      </c>
    </row>
    <row r="55" spans="1:17" x14ac:dyDescent="0.2">
      <c r="A55" t="s">
        <v>55</v>
      </c>
      <c r="C55" t="s">
        <v>58</v>
      </c>
      <c r="D55">
        <f>'[10]176 Tons'!H117</f>
        <v>559.58586543842512</v>
      </c>
      <c r="E55">
        <f>'[10]176 Tons'!I117</f>
        <v>484.34223931179253</v>
      </c>
      <c r="F55">
        <f>'[10]176 Tons'!J117</f>
        <v>541.85120501213555</v>
      </c>
      <c r="G55">
        <f>'[10]176 Tons'!K117</f>
        <v>526.63910474905219</v>
      </c>
      <c r="H55">
        <f>'[10]176 Tons'!L117</f>
        <v>530.49534518679047</v>
      </c>
      <c r="I55">
        <f>'[10]176 Tons'!M117</f>
        <v>529.35970924907713</v>
      </c>
      <c r="J55">
        <f>'[10]176 Tons'!N117</f>
        <v>484.53215122710372</v>
      </c>
      <c r="K55">
        <f>'[10]176 Tons'!O117</f>
        <v>540.86836495138925</v>
      </c>
      <c r="L55">
        <f>'[11]176 Tons'!D117</f>
        <v>612.34064522051392</v>
      </c>
      <c r="M55">
        <f>'[11]176 Tons'!E117</f>
        <v>447.9939001634234</v>
      </c>
      <c r="N55">
        <f>'[11]176 Tons'!F117</f>
        <v>487.65370245924686</v>
      </c>
      <c r="O55">
        <f>'[11]176 Tons'!G117</f>
        <v>542.32027697054968</v>
      </c>
      <c r="P55" t="str">
        <f t="shared" si="0"/>
        <v>RRec tons</v>
      </c>
      <c r="Q55">
        <f t="shared" si="1"/>
        <v>6287.9825099395002</v>
      </c>
    </row>
    <row r="56" spans="1:17" x14ac:dyDescent="0.2">
      <c r="A56" t="s">
        <v>55</v>
      </c>
      <c r="C56" t="s">
        <v>59</v>
      </c>
      <c r="D56">
        <f>'[10]176 Tons'!H118</f>
        <v>534.8238681849906</v>
      </c>
      <c r="E56">
        <f>'[10]176 Tons'!I118</f>
        <v>569.63626152173458</v>
      </c>
      <c r="F56">
        <f>'[10]176 Tons'!J118</f>
        <v>494.73474744669528</v>
      </c>
      <c r="G56">
        <f>'[10]176 Tons'!K118</f>
        <v>419.00495824168809</v>
      </c>
      <c r="H56">
        <f>'[10]176 Tons'!L118</f>
        <v>446.97787651389137</v>
      </c>
      <c r="I56">
        <f>'[10]176 Tons'!M118</f>
        <v>406.33912245112867</v>
      </c>
      <c r="J56">
        <f>'[10]176 Tons'!N118</f>
        <v>523.53580022113636</v>
      </c>
      <c r="K56">
        <f>'[10]176 Tons'!O118</f>
        <v>295.64500912520742</v>
      </c>
      <c r="L56">
        <f>'[11]176 Tons'!D118</f>
        <v>238.04012845878293</v>
      </c>
      <c r="M56">
        <f>'[11]176 Tons'!E118</f>
        <v>158.3482291629546</v>
      </c>
      <c r="N56">
        <f>'[11]176 Tons'!F118</f>
        <v>339.86979810005704</v>
      </c>
      <c r="O56">
        <f>'[11]176 Tons'!G118</f>
        <v>521.70911425324812</v>
      </c>
      <c r="P56" t="str">
        <f t="shared" si="0"/>
        <v xml:space="preserve">RYW tons </v>
      </c>
      <c r="Q56">
        <f t="shared" si="1"/>
        <v>4948.6649136815149</v>
      </c>
    </row>
    <row r="57" spans="1:17" x14ac:dyDescent="0.2">
      <c r="A57" t="s">
        <v>55</v>
      </c>
      <c r="C57" t="s">
        <v>60</v>
      </c>
      <c r="D57">
        <f>'[10]176 Tons'!H119</f>
        <v>1180.3349004385116</v>
      </c>
      <c r="E57">
        <f>'[10]176 Tons'!I119</f>
        <v>1107.5511549700541</v>
      </c>
      <c r="F57">
        <f>'[10]176 Tons'!J119</f>
        <v>1338.9467021145304</v>
      </c>
      <c r="G57">
        <f>'[10]176 Tons'!K119</f>
        <v>1193.0292750597989</v>
      </c>
      <c r="H57">
        <f>'[10]176 Tons'!L119</f>
        <v>1150.9977070525433</v>
      </c>
      <c r="I57">
        <f>'[10]176 Tons'!M119</f>
        <v>1151.6753163351998</v>
      </c>
      <c r="J57">
        <f>'[10]176 Tons'!N119</f>
        <v>1108.0682134264052</v>
      </c>
      <c r="K57">
        <f>'[10]176 Tons'!O119</f>
        <v>1109.3857763130484</v>
      </c>
      <c r="L57">
        <f>'[11]176 Tons'!D119</f>
        <v>1178.1405106832819</v>
      </c>
      <c r="M57">
        <f>'[11]176 Tons'!E119</f>
        <v>971.41903935153925</v>
      </c>
      <c r="N57">
        <f>'[11]176 Tons'!F119</f>
        <v>1070.0516897887273</v>
      </c>
      <c r="O57">
        <f>'[11]176 Tons'!G119</f>
        <v>1110.3114790369725</v>
      </c>
      <c r="P57" t="str">
        <f t="shared" si="0"/>
        <v>RMSW tons</v>
      </c>
      <c r="Q57">
        <f t="shared" si="1"/>
        <v>13669.911764570614</v>
      </c>
    </row>
    <row r="58" spans="1:17" x14ac:dyDescent="0.2">
      <c r="A58" t="s">
        <v>65</v>
      </c>
      <c r="B58" t="s">
        <v>69</v>
      </c>
      <c r="C58" t="s">
        <v>56</v>
      </c>
      <c r="D58">
        <f>'[10]176 Tons'!H138</f>
        <v>4568</v>
      </c>
      <c r="E58">
        <f>'[10]176 Tons'!I138</f>
        <v>4603</v>
      </c>
      <c r="P58" t="str">
        <f t="shared" si="0"/>
        <v>NRREC cust</v>
      </c>
      <c r="Q58">
        <f t="shared" si="1"/>
        <v>9171</v>
      </c>
    </row>
    <row r="59" spans="1:17" x14ac:dyDescent="0.2">
      <c r="A59" t="s">
        <v>65</v>
      </c>
      <c r="C59" t="s">
        <v>57</v>
      </c>
      <c r="D59">
        <f>'[10]176 Tons'!H139</f>
        <v>2553</v>
      </c>
      <c r="E59">
        <f>'[10]176 Tons'!I139</f>
        <v>2653</v>
      </c>
      <c r="P59" t="str">
        <f t="shared" si="0"/>
        <v>NRYW cust</v>
      </c>
      <c r="Q59">
        <f t="shared" si="1"/>
        <v>5206</v>
      </c>
    </row>
    <row r="60" spans="1:17" x14ac:dyDescent="0.2">
      <c r="A60" t="s">
        <v>65</v>
      </c>
      <c r="D60">
        <f>'[10]176 Tons'!H140</f>
        <v>0</v>
      </c>
      <c r="E60">
        <f>'[10]176 Tons'!I140</f>
        <v>0</v>
      </c>
      <c r="P60" t="str">
        <f t="shared" si="0"/>
        <v>NR</v>
      </c>
      <c r="Q60">
        <f t="shared" si="1"/>
        <v>0</v>
      </c>
    </row>
    <row r="61" spans="1:17" x14ac:dyDescent="0.2">
      <c r="A61" t="s">
        <v>65</v>
      </c>
      <c r="C61" t="s">
        <v>58</v>
      </c>
      <c r="D61">
        <f>'[10]176 Tons'!H141</f>
        <v>104.43053968993928</v>
      </c>
      <c r="E61">
        <f>'[10]176 Tons'!I141</f>
        <v>110.03645724777121</v>
      </c>
      <c r="P61" t="str">
        <f t="shared" si="0"/>
        <v>NRRec tons</v>
      </c>
      <c r="Q61">
        <f t="shared" si="1"/>
        <v>214.46699693771049</v>
      </c>
    </row>
    <row r="62" spans="1:17" x14ac:dyDescent="0.2">
      <c r="A62" t="s">
        <v>65</v>
      </c>
      <c r="C62" t="s">
        <v>59</v>
      </c>
      <c r="D62">
        <f>'[10]176 Tons'!H142</f>
        <v>131.58346556702929</v>
      </c>
      <c r="E62">
        <f>'[10]176 Tons'!I142</f>
        <v>209.90127648304707</v>
      </c>
      <c r="P62" t="str">
        <f t="shared" si="0"/>
        <v xml:space="preserve">NRYW tons </v>
      </c>
      <c r="Q62">
        <f t="shared" si="1"/>
        <v>341.48474205007636</v>
      </c>
    </row>
    <row r="63" spans="1:17" x14ac:dyDescent="0.2">
      <c r="A63" t="s">
        <v>65</v>
      </c>
      <c r="C63" t="s">
        <v>60</v>
      </c>
      <c r="D63">
        <f>'[10]176 Tons'!H143</f>
        <v>293.55436081288974</v>
      </c>
      <c r="E63">
        <f>'[10]176 Tons'!I143</f>
        <v>260.37565496029123</v>
      </c>
      <c r="P63" t="str">
        <f t="shared" si="0"/>
        <v>NRMSW tons</v>
      </c>
      <c r="Q63">
        <f t="shared" si="1"/>
        <v>553.93001577318091</v>
      </c>
    </row>
    <row r="64" spans="1:17" x14ac:dyDescent="0.2">
      <c r="A64" t="s">
        <v>65</v>
      </c>
      <c r="B64" t="s">
        <v>70</v>
      </c>
      <c r="C64" t="s">
        <v>56</v>
      </c>
      <c r="D64">
        <f>'[10]176 Tons'!H162</f>
        <v>23321</v>
      </c>
      <c r="E64">
        <f>'[10]176 Tons'!I162</f>
        <v>23231</v>
      </c>
      <c r="F64">
        <f>'[10]176 Tons'!J162</f>
        <v>23097</v>
      </c>
      <c r="G64">
        <f>'[10]176 Tons'!K162</f>
        <v>22965</v>
      </c>
      <c r="H64">
        <f>'[10]176 Tons'!L162</f>
        <v>23425</v>
      </c>
      <c r="I64">
        <f>'[10]176 Tons'!M162</f>
        <v>23539</v>
      </c>
      <c r="J64">
        <f>'[10]176 Tons'!N162</f>
        <v>23447</v>
      </c>
      <c r="K64">
        <f>'[10]176 Tons'!O162</f>
        <v>23541</v>
      </c>
      <c r="L64">
        <f>'[11]176 Tons'!D162</f>
        <v>23315</v>
      </c>
      <c r="M64">
        <f>'[11]176 Tons'!E162</f>
        <v>23528</v>
      </c>
      <c r="N64">
        <f>'[11]176 Tons'!F162</f>
        <v>23502</v>
      </c>
      <c r="O64">
        <f>'[11]176 Tons'!G162</f>
        <v>23546</v>
      </c>
      <c r="P64" t="str">
        <f t="shared" si="0"/>
        <v>NRREC cust</v>
      </c>
      <c r="Q64">
        <f t="shared" si="1"/>
        <v>280457</v>
      </c>
    </row>
    <row r="65" spans="1:17" x14ac:dyDescent="0.2">
      <c r="A65" t="s">
        <v>65</v>
      </c>
      <c r="C65" t="s">
        <v>57</v>
      </c>
      <c r="D65">
        <f>'[10]176 Tons'!H163</f>
        <v>22526</v>
      </c>
      <c r="E65">
        <f>'[10]176 Tons'!I163</f>
        <v>22432</v>
      </c>
      <c r="F65">
        <f>'[10]176 Tons'!J163</f>
        <v>22290</v>
      </c>
      <c r="G65">
        <f>'[10]176 Tons'!K163</f>
        <v>22013</v>
      </c>
      <c r="H65">
        <f>'[10]176 Tons'!L163</f>
        <v>22542</v>
      </c>
      <c r="I65">
        <f>'[10]176 Tons'!M163</f>
        <v>22648</v>
      </c>
      <c r="J65">
        <f>'[10]176 Tons'!N163</f>
        <v>22556</v>
      </c>
      <c r="K65">
        <f>'[10]176 Tons'!O163</f>
        <v>22621</v>
      </c>
      <c r="L65">
        <f>'[11]176 Tons'!D163</f>
        <v>22391</v>
      </c>
      <c r="M65">
        <f>'[11]176 Tons'!E163</f>
        <v>22586</v>
      </c>
      <c r="N65">
        <f>'[11]176 Tons'!F163</f>
        <v>22545</v>
      </c>
      <c r="O65">
        <f>'[11]176 Tons'!G163</f>
        <v>22578</v>
      </c>
      <c r="P65" t="str">
        <f t="shared" si="0"/>
        <v>NRYW cust</v>
      </c>
      <c r="Q65">
        <f t="shared" si="1"/>
        <v>269728</v>
      </c>
    </row>
    <row r="66" spans="1:17" x14ac:dyDescent="0.2">
      <c r="A66" t="s">
        <v>65</v>
      </c>
      <c r="D66">
        <f>'[10]176 Tons'!H164</f>
        <v>0</v>
      </c>
      <c r="E66">
        <f>'[10]176 Tons'!I164</f>
        <v>0</v>
      </c>
      <c r="F66">
        <f>'[10]176 Tons'!J164</f>
        <v>0</v>
      </c>
      <c r="G66">
        <f>'[10]176 Tons'!K164</f>
        <v>0</v>
      </c>
      <c r="H66">
        <f>'[10]176 Tons'!L164</f>
        <v>0</v>
      </c>
      <c r="I66">
        <f>'[10]176 Tons'!M164</f>
        <v>0</v>
      </c>
      <c r="J66">
        <f>'[10]176 Tons'!N164</f>
        <v>0</v>
      </c>
      <c r="K66">
        <f>'[10]176 Tons'!O164</f>
        <v>0</v>
      </c>
      <c r="L66">
        <f>'[11]176 Tons'!D164</f>
        <v>0</v>
      </c>
      <c r="M66">
        <f>'[11]176 Tons'!E164</f>
        <v>0</v>
      </c>
      <c r="N66">
        <f>'[11]176 Tons'!F164</f>
        <v>0</v>
      </c>
      <c r="O66">
        <f>'[11]176 Tons'!G164</f>
        <v>0</v>
      </c>
      <c r="P66" t="str">
        <f t="shared" si="0"/>
        <v>NR</v>
      </c>
      <c r="Q66">
        <f t="shared" si="1"/>
        <v>0</v>
      </c>
    </row>
    <row r="67" spans="1:17" x14ac:dyDescent="0.2">
      <c r="A67" t="s">
        <v>65</v>
      </c>
      <c r="C67" t="s">
        <v>58</v>
      </c>
      <c r="D67">
        <f>'[10]176 Tons'!H165</f>
        <v>572.17036868930688</v>
      </c>
      <c r="E67">
        <f>'[10]176 Tons'!I165</f>
        <v>544.28992276585609</v>
      </c>
      <c r="F67">
        <f>'[10]176 Tons'!J165</f>
        <v>613.92759882595124</v>
      </c>
      <c r="G67">
        <f>'[10]176 Tons'!K165</f>
        <v>614.42231245164544</v>
      </c>
      <c r="H67">
        <f>'[10]176 Tons'!L165</f>
        <v>561.23805827042054</v>
      </c>
      <c r="I67">
        <f>'[10]176 Tons'!M165</f>
        <v>562.9248769547138</v>
      </c>
      <c r="J67">
        <f>'[10]176 Tons'!N165</f>
        <v>526.1192638782336</v>
      </c>
      <c r="K67">
        <f>'[10]176 Tons'!O165</f>
        <v>553.15516565987377</v>
      </c>
      <c r="L67">
        <f>'[11]176 Tons'!D165</f>
        <v>694.48154887409726</v>
      </c>
      <c r="M67">
        <f>'[11]176 Tons'!E165</f>
        <v>510.49504915225145</v>
      </c>
      <c r="N67">
        <f>'[11]176 Tons'!F165</f>
        <v>546.56618566516204</v>
      </c>
      <c r="O67">
        <f>'[11]176 Tons'!G165</f>
        <v>579.16724690277726</v>
      </c>
      <c r="P67" t="str">
        <f t="shared" si="0"/>
        <v>NRRec tons</v>
      </c>
      <c r="Q67">
        <f t="shared" si="1"/>
        <v>6878.9575980902891</v>
      </c>
    </row>
    <row r="68" spans="1:17" x14ac:dyDescent="0.2">
      <c r="A68" t="s">
        <v>65</v>
      </c>
      <c r="C68" t="s">
        <v>59</v>
      </c>
      <c r="D68">
        <f>'[10]176 Tons'!H166</f>
        <v>1531.0180410209084</v>
      </c>
      <c r="E68">
        <f>'[10]176 Tons'!I166</f>
        <v>1174.1936249286714</v>
      </c>
      <c r="F68">
        <f>'[10]176 Tons'!J166</f>
        <v>997.35623062977663</v>
      </c>
      <c r="G68">
        <f>'[10]176 Tons'!K166</f>
        <v>677.81616275624231</v>
      </c>
      <c r="H68">
        <f>'[10]176 Tons'!L166</f>
        <v>789.23984119859801</v>
      </c>
      <c r="I68">
        <f>'[10]176 Tons'!M166</f>
        <v>950.81100138929708</v>
      </c>
      <c r="J68">
        <f>'[10]176 Tons'!N166</f>
        <v>939.61736782151945</v>
      </c>
      <c r="K68">
        <f>'[10]176 Tons'!O166</f>
        <v>530.51640720971943</v>
      </c>
      <c r="L68">
        <f>'[11]176 Tons'!D166</f>
        <v>454.71241730031812</v>
      </c>
      <c r="M68">
        <f>'[11]176 Tons'!E166</f>
        <v>307.2146031970243</v>
      </c>
      <c r="N68">
        <f>'[11]176 Tons'!F166</f>
        <v>591.03309379570646</v>
      </c>
      <c r="O68">
        <f>'[11]176 Tons'!G166</f>
        <v>1211.546001111944</v>
      </c>
      <c r="P68" t="str">
        <f t="shared" ref="P68:P131" si="2">CONCATENATE(A68,C68)</f>
        <v xml:space="preserve">NRYW tons </v>
      </c>
      <c r="Q68">
        <f t="shared" ref="Q68:Q131" si="3">SUM(D68:O68)</f>
        <v>10155.074792359726</v>
      </c>
    </row>
    <row r="69" spans="1:17" x14ac:dyDescent="0.2">
      <c r="A69" t="s">
        <v>65</v>
      </c>
      <c r="C69" t="s">
        <v>60</v>
      </c>
      <c r="D69">
        <f>'[10]176 Tons'!H167</f>
        <v>1154.8030514256873</v>
      </c>
      <c r="E69">
        <f>'[10]176 Tons'!I167</f>
        <v>1062.3065302980663</v>
      </c>
      <c r="F69">
        <f>'[10]176 Tons'!J167</f>
        <v>1226.5921370967849</v>
      </c>
      <c r="G69">
        <f>'[10]176 Tons'!K167</f>
        <v>1191.10064228633</v>
      </c>
      <c r="H69">
        <f>'[10]176 Tons'!L167</f>
        <v>1183.6710316807412</v>
      </c>
      <c r="I69">
        <f>'[10]176 Tons'!M167</f>
        <v>1174.0146959983904</v>
      </c>
      <c r="J69">
        <f>'[10]176 Tons'!N167</f>
        <v>1165.2319797817502</v>
      </c>
      <c r="K69">
        <f>'[10]176 Tons'!O167</f>
        <v>1138.9975574384434</v>
      </c>
      <c r="L69">
        <f>'[11]176 Tons'!D167</f>
        <v>1227.1622470717823</v>
      </c>
      <c r="M69">
        <f>'[11]176 Tons'!E167</f>
        <v>983.73351696677855</v>
      </c>
      <c r="N69">
        <f>'[11]176 Tons'!F167</f>
        <v>1089.3542964067933</v>
      </c>
      <c r="O69">
        <f>'[11]176 Tons'!G167</f>
        <v>1190.4847248950543</v>
      </c>
      <c r="P69" t="str">
        <f t="shared" si="2"/>
        <v>NRMSW tons</v>
      </c>
      <c r="Q69">
        <f t="shared" si="3"/>
        <v>13787.452411346601</v>
      </c>
    </row>
    <row r="70" spans="1:17" x14ac:dyDescent="0.2">
      <c r="A70" t="s">
        <v>65</v>
      </c>
      <c r="B70" t="s">
        <v>71</v>
      </c>
      <c r="C70" t="s">
        <v>56</v>
      </c>
      <c r="D70">
        <f>'[10]176 Tons'!H186</f>
        <v>477</v>
      </c>
      <c r="E70">
        <f>'[10]176 Tons'!I186</f>
        <v>479</v>
      </c>
      <c r="F70">
        <f>'[10]176 Tons'!J186</f>
        <v>478</v>
      </c>
      <c r="G70">
        <f>'[10]176 Tons'!K186</f>
        <v>478</v>
      </c>
      <c r="H70">
        <f>'[10]176 Tons'!L186</f>
        <v>521</v>
      </c>
      <c r="I70">
        <f>'[10]176 Tons'!M186</f>
        <v>524</v>
      </c>
      <c r="J70">
        <f>'[10]176 Tons'!N186</f>
        <v>519</v>
      </c>
      <c r="K70">
        <f>'[10]176 Tons'!O186</f>
        <v>525</v>
      </c>
      <c r="L70">
        <f>'[11]176 Tons'!D186</f>
        <v>531</v>
      </c>
      <c r="M70">
        <f>'[11]176 Tons'!E186</f>
        <v>521</v>
      </c>
      <c r="N70">
        <f>'[11]176 Tons'!F186</f>
        <v>527</v>
      </c>
      <c r="O70">
        <f>'[11]176 Tons'!G186</f>
        <v>527</v>
      </c>
      <c r="P70" t="str">
        <f t="shared" si="2"/>
        <v>NRREC cust</v>
      </c>
      <c r="Q70">
        <f t="shared" si="3"/>
        <v>6107</v>
      </c>
    </row>
    <row r="71" spans="1:17" x14ac:dyDescent="0.2">
      <c r="A71" t="s">
        <v>65</v>
      </c>
      <c r="C71" t="s">
        <v>57</v>
      </c>
      <c r="D71">
        <f>'[10]176 Tons'!H187</f>
        <v>332</v>
      </c>
      <c r="E71">
        <f>'[10]176 Tons'!I187</f>
        <v>329</v>
      </c>
      <c r="F71">
        <f>'[10]176 Tons'!J187</f>
        <v>327</v>
      </c>
      <c r="G71">
        <f>'[10]176 Tons'!K187</f>
        <v>331</v>
      </c>
      <c r="H71">
        <f>'[10]176 Tons'!L187</f>
        <v>359</v>
      </c>
      <c r="I71">
        <f>'[10]176 Tons'!M187</f>
        <v>362</v>
      </c>
      <c r="J71">
        <f>'[10]176 Tons'!N187</f>
        <v>356</v>
      </c>
      <c r="K71">
        <f>'[10]176 Tons'!O187</f>
        <v>357</v>
      </c>
      <c r="L71">
        <f>'[11]176 Tons'!D187</f>
        <v>360</v>
      </c>
      <c r="M71">
        <f>'[11]176 Tons'!E187</f>
        <v>354</v>
      </c>
      <c r="N71">
        <f>'[11]176 Tons'!F187</f>
        <v>360</v>
      </c>
      <c r="O71">
        <f>'[11]176 Tons'!G187</f>
        <v>360</v>
      </c>
      <c r="P71" t="str">
        <f t="shared" si="2"/>
        <v>NRYW cust</v>
      </c>
      <c r="Q71">
        <f t="shared" si="3"/>
        <v>4187</v>
      </c>
    </row>
    <row r="72" spans="1:17" x14ac:dyDescent="0.2">
      <c r="A72" t="s">
        <v>65</v>
      </c>
      <c r="D72">
        <f>'[10]176 Tons'!H188</f>
        <v>0</v>
      </c>
      <c r="E72">
        <f>'[10]176 Tons'!I188</f>
        <v>0</v>
      </c>
      <c r="F72">
        <f>'[10]176 Tons'!J188</f>
        <v>0</v>
      </c>
      <c r="G72">
        <f>'[10]176 Tons'!K188</f>
        <v>0</v>
      </c>
      <c r="H72">
        <f>'[10]176 Tons'!L188</f>
        <v>0</v>
      </c>
      <c r="I72">
        <f>'[10]176 Tons'!M188</f>
        <v>0</v>
      </c>
      <c r="J72">
        <f>'[10]176 Tons'!N188</f>
        <v>0</v>
      </c>
      <c r="K72">
        <f>'[10]176 Tons'!O188</f>
        <v>0</v>
      </c>
      <c r="L72">
        <f>'[11]176 Tons'!D188</f>
        <v>0</v>
      </c>
      <c r="M72">
        <f>'[11]176 Tons'!E188</f>
        <v>0</v>
      </c>
      <c r="N72">
        <f>'[11]176 Tons'!F188</f>
        <v>0</v>
      </c>
      <c r="O72">
        <f>'[11]176 Tons'!G188</f>
        <v>0</v>
      </c>
      <c r="P72" t="str">
        <f t="shared" si="2"/>
        <v>NR</v>
      </c>
      <c r="Q72">
        <f t="shared" si="3"/>
        <v>0</v>
      </c>
    </row>
    <row r="73" spans="1:17" x14ac:dyDescent="0.2">
      <c r="A73" t="s">
        <v>65</v>
      </c>
      <c r="C73" t="s">
        <v>58</v>
      </c>
      <c r="D73">
        <f>'[10]176 Tons'!H189</f>
        <v>14.221804239564227</v>
      </c>
      <c r="E73">
        <f>'[10]176 Tons'!I189</f>
        <v>17.316397699276632</v>
      </c>
      <c r="F73">
        <f>'[10]176 Tons'!J189</f>
        <v>23.089780728980557</v>
      </c>
      <c r="G73">
        <f>'[10]176 Tons'!K189</f>
        <v>13.218155461506782</v>
      </c>
      <c r="H73">
        <f>'[10]176 Tons'!L189</f>
        <v>11.270073729641465</v>
      </c>
      <c r="I73">
        <f>'[10]176 Tons'!M189</f>
        <v>20.017708997151907</v>
      </c>
      <c r="J73">
        <f>'[10]176 Tons'!N189</f>
        <v>15.71189613977814</v>
      </c>
      <c r="K73">
        <f>'[10]176 Tons'!O189</f>
        <v>16.167535718397982</v>
      </c>
      <c r="L73">
        <f>'[11]176 Tons'!D189</f>
        <v>15.207799309360921</v>
      </c>
      <c r="M73">
        <f>'[11]176 Tons'!E189</f>
        <v>11.317624288785469</v>
      </c>
      <c r="N73">
        <f>'[11]176 Tons'!F189</f>
        <v>9.6583540012491422</v>
      </c>
      <c r="O73">
        <f>'[11]176 Tons'!G189</f>
        <v>23.677920287612299</v>
      </c>
      <c r="P73" t="str">
        <f t="shared" si="2"/>
        <v>NRRec tons</v>
      </c>
      <c r="Q73">
        <f t="shared" si="3"/>
        <v>190.8750506013055</v>
      </c>
    </row>
    <row r="74" spans="1:17" x14ac:dyDescent="0.2">
      <c r="A74" t="s">
        <v>65</v>
      </c>
      <c r="C74" t="s">
        <v>59</v>
      </c>
      <c r="D74">
        <f>'[10]176 Tons'!H190</f>
        <v>30.995248040890466</v>
      </c>
      <c r="E74">
        <f>'[10]176 Tons'!I190</f>
        <v>19.972121891206861</v>
      </c>
      <c r="F74">
        <f>'[10]176 Tons'!J190</f>
        <v>29.258443611557489</v>
      </c>
      <c r="G74">
        <f>'[10]176 Tons'!K190</f>
        <v>16.604844191528525</v>
      </c>
      <c r="H74">
        <f>'[10]176 Tons'!L190</f>
        <v>21.700290729660953</v>
      </c>
      <c r="I74">
        <f>'[10]176 Tons'!M190</f>
        <v>11.92670049571727</v>
      </c>
      <c r="J74">
        <f>'[10]176 Tons'!N190</f>
        <v>22.353822080050829</v>
      </c>
      <c r="K74">
        <f>'[10]176 Tons'!O190</f>
        <v>25.25932703659976</v>
      </c>
      <c r="L74">
        <f>'[11]176 Tons'!D190</f>
        <v>19.79099960645415</v>
      </c>
      <c r="M74">
        <f>'[11]176 Tons'!E190</f>
        <v>12.059291617473434</v>
      </c>
      <c r="N74">
        <f>'[11]176 Tons'!F190</f>
        <v>26.336696182605266</v>
      </c>
      <c r="O74">
        <f>'[11]176 Tons'!G190</f>
        <v>25.739163715072806</v>
      </c>
      <c r="P74" t="str">
        <f t="shared" si="2"/>
        <v xml:space="preserve">NRYW tons </v>
      </c>
      <c r="Q74">
        <f t="shared" si="3"/>
        <v>261.99694919881784</v>
      </c>
    </row>
    <row r="75" spans="1:17" x14ac:dyDescent="0.2">
      <c r="A75" t="s">
        <v>65</v>
      </c>
      <c r="C75" t="s">
        <v>60</v>
      </c>
      <c r="D75">
        <f>'[10]176 Tons'!H191</f>
        <v>38.815365906295526</v>
      </c>
      <c r="E75">
        <f>'[10]176 Tons'!I191</f>
        <v>24.759859254670744</v>
      </c>
      <c r="F75">
        <f>'[10]176 Tons'!J191</f>
        <v>42.743493061131019</v>
      </c>
      <c r="G75">
        <f>'[10]176 Tons'!K191</f>
        <v>30.938071835703205</v>
      </c>
      <c r="H75">
        <f>'[10]176 Tons'!L191</f>
        <v>35.847130540970959</v>
      </c>
      <c r="I75">
        <f>'[10]176 Tons'!M191</f>
        <v>36.850790417873633</v>
      </c>
      <c r="J75">
        <f>'[10]176 Tons'!N191</f>
        <v>31.669855047934128</v>
      </c>
      <c r="K75">
        <f>'[10]176 Tons'!O191</f>
        <v>34.693026957057327</v>
      </c>
      <c r="L75">
        <f>'[11]176 Tons'!D191</f>
        <v>42.415584375314467</v>
      </c>
      <c r="M75">
        <f>'[11]176 Tons'!E191</f>
        <v>30.228896883866767</v>
      </c>
      <c r="N75">
        <f>'[11]176 Tons'!F191</f>
        <v>35.712556863284192</v>
      </c>
      <c r="O75">
        <f>'[11]176 Tons'!G191</f>
        <v>42.406499522461296</v>
      </c>
      <c r="P75" t="str">
        <f t="shared" si="2"/>
        <v>NRMSW tons</v>
      </c>
      <c r="Q75">
        <f t="shared" si="3"/>
        <v>427.08113066656318</v>
      </c>
    </row>
    <row r="76" spans="1:17" x14ac:dyDescent="0.2">
      <c r="A76" t="s">
        <v>100</v>
      </c>
      <c r="B76" t="s">
        <v>64</v>
      </c>
      <c r="C76" t="s">
        <v>56</v>
      </c>
      <c r="D76">
        <f>'[10]176 Tons'!H211</f>
        <v>2502</v>
      </c>
      <c r="E76">
        <f>'[10]176 Tons'!I211</f>
        <v>2502</v>
      </c>
      <c r="F76">
        <f>'[10]176 Tons'!J211</f>
        <v>2502</v>
      </c>
      <c r="G76">
        <f>'[10]176 Tons'!K211</f>
        <v>2507</v>
      </c>
      <c r="H76">
        <f>'[10]176 Tons'!L211</f>
        <v>2651</v>
      </c>
      <c r="I76">
        <f>'[10]176 Tons'!M211</f>
        <v>2653</v>
      </c>
      <c r="J76">
        <f>'[10]176 Tons'!N211</f>
        <v>2651</v>
      </c>
      <c r="K76">
        <f>'[10]176 Tons'!O211</f>
        <v>2671</v>
      </c>
      <c r="L76">
        <f>'[11]176 Tons'!D211</f>
        <v>2678</v>
      </c>
      <c r="M76">
        <f>'[11]176 Tons'!E211</f>
        <v>2679</v>
      </c>
      <c r="N76">
        <f>'[11]176 Tons'!F211</f>
        <v>2701</v>
      </c>
      <c r="O76">
        <f>'[11]176 Tons'!G211</f>
        <v>2712</v>
      </c>
      <c r="P76" t="str">
        <f t="shared" si="2"/>
        <v>MRREC cust</v>
      </c>
      <c r="Q76">
        <f t="shared" si="3"/>
        <v>31409</v>
      </c>
    </row>
    <row r="77" spans="1:17" x14ac:dyDescent="0.2">
      <c r="A77" t="s">
        <v>100</v>
      </c>
      <c r="C77" t="s">
        <v>57</v>
      </c>
      <c r="D77">
        <f>'[10]176 Tons'!H212</f>
        <v>1375</v>
      </c>
      <c r="E77">
        <f>'[10]176 Tons'!I212</f>
        <v>1395</v>
      </c>
      <c r="F77">
        <f>'[10]176 Tons'!J212</f>
        <v>1401</v>
      </c>
      <c r="G77">
        <f>'[10]176 Tons'!K212</f>
        <v>1405</v>
      </c>
      <c r="H77">
        <f>'[10]176 Tons'!L212</f>
        <v>1480</v>
      </c>
      <c r="I77">
        <f>'[10]176 Tons'!M212</f>
        <v>1478</v>
      </c>
      <c r="J77">
        <f>'[10]176 Tons'!N212</f>
        <v>1463</v>
      </c>
      <c r="K77">
        <f>'[10]176 Tons'!O212</f>
        <v>1462</v>
      </c>
      <c r="L77">
        <f>'[11]176 Tons'!D212</f>
        <v>1451</v>
      </c>
      <c r="M77">
        <f>'[11]176 Tons'!E212</f>
        <v>1449</v>
      </c>
      <c r="N77">
        <f>'[11]176 Tons'!F212</f>
        <v>1477</v>
      </c>
      <c r="O77">
        <f>'[11]176 Tons'!G212</f>
        <v>1536</v>
      </c>
      <c r="P77" t="str">
        <f t="shared" si="2"/>
        <v>MRYW cust</v>
      </c>
      <c r="Q77">
        <f t="shared" si="3"/>
        <v>17372</v>
      </c>
    </row>
    <row r="78" spans="1:17" x14ac:dyDescent="0.2">
      <c r="A78" t="s">
        <v>100</v>
      </c>
      <c r="D78">
        <f>'[10]176 Tons'!H213</f>
        <v>0</v>
      </c>
      <c r="E78">
        <f>'[10]176 Tons'!I213</f>
        <v>0</v>
      </c>
      <c r="F78">
        <f>'[10]176 Tons'!J213</f>
        <v>0</v>
      </c>
      <c r="G78">
        <f>'[10]176 Tons'!K213</f>
        <v>0</v>
      </c>
      <c r="H78">
        <f>'[10]176 Tons'!L213</f>
        <v>0</v>
      </c>
      <c r="I78">
        <f>'[10]176 Tons'!M213</f>
        <v>0</v>
      </c>
      <c r="J78">
        <f>'[10]176 Tons'!N213</f>
        <v>0</v>
      </c>
      <c r="K78">
        <f>'[10]176 Tons'!O213</f>
        <v>0</v>
      </c>
      <c r="L78">
        <f>'[11]176 Tons'!D213</f>
        <v>0</v>
      </c>
      <c r="M78">
        <f>'[11]176 Tons'!E213</f>
        <v>0</v>
      </c>
      <c r="N78">
        <f>'[11]176 Tons'!F213</f>
        <v>0</v>
      </c>
      <c r="O78">
        <f>'[11]176 Tons'!G213</f>
        <v>0</v>
      </c>
      <c r="P78" t="str">
        <f t="shared" si="2"/>
        <v>MR</v>
      </c>
      <c r="Q78">
        <f t="shared" si="3"/>
        <v>0</v>
      </c>
    </row>
    <row r="79" spans="1:17" x14ac:dyDescent="0.2">
      <c r="A79" t="s">
        <v>100</v>
      </c>
      <c r="C79" t="s">
        <v>58</v>
      </c>
      <c r="D79">
        <f>'[10]176 Tons'!H214</f>
        <v>66.674626248369535</v>
      </c>
      <c r="E79">
        <f>'[10]176 Tons'!I214</f>
        <v>61.676615227305128</v>
      </c>
      <c r="F79">
        <f>'[10]176 Tons'!J214</f>
        <v>86.848399464293919</v>
      </c>
      <c r="G79">
        <f>'[10]176 Tons'!K214</f>
        <v>74.136527571275849</v>
      </c>
      <c r="H79">
        <f>'[10]176 Tons'!L214</f>
        <v>62.212661227870313</v>
      </c>
      <c r="I79">
        <f>'[10]176 Tons'!M214</f>
        <v>64.626748611299192</v>
      </c>
      <c r="J79">
        <f>'[10]176 Tons'!N214</f>
        <v>59.504610979907135</v>
      </c>
      <c r="K79">
        <f>'[10]176 Tons'!O214</f>
        <v>81.20225028569368</v>
      </c>
      <c r="L79">
        <f>'[11]176 Tons'!D214</f>
        <v>99.324505203571704</v>
      </c>
      <c r="M79">
        <f>'[11]176 Tons'!E214</f>
        <v>62.886829456668664</v>
      </c>
      <c r="N79">
        <f>'[11]176 Tons'!F214</f>
        <v>61.186874902644583</v>
      </c>
      <c r="O79">
        <f>'[11]176 Tons'!G214</f>
        <v>66.220801123663236</v>
      </c>
      <c r="P79" t="str">
        <f t="shared" si="2"/>
        <v>MRRec tons</v>
      </c>
      <c r="Q79">
        <f t="shared" si="3"/>
        <v>846.50145030256294</v>
      </c>
    </row>
    <row r="80" spans="1:17" x14ac:dyDescent="0.2">
      <c r="A80" t="s">
        <v>100</v>
      </c>
      <c r="C80" t="s">
        <v>59</v>
      </c>
      <c r="D80">
        <f>'[10]176 Tons'!H215</f>
        <v>162.23953956674609</v>
      </c>
      <c r="E80">
        <f>'[10]176 Tons'!I215</f>
        <v>118.26133900258738</v>
      </c>
      <c r="F80">
        <f>'[10]176 Tons'!J215</f>
        <v>100.22649356715598</v>
      </c>
      <c r="G80">
        <f>'[10]176 Tons'!K215</f>
        <v>86.230077385555219</v>
      </c>
      <c r="H80">
        <f>'[10]176 Tons'!L215</f>
        <v>92.435665962572756</v>
      </c>
      <c r="I80">
        <f>'[10]176 Tons'!M215</f>
        <v>94.273213447190216</v>
      </c>
      <c r="J80">
        <f>'[10]176 Tons'!N215</f>
        <v>102.62306063835014</v>
      </c>
      <c r="K80">
        <f>'[10]176 Tons'!O215</f>
        <v>44.08872123646352</v>
      </c>
      <c r="L80">
        <f>'[11]176 Tons'!D215</f>
        <v>46.884662225670077</v>
      </c>
      <c r="M80">
        <f>'[11]176 Tons'!E215</f>
        <v>34.99770977546946</v>
      </c>
      <c r="N80">
        <f>'[11]176 Tons'!F215</f>
        <v>74.304118809214174</v>
      </c>
      <c r="O80">
        <f>'[11]176 Tons'!G215</f>
        <v>136.99633877015609</v>
      </c>
      <c r="P80" t="str">
        <f t="shared" si="2"/>
        <v xml:space="preserve">MRYW tons </v>
      </c>
      <c r="Q80">
        <f t="shared" si="3"/>
        <v>1093.560940387131</v>
      </c>
    </row>
    <row r="81" spans="1:17" x14ac:dyDescent="0.2">
      <c r="A81" t="s">
        <v>100</v>
      </c>
      <c r="C81" t="s">
        <v>60</v>
      </c>
      <c r="D81">
        <f>'[10]176 Tons'!H216</f>
        <v>169.83250587141112</v>
      </c>
      <c r="E81">
        <f>'[10]176 Tons'!I216</f>
        <v>163.85606607362482</v>
      </c>
      <c r="F81">
        <f>'[10]176 Tons'!J216</f>
        <v>135.45996466972804</v>
      </c>
      <c r="G81">
        <f>'[10]176 Tons'!K216</f>
        <v>150.91529420668306</v>
      </c>
      <c r="H81">
        <f>'[10]176 Tons'!L216</f>
        <v>146.32972156260456</v>
      </c>
      <c r="I81">
        <f>'[10]176 Tons'!M216</f>
        <v>149.36903641447827</v>
      </c>
      <c r="J81">
        <f>'[10]176 Tons'!N216</f>
        <v>145.35858780826345</v>
      </c>
      <c r="K81">
        <f>'[10]176 Tons'!O216</f>
        <v>145.55538123427735</v>
      </c>
      <c r="L81">
        <f>'[11]176 Tons'!D216</f>
        <v>161.70796231133863</v>
      </c>
      <c r="M81">
        <f>'[11]176 Tons'!E216</f>
        <v>129.79788460779673</v>
      </c>
      <c r="N81">
        <f>'[11]176 Tons'!F216</f>
        <v>139.63426682612953</v>
      </c>
      <c r="O81">
        <f>'[11]176 Tons'!G216</f>
        <v>157.7863986948598</v>
      </c>
      <c r="P81" t="str">
        <f t="shared" si="2"/>
        <v>MRMSW tons</v>
      </c>
      <c r="Q81">
        <f t="shared" si="3"/>
        <v>1795.6030702811954</v>
      </c>
    </row>
    <row r="82" spans="1:17" x14ac:dyDescent="0.2">
      <c r="A82" t="s">
        <v>55</v>
      </c>
      <c r="B82" t="s">
        <v>72</v>
      </c>
      <c r="C82" t="s">
        <v>56</v>
      </c>
      <c r="D82">
        <f>'[12]ES TONS'!H63</f>
        <v>156</v>
      </c>
      <c r="E82">
        <f>'[12]ES TONS'!I63</f>
        <v>156</v>
      </c>
      <c r="F82">
        <f>'[12]ES TONS'!J63</f>
        <v>151</v>
      </c>
      <c r="G82">
        <f>'[12]ES TONS'!K63</f>
        <v>153</v>
      </c>
      <c r="H82">
        <f>'[12]ES TONS'!L63</f>
        <v>154</v>
      </c>
      <c r="I82">
        <f>'[12]ES TONS'!M63</f>
        <v>155</v>
      </c>
      <c r="J82">
        <f>'[12]ES TONS'!N63</f>
        <v>154</v>
      </c>
      <c r="K82">
        <f>'[12]ES TONS'!O63</f>
        <v>153</v>
      </c>
      <c r="L82">
        <f>'[13]ES TONS'!D63</f>
        <v>147</v>
      </c>
      <c r="M82">
        <f>'[13]ES TONS'!E63</f>
        <v>148</v>
      </c>
      <c r="N82">
        <f>'[13]ES TONS'!F63</f>
        <v>151</v>
      </c>
      <c r="O82">
        <f>'[13]ES TONS'!G63</f>
        <v>150</v>
      </c>
      <c r="P82" t="str">
        <f t="shared" si="2"/>
        <v>RREC cust</v>
      </c>
      <c r="Q82">
        <f t="shared" si="3"/>
        <v>1828</v>
      </c>
    </row>
    <row r="83" spans="1:17" x14ac:dyDescent="0.2">
      <c r="A83" t="s">
        <v>55</v>
      </c>
      <c r="C83" t="s">
        <v>57</v>
      </c>
      <c r="D83">
        <f>'[12]ES TONS'!H64</f>
        <v>90</v>
      </c>
      <c r="E83">
        <f>'[12]ES TONS'!I64</f>
        <v>90</v>
      </c>
      <c r="F83">
        <f>'[12]ES TONS'!J64</f>
        <v>88</v>
      </c>
      <c r="G83">
        <f>'[12]ES TONS'!K64</f>
        <v>88</v>
      </c>
      <c r="H83">
        <f>'[12]ES TONS'!L64</f>
        <v>90</v>
      </c>
      <c r="I83">
        <f>'[12]ES TONS'!M64</f>
        <v>91</v>
      </c>
      <c r="J83">
        <f>'[12]ES TONS'!N64</f>
        <v>91</v>
      </c>
      <c r="K83">
        <f>'[12]ES TONS'!O64</f>
        <v>91</v>
      </c>
      <c r="L83">
        <f>'[13]ES TONS'!D64</f>
        <v>89</v>
      </c>
      <c r="M83">
        <f>'[13]ES TONS'!E64</f>
        <v>89</v>
      </c>
      <c r="N83">
        <f>'[13]ES TONS'!F64</f>
        <v>90</v>
      </c>
      <c r="O83">
        <f>'[13]ES TONS'!G64</f>
        <v>89</v>
      </c>
      <c r="P83" t="str">
        <f t="shared" si="2"/>
        <v>RYW cust</v>
      </c>
      <c r="Q83">
        <f t="shared" si="3"/>
        <v>1076</v>
      </c>
    </row>
    <row r="84" spans="1:17" x14ac:dyDescent="0.2">
      <c r="A84" t="s">
        <v>55</v>
      </c>
      <c r="D84">
        <f>'[12]ES TONS'!H65</f>
        <v>0</v>
      </c>
      <c r="E84">
        <f>'[12]ES TONS'!I65</f>
        <v>0</v>
      </c>
      <c r="F84">
        <f>'[12]ES TONS'!J65</f>
        <v>0</v>
      </c>
      <c r="G84">
        <f>'[12]ES TONS'!K65</f>
        <v>0</v>
      </c>
      <c r="H84">
        <f>'[12]ES TONS'!L65</f>
        <v>0</v>
      </c>
      <c r="I84">
        <f>'[12]ES TONS'!M65</f>
        <v>0</v>
      </c>
      <c r="J84">
        <f>'[12]ES TONS'!N65</f>
        <v>0</v>
      </c>
      <c r="K84">
        <f>'[12]ES TONS'!O65</f>
        <v>0</v>
      </c>
      <c r="L84">
        <f>'[13]ES TONS'!D65</f>
        <v>0</v>
      </c>
      <c r="M84">
        <f>'[13]ES TONS'!E65</f>
        <v>0</v>
      </c>
      <c r="N84">
        <f>'[13]ES TONS'!F65</f>
        <v>0</v>
      </c>
      <c r="O84">
        <f>'[13]ES TONS'!G65</f>
        <v>0</v>
      </c>
      <c r="P84" t="str">
        <f t="shared" si="2"/>
        <v>R</v>
      </c>
      <c r="Q84">
        <f t="shared" si="3"/>
        <v>0</v>
      </c>
    </row>
    <row r="85" spans="1:17" x14ac:dyDescent="0.2">
      <c r="A85" t="s">
        <v>55</v>
      </c>
      <c r="C85" t="s">
        <v>58</v>
      </c>
      <c r="D85">
        <f>'[12]ES TONS'!H66</f>
        <v>6.30737861314668</v>
      </c>
      <c r="E85">
        <f>'[12]ES TONS'!I66</f>
        <v>6.2803229157282114</v>
      </c>
      <c r="F85">
        <f>'[12]ES TONS'!J66</f>
        <v>5.7638948758435449</v>
      </c>
      <c r="G85">
        <f>'[12]ES TONS'!K66</f>
        <v>8.713856197676682</v>
      </c>
      <c r="H85">
        <f>'[12]ES TONS'!L66</f>
        <v>4.7020675669265097</v>
      </c>
      <c r="I85">
        <f>'[12]ES TONS'!M66</f>
        <v>4.4942821452634201</v>
      </c>
      <c r="J85">
        <f>'[12]ES TONS'!N66</f>
        <v>4.3354716643743254</v>
      </c>
      <c r="K85">
        <f>'[12]ES TONS'!O66</f>
        <v>4.4685133208735897</v>
      </c>
      <c r="L85">
        <f>'[13]ES TONS'!D66</f>
        <v>7.6332360572814562</v>
      </c>
      <c r="M85">
        <f>'[13]ES TONS'!E66</f>
        <v>4.1934774535649453</v>
      </c>
      <c r="N85">
        <f>'[13]ES TONS'!F66</f>
        <v>4.8610067486874788</v>
      </c>
      <c r="O85">
        <f>'[13]ES TONS'!G66</f>
        <v>3.8900009770262165</v>
      </c>
      <c r="P85" t="str">
        <f t="shared" si="2"/>
        <v>RRec tons</v>
      </c>
      <c r="Q85">
        <f t="shared" si="3"/>
        <v>65.643508536393057</v>
      </c>
    </row>
    <row r="86" spans="1:17" x14ac:dyDescent="0.2">
      <c r="A86" t="s">
        <v>55</v>
      </c>
      <c r="C86" t="s">
        <v>59</v>
      </c>
      <c r="D86">
        <f>'[12]ES TONS'!H67</f>
        <v>15.156684806708405</v>
      </c>
      <c r="E86">
        <f>'[12]ES TONS'!I67</f>
        <v>10.639688319316894</v>
      </c>
      <c r="F86">
        <f>'[12]ES TONS'!J67</f>
        <v>7.6079806680290645</v>
      </c>
      <c r="G86">
        <f>'[12]ES TONS'!K67</f>
        <v>8.0058339443938067</v>
      </c>
      <c r="H86">
        <f>'[12]ES TONS'!L67</f>
        <v>8.7258670921014581</v>
      </c>
      <c r="I86">
        <f>'[12]ES TONS'!M67</f>
        <v>11.430920220959123</v>
      </c>
      <c r="J86">
        <f>'[12]ES TONS'!N67</f>
        <v>11.290802165332193</v>
      </c>
      <c r="K86">
        <f>'[12]ES TONS'!O67</f>
        <v>7.6233695953930383</v>
      </c>
      <c r="L86">
        <f>'[13]ES TONS'!D67</f>
        <v>7.6626641461083356</v>
      </c>
      <c r="M86">
        <f>'[13]ES TONS'!E67</f>
        <v>5.0053061741891156</v>
      </c>
      <c r="N86">
        <f>'[13]ES TONS'!F67</f>
        <v>6.4468119452447272</v>
      </c>
      <c r="O86">
        <f>'[13]ES TONS'!G67</f>
        <v>10.449119299599197</v>
      </c>
      <c r="P86" t="str">
        <f t="shared" si="2"/>
        <v xml:space="preserve">RYW tons </v>
      </c>
      <c r="Q86">
        <f t="shared" si="3"/>
        <v>110.04504837737537</v>
      </c>
    </row>
    <row r="87" spans="1:17" x14ac:dyDescent="0.2">
      <c r="A87" t="s">
        <v>55</v>
      </c>
      <c r="C87" t="s">
        <v>60</v>
      </c>
      <c r="D87">
        <f>'[12]ES TONS'!H68</f>
        <v>12.886862577372174</v>
      </c>
      <c r="E87">
        <f>'[12]ES TONS'!I68</f>
        <v>10.550076694190386</v>
      </c>
      <c r="F87">
        <f>'[12]ES TONS'!J68</f>
        <v>10.795649247403189</v>
      </c>
      <c r="G87">
        <f>'[12]ES TONS'!K68</f>
        <v>13.224090820029982</v>
      </c>
      <c r="H87">
        <f>'[12]ES TONS'!L68</f>
        <v>10.627178932758778</v>
      </c>
      <c r="I87">
        <f>'[12]ES TONS'!M68</f>
        <v>11.605262306310623</v>
      </c>
      <c r="J87">
        <f>'[12]ES TONS'!N68</f>
        <v>9.8820436732326602</v>
      </c>
      <c r="K87">
        <f>'[12]ES TONS'!O68</f>
        <v>10.275836738128168</v>
      </c>
      <c r="L87">
        <f>'[13]ES TONS'!D68</f>
        <v>12.086693430332753</v>
      </c>
      <c r="M87">
        <f>'[13]ES TONS'!E68</f>
        <v>8.6641682124586161</v>
      </c>
      <c r="N87">
        <f>'[13]ES TONS'!F68</f>
        <v>9.0105008002561267</v>
      </c>
      <c r="O87">
        <f>'[13]ES TONS'!G68</f>
        <v>8.2500509791463799</v>
      </c>
      <c r="P87" t="str">
        <f t="shared" si="2"/>
        <v>RMSW tons</v>
      </c>
      <c r="Q87">
        <f t="shared" si="3"/>
        <v>127.85841441161983</v>
      </c>
    </row>
    <row r="88" spans="1:17" x14ac:dyDescent="0.2">
      <c r="A88" t="s">
        <v>55</v>
      </c>
      <c r="B88" t="s">
        <v>73</v>
      </c>
      <c r="C88" t="s">
        <v>56</v>
      </c>
      <c r="D88">
        <f>'[12]ES TONS'!H85</f>
        <v>108</v>
      </c>
      <c r="E88">
        <f>'[12]ES TONS'!I85</f>
        <v>108</v>
      </c>
      <c r="F88">
        <f>'[12]ES TONS'!J85</f>
        <v>108</v>
      </c>
      <c r="G88">
        <f>'[12]ES TONS'!K85</f>
        <v>104</v>
      </c>
      <c r="H88">
        <f>'[12]ES TONS'!L85</f>
        <v>107</v>
      </c>
      <c r="I88">
        <f>'[12]ES TONS'!M85</f>
        <v>107</v>
      </c>
      <c r="J88">
        <f>'[12]ES TONS'!N85</f>
        <v>107</v>
      </c>
      <c r="K88">
        <f>'[12]ES TONS'!O85</f>
        <v>107</v>
      </c>
      <c r="L88">
        <f>'[13]ES TONS'!D85</f>
        <v>106</v>
      </c>
      <c r="M88">
        <f>'[13]ES TONS'!E85</f>
        <v>108</v>
      </c>
      <c r="N88">
        <f>'[13]ES TONS'!F85</f>
        <v>108</v>
      </c>
      <c r="O88">
        <f>'[13]ES TONS'!G85</f>
        <v>108</v>
      </c>
      <c r="P88" t="str">
        <f t="shared" si="2"/>
        <v>RREC cust</v>
      </c>
      <c r="Q88">
        <f t="shared" si="3"/>
        <v>1286</v>
      </c>
    </row>
    <row r="89" spans="1:17" x14ac:dyDescent="0.2">
      <c r="A89" t="s">
        <v>55</v>
      </c>
      <c r="C89" t="s">
        <v>57</v>
      </c>
      <c r="D89">
        <f>'[12]ES TONS'!H86</f>
        <v>97</v>
      </c>
      <c r="E89">
        <f>'[12]ES TONS'!I86</f>
        <v>97</v>
      </c>
      <c r="F89">
        <f>'[12]ES TONS'!J86</f>
        <v>97</v>
      </c>
      <c r="G89">
        <f>'[12]ES TONS'!K86</f>
        <v>93</v>
      </c>
      <c r="H89">
        <f>'[12]ES TONS'!L86</f>
        <v>96</v>
      </c>
      <c r="I89">
        <f>'[12]ES TONS'!M86</f>
        <v>96</v>
      </c>
      <c r="J89">
        <f>'[12]ES TONS'!N86</f>
        <v>96</v>
      </c>
      <c r="K89">
        <f>'[12]ES TONS'!O86</f>
        <v>95</v>
      </c>
      <c r="L89">
        <f>'[13]ES TONS'!D86</f>
        <v>94</v>
      </c>
      <c r="M89">
        <f>'[13]ES TONS'!E86</f>
        <v>96</v>
      </c>
      <c r="N89">
        <f>'[13]ES TONS'!F86</f>
        <v>96</v>
      </c>
      <c r="O89">
        <f>'[13]ES TONS'!G86</f>
        <v>98</v>
      </c>
      <c r="P89" t="str">
        <f t="shared" si="2"/>
        <v>RYW cust</v>
      </c>
      <c r="Q89">
        <f t="shared" si="3"/>
        <v>1151</v>
      </c>
    </row>
    <row r="90" spans="1:17" x14ac:dyDescent="0.2">
      <c r="A90" t="s">
        <v>55</v>
      </c>
      <c r="D90">
        <f>'[12]ES TONS'!H87</f>
        <v>0</v>
      </c>
      <c r="E90">
        <f>'[12]ES TONS'!I87</f>
        <v>0</v>
      </c>
      <c r="F90">
        <f>'[12]ES TONS'!J87</f>
        <v>0</v>
      </c>
      <c r="G90">
        <f>'[12]ES TONS'!K87</f>
        <v>0</v>
      </c>
      <c r="H90">
        <f>'[12]ES TONS'!L87</f>
        <v>0</v>
      </c>
      <c r="I90">
        <f>'[12]ES TONS'!M87</f>
        <v>0</v>
      </c>
      <c r="J90">
        <f>'[12]ES TONS'!N87</f>
        <v>0</v>
      </c>
      <c r="K90">
        <f>'[12]ES TONS'!O87</f>
        <v>0</v>
      </c>
      <c r="L90">
        <f>'[13]ES TONS'!D87</f>
        <v>0</v>
      </c>
      <c r="M90">
        <f>'[13]ES TONS'!E87</f>
        <v>0</v>
      </c>
      <c r="N90">
        <f>'[13]ES TONS'!F87</f>
        <v>0</v>
      </c>
      <c r="O90">
        <f>'[13]ES TONS'!G87</f>
        <v>0</v>
      </c>
      <c r="P90" t="str">
        <f t="shared" si="2"/>
        <v>R</v>
      </c>
      <c r="Q90">
        <f t="shared" si="3"/>
        <v>0</v>
      </c>
    </row>
    <row r="91" spans="1:17" x14ac:dyDescent="0.2">
      <c r="A91" t="s">
        <v>55</v>
      </c>
      <c r="C91" t="s">
        <v>58</v>
      </c>
      <c r="D91">
        <f>'[12]ES TONS'!H88</f>
        <v>5.3524370396032239</v>
      </c>
      <c r="E91">
        <f>'[12]ES TONS'!I88</f>
        <v>5.0519105956788115</v>
      </c>
      <c r="F91">
        <f>'[12]ES TONS'!J88</f>
        <v>5.4190900691859492</v>
      </c>
      <c r="G91">
        <f>'[12]ES TONS'!K88</f>
        <v>4.3877983659315287</v>
      </c>
      <c r="H91">
        <f>'[12]ES TONS'!L88</f>
        <v>4.5025109309620337</v>
      </c>
      <c r="I91">
        <f>'[12]ES TONS'!M88</f>
        <v>4.1835898096705568</v>
      </c>
      <c r="J91">
        <f>'[12]ES TONS'!N88</f>
        <v>4.3112089313325139</v>
      </c>
      <c r="K91">
        <f>'[12]ES TONS'!O88</f>
        <v>4.9493339739377058</v>
      </c>
      <c r="L91">
        <f>'[13]ES TONS'!D88</f>
        <v>6.980574165622647</v>
      </c>
      <c r="M91">
        <f>'[13]ES TONS'!E88</f>
        <v>4.7216165791843077</v>
      </c>
      <c r="N91">
        <f>'[13]ES TONS'!F88</f>
        <v>4.6073266044653103</v>
      </c>
      <c r="O91">
        <f>'[13]ES TONS'!G88</f>
        <v>5.2027133940484038</v>
      </c>
      <c r="P91" t="str">
        <f t="shared" si="2"/>
        <v>RRec tons</v>
      </c>
      <c r="Q91">
        <f t="shared" si="3"/>
        <v>59.67011045962299</v>
      </c>
    </row>
    <row r="92" spans="1:17" x14ac:dyDescent="0.2">
      <c r="A92" t="s">
        <v>55</v>
      </c>
      <c r="C92" t="s">
        <v>59</v>
      </c>
      <c r="D92">
        <f>'[12]ES TONS'!H89</f>
        <v>7.6615654956568502</v>
      </c>
      <c r="E92">
        <f>'[12]ES TONS'!I89</f>
        <v>5.3773681878915234</v>
      </c>
      <c r="F92">
        <f>'[12]ES TONS'!J89</f>
        <v>5.1347602643143384</v>
      </c>
      <c r="G92">
        <f>'[12]ES TONS'!K89</f>
        <v>3.3239511856610804</v>
      </c>
      <c r="H92">
        <f>'[12]ES TONS'!L89</f>
        <v>3.9434510532871552</v>
      </c>
      <c r="I92">
        <f>'[12]ES TONS'!M89</f>
        <v>5.3757396965931017</v>
      </c>
      <c r="J92">
        <f>'[12]ES TONS'!N89</f>
        <v>8.4017829443024521</v>
      </c>
      <c r="K92">
        <f>'[12]ES TONS'!O89</f>
        <v>1.9637868695127925</v>
      </c>
      <c r="L92">
        <f>'[13]ES TONS'!D89</f>
        <v>4.0697913016429217</v>
      </c>
      <c r="M92">
        <f>'[13]ES TONS'!E89</f>
        <v>2.3323049032087235</v>
      </c>
      <c r="N92">
        <f>'[13]ES TONS'!F89</f>
        <v>3.6274022366803238</v>
      </c>
      <c r="O92">
        <f>'[13]ES TONS'!G89</f>
        <v>6.212284270755231</v>
      </c>
      <c r="P92" t="str">
        <f t="shared" si="2"/>
        <v xml:space="preserve">RYW tons </v>
      </c>
      <c r="Q92">
        <f t="shared" si="3"/>
        <v>57.424188409506499</v>
      </c>
    </row>
    <row r="93" spans="1:17" x14ac:dyDescent="0.2">
      <c r="A93" t="s">
        <v>55</v>
      </c>
      <c r="C93" t="s">
        <v>60</v>
      </c>
      <c r="D93">
        <f>'[12]ES TONS'!H90</f>
        <v>5.6995630344683654</v>
      </c>
      <c r="E93">
        <f>'[12]ES TONS'!I90</f>
        <v>4.6662441160004828</v>
      </c>
      <c r="F93">
        <f>'[12]ES TONS'!J90</f>
        <v>5.9543677871141751</v>
      </c>
      <c r="G93">
        <f>'[12]ES TONS'!K90</f>
        <v>4.9931286998221545</v>
      </c>
      <c r="H93">
        <f>'[12]ES TONS'!L90</f>
        <v>4.9886780201981713</v>
      </c>
      <c r="I93">
        <f>'[12]ES TONS'!M90</f>
        <v>5.5357783917682939</v>
      </c>
      <c r="J93">
        <f>'[12]ES TONS'!N90</f>
        <v>4.7770261528201212</v>
      </c>
      <c r="K93">
        <f>'[12]ES TONS'!O90</f>
        <v>4.8871295027306685</v>
      </c>
      <c r="L93">
        <f>'[13]ES TONS'!D90</f>
        <v>5.9063609641087078</v>
      </c>
      <c r="M93">
        <f>'[13]ES TONS'!E90</f>
        <v>4.5177481824121593</v>
      </c>
      <c r="N93">
        <f>'[13]ES TONS'!F90</f>
        <v>4.4829345248676802</v>
      </c>
      <c r="O93">
        <f>'[13]ES TONS'!G90</f>
        <v>5.5293304078199679</v>
      </c>
      <c r="P93" t="str">
        <f t="shared" si="2"/>
        <v>RMSW tons</v>
      </c>
      <c r="Q93">
        <f t="shared" si="3"/>
        <v>61.938289784130951</v>
      </c>
    </row>
    <row r="94" spans="1:17" x14ac:dyDescent="0.2">
      <c r="A94" t="s">
        <v>65</v>
      </c>
      <c r="B94" t="s">
        <v>74</v>
      </c>
      <c r="C94" t="s">
        <v>56</v>
      </c>
      <c r="D94">
        <f>'[12]ES TONS'!H107</f>
        <v>3933</v>
      </c>
      <c r="E94">
        <f>'[12]ES TONS'!I107</f>
        <v>3938</v>
      </c>
      <c r="F94">
        <f>'[12]ES TONS'!J107</f>
        <v>3919</v>
      </c>
      <c r="G94">
        <f>'[12]ES TONS'!K107</f>
        <v>3929</v>
      </c>
      <c r="H94">
        <f>'[12]ES TONS'!L107</f>
        <v>3929</v>
      </c>
      <c r="I94">
        <f>'[12]ES TONS'!M107</f>
        <v>3942</v>
      </c>
      <c r="J94">
        <f>'[12]ES TONS'!N107</f>
        <v>3931</v>
      </c>
      <c r="K94">
        <f>'[12]ES TONS'!O107</f>
        <v>3947</v>
      </c>
      <c r="L94">
        <f>'[13]ES TONS'!D107</f>
        <v>3931</v>
      </c>
      <c r="M94">
        <f>'[13]ES TONS'!E107</f>
        <v>3935</v>
      </c>
      <c r="N94">
        <f>'[13]ES TONS'!F107</f>
        <v>3949</v>
      </c>
      <c r="O94">
        <f>'[13]ES TONS'!G107</f>
        <v>3983</v>
      </c>
      <c r="P94" t="str">
        <f t="shared" si="2"/>
        <v>NRREC cust</v>
      </c>
      <c r="Q94">
        <f t="shared" si="3"/>
        <v>47266</v>
      </c>
    </row>
    <row r="95" spans="1:17" x14ac:dyDescent="0.2">
      <c r="A95" t="s">
        <v>65</v>
      </c>
      <c r="C95" t="s">
        <v>57</v>
      </c>
      <c r="D95">
        <f>'[12]ES TONS'!H108</f>
        <v>3655</v>
      </c>
      <c r="E95">
        <f>'[12]ES TONS'!I108</f>
        <v>3663</v>
      </c>
      <c r="F95">
        <f>'[12]ES TONS'!J108</f>
        <v>3650</v>
      </c>
      <c r="G95">
        <f>'[12]ES TONS'!K108</f>
        <v>3664</v>
      </c>
      <c r="H95">
        <f>'[12]ES TONS'!L108</f>
        <v>3686</v>
      </c>
      <c r="I95">
        <f>'[12]ES TONS'!M108</f>
        <v>3771</v>
      </c>
      <c r="J95">
        <f>'[12]ES TONS'!N108</f>
        <v>3786</v>
      </c>
      <c r="K95">
        <f>'[12]ES TONS'!O108</f>
        <v>3805</v>
      </c>
      <c r="L95">
        <f>'[13]ES TONS'!D108</f>
        <v>3794</v>
      </c>
      <c r="M95">
        <f>'[13]ES TONS'!E108</f>
        <v>3801</v>
      </c>
      <c r="N95">
        <f>'[13]ES TONS'!F108</f>
        <v>3820</v>
      </c>
      <c r="O95">
        <f>'[13]ES TONS'!G108</f>
        <v>3859</v>
      </c>
      <c r="P95" t="str">
        <f t="shared" si="2"/>
        <v>NRYW cust</v>
      </c>
      <c r="Q95">
        <f t="shared" si="3"/>
        <v>44954</v>
      </c>
    </row>
    <row r="96" spans="1:17" x14ac:dyDescent="0.2">
      <c r="A96" t="s">
        <v>65</v>
      </c>
      <c r="D96">
        <f>'[12]ES TONS'!H109</f>
        <v>0</v>
      </c>
      <c r="E96">
        <f>'[12]ES TONS'!I109</f>
        <v>0</v>
      </c>
      <c r="F96">
        <f>'[12]ES TONS'!J109</f>
        <v>0</v>
      </c>
      <c r="G96">
        <f>'[12]ES TONS'!K109</f>
        <v>0</v>
      </c>
      <c r="H96">
        <f>'[12]ES TONS'!L109</f>
        <v>0</v>
      </c>
      <c r="I96">
        <f>'[12]ES TONS'!M109</f>
        <v>0</v>
      </c>
      <c r="J96">
        <f>'[12]ES TONS'!N109</f>
        <v>0</v>
      </c>
      <c r="K96">
        <f>'[12]ES TONS'!O109</f>
        <v>0</v>
      </c>
      <c r="L96">
        <f>'[13]ES TONS'!D109</f>
        <v>0</v>
      </c>
      <c r="M96">
        <f>'[13]ES TONS'!E109</f>
        <v>0</v>
      </c>
      <c r="N96">
        <f>'[13]ES TONS'!F109</f>
        <v>0</v>
      </c>
      <c r="O96">
        <f>'[13]ES TONS'!G109</f>
        <v>0</v>
      </c>
      <c r="P96" t="str">
        <f t="shared" si="2"/>
        <v>NR</v>
      </c>
      <c r="Q96">
        <f t="shared" si="3"/>
        <v>0</v>
      </c>
    </row>
    <row r="97" spans="1:17" x14ac:dyDescent="0.2">
      <c r="A97" t="s">
        <v>65</v>
      </c>
      <c r="C97" t="s">
        <v>58</v>
      </c>
      <c r="D97">
        <f>'[12]ES TONS'!H110</f>
        <v>160.62679157537349</v>
      </c>
      <c r="E97">
        <f>'[12]ES TONS'!I110</f>
        <v>133.5931479827336</v>
      </c>
      <c r="F97">
        <f>'[12]ES TONS'!J110</f>
        <v>153.97466291261583</v>
      </c>
      <c r="G97">
        <f>'[12]ES TONS'!K110</f>
        <v>137.67858358683208</v>
      </c>
      <c r="H97">
        <f>'[12]ES TONS'!L110</f>
        <v>124.31886163547929</v>
      </c>
      <c r="I97">
        <f>'[12]ES TONS'!M110</f>
        <v>128.29149643920357</v>
      </c>
      <c r="J97">
        <f>'[12]ES TONS'!N110</f>
        <v>142.51515221774301</v>
      </c>
      <c r="K97">
        <f>'[12]ES TONS'!O110</f>
        <v>162.36762743925001</v>
      </c>
      <c r="L97">
        <f>'[13]ES TONS'!D110</f>
        <v>151.96706911664057</v>
      </c>
      <c r="M97">
        <f>'[13]ES TONS'!E110</f>
        <v>112.78356673414933</v>
      </c>
      <c r="N97">
        <f>'[13]ES TONS'!F110</f>
        <v>118.49254573897545</v>
      </c>
      <c r="O97">
        <f>'[13]ES TONS'!G110</f>
        <v>134.09010730417833</v>
      </c>
      <c r="P97" t="str">
        <f t="shared" si="2"/>
        <v>NRRec tons</v>
      </c>
      <c r="Q97">
        <f t="shared" si="3"/>
        <v>1660.6996126831746</v>
      </c>
    </row>
    <row r="98" spans="1:17" x14ac:dyDescent="0.2">
      <c r="A98" t="s">
        <v>65</v>
      </c>
      <c r="C98" t="s">
        <v>59</v>
      </c>
      <c r="D98">
        <f>'[12]ES TONS'!H111</f>
        <v>316.13424536023729</v>
      </c>
      <c r="E98">
        <f>'[12]ES TONS'!I111</f>
        <v>280.77724144829352</v>
      </c>
      <c r="F98">
        <f>'[12]ES TONS'!J111</f>
        <v>237.61895445204473</v>
      </c>
      <c r="G98">
        <f>'[12]ES TONS'!K111</f>
        <v>190.94073313953308</v>
      </c>
      <c r="H98">
        <f>'[12]ES TONS'!L111</f>
        <v>202.6606990570609</v>
      </c>
      <c r="I98">
        <f>'[12]ES TONS'!M111</f>
        <v>233.86133770350665</v>
      </c>
      <c r="J98">
        <f>'[12]ES TONS'!N111</f>
        <v>414.4421967809526</v>
      </c>
      <c r="K98">
        <f>'[12]ES TONS'!O111</f>
        <v>149.44837385071702</v>
      </c>
      <c r="L98">
        <f>'[13]ES TONS'!D111</f>
        <v>166.78127871858212</v>
      </c>
      <c r="M98">
        <f>'[13]ES TONS'!E111</f>
        <v>114.10738047096633</v>
      </c>
      <c r="N98">
        <f>'[13]ES TONS'!F111</f>
        <v>222.60345349297623</v>
      </c>
      <c r="O98">
        <f>'[13]ES TONS'!G111</f>
        <v>316.94646245622937</v>
      </c>
      <c r="P98" t="str">
        <f t="shared" si="2"/>
        <v xml:space="preserve">NRYW tons </v>
      </c>
      <c r="Q98">
        <f t="shared" si="3"/>
        <v>2846.3223569310994</v>
      </c>
    </row>
    <row r="99" spans="1:17" x14ac:dyDescent="0.2">
      <c r="A99" t="s">
        <v>65</v>
      </c>
      <c r="C99" t="s">
        <v>60</v>
      </c>
      <c r="D99">
        <f>'[12]ES TONS'!H112</f>
        <v>183.37293821991685</v>
      </c>
      <c r="E99">
        <f>'[12]ES TONS'!I112</f>
        <v>168.40068719374892</v>
      </c>
      <c r="F99">
        <f>'[12]ES TONS'!J112</f>
        <v>186.31873730043867</v>
      </c>
      <c r="G99">
        <f>'[12]ES TONS'!K112</f>
        <v>188.29449314130011</v>
      </c>
      <c r="H99">
        <f>'[12]ES TONS'!L112</f>
        <v>174.0045766136854</v>
      </c>
      <c r="I99">
        <f>'[12]ES TONS'!M112</f>
        <v>174.35842926115575</v>
      </c>
      <c r="J99">
        <f>'[12]ES TONS'!N112</f>
        <v>172.46074552536965</v>
      </c>
      <c r="K99">
        <f>'[12]ES TONS'!O112</f>
        <v>168.69159190824138</v>
      </c>
      <c r="L99">
        <f>'[13]ES TONS'!D112</f>
        <v>183.23407823124825</v>
      </c>
      <c r="M99">
        <f>'[13]ES TONS'!E112</f>
        <v>143.66103329089952</v>
      </c>
      <c r="N99">
        <f>'[13]ES TONS'!F112</f>
        <v>157.69639438201037</v>
      </c>
      <c r="O99">
        <f>'[13]ES TONS'!G112</f>
        <v>169.37020792769692</v>
      </c>
      <c r="P99" t="str">
        <f t="shared" si="2"/>
        <v>NRMSW tons</v>
      </c>
      <c r="Q99">
        <f t="shared" si="3"/>
        <v>2069.8639129957119</v>
      </c>
    </row>
    <row r="100" spans="1:17" x14ac:dyDescent="0.2">
      <c r="A100" t="s">
        <v>65</v>
      </c>
      <c r="B100" t="s">
        <v>75</v>
      </c>
      <c r="C100" t="s">
        <v>56</v>
      </c>
      <c r="D100">
        <f>'[12]ES TONS'!H129</f>
        <v>29206</v>
      </c>
      <c r="E100">
        <f>'[12]ES TONS'!I129</f>
        <v>29248</v>
      </c>
      <c r="F100">
        <f>'[12]ES TONS'!J129</f>
        <v>29173</v>
      </c>
      <c r="G100">
        <f>'[12]ES TONS'!K129</f>
        <v>29178</v>
      </c>
      <c r="H100">
        <f>'[12]ES TONS'!L129</f>
        <v>29352</v>
      </c>
      <c r="I100">
        <f>'[12]ES TONS'!M129</f>
        <v>29351</v>
      </c>
      <c r="J100">
        <f>'[12]ES TONS'!N129</f>
        <v>29202</v>
      </c>
      <c r="K100">
        <f>'[12]ES TONS'!O129</f>
        <v>29340</v>
      </c>
      <c r="L100">
        <f>'[13]ES TONS'!D129</f>
        <v>29178</v>
      </c>
      <c r="M100">
        <f>'[13]ES TONS'!E129</f>
        <v>29195</v>
      </c>
      <c r="N100">
        <f>'[13]ES TONS'!F129</f>
        <v>29261</v>
      </c>
      <c r="O100">
        <f>'[13]ES TONS'!G129</f>
        <v>29358</v>
      </c>
      <c r="P100" t="str">
        <f t="shared" si="2"/>
        <v>NRREC cust</v>
      </c>
      <c r="Q100">
        <f t="shared" si="3"/>
        <v>351042</v>
      </c>
    </row>
    <row r="101" spans="1:17" x14ac:dyDescent="0.2">
      <c r="A101" t="s">
        <v>65</v>
      </c>
      <c r="C101" t="s">
        <v>57</v>
      </c>
      <c r="D101">
        <f>'[12]ES TONS'!H130</f>
        <v>26403</v>
      </c>
      <c r="E101">
        <f>'[12]ES TONS'!I130</f>
        <v>26456</v>
      </c>
      <c r="F101">
        <f>'[12]ES TONS'!J130</f>
        <v>26415</v>
      </c>
      <c r="G101">
        <f>'[12]ES TONS'!K130</f>
        <v>26452</v>
      </c>
      <c r="H101">
        <f>'[12]ES TONS'!L130</f>
        <v>26626</v>
      </c>
      <c r="I101">
        <f>'[12]ES TONS'!M130</f>
        <v>26629</v>
      </c>
      <c r="J101">
        <f>'[12]ES TONS'!N130</f>
        <v>26514</v>
      </c>
      <c r="K101">
        <f>'[12]ES TONS'!O130</f>
        <v>26656</v>
      </c>
      <c r="L101">
        <f>'[13]ES TONS'!D130</f>
        <v>26509</v>
      </c>
      <c r="M101">
        <f>'[13]ES TONS'!E130</f>
        <v>26519</v>
      </c>
      <c r="N101">
        <f>'[13]ES TONS'!F130</f>
        <v>26583</v>
      </c>
      <c r="O101">
        <f>'[13]ES TONS'!G130</f>
        <v>26700</v>
      </c>
      <c r="P101" t="str">
        <f t="shared" si="2"/>
        <v>NRYW cust</v>
      </c>
      <c r="Q101">
        <f t="shared" si="3"/>
        <v>318462</v>
      </c>
    </row>
    <row r="102" spans="1:17" x14ac:dyDescent="0.2">
      <c r="A102" t="s">
        <v>65</v>
      </c>
      <c r="D102">
        <f>'[12]ES TONS'!H131</f>
        <v>0</v>
      </c>
      <c r="E102">
        <f>'[12]ES TONS'!I131</f>
        <v>0</v>
      </c>
      <c r="F102">
        <f>'[12]ES TONS'!J131</f>
        <v>0</v>
      </c>
      <c r="G102">
        <f>'[12]ES TONS'!K131</f>
        <v>0</v>
      </c>
      <c r="H102">
        <f>'[12]ES TONS'!L131</f>
        <v>0</v>
      </c>
      <c r="I102">
        <f>'[12]ES TONS'!M131</f>
        <v>0</v>
      </c>
      <c r="J102">
        <f>'[12]ES TONS'!N131</f>
        <v>0</v>
      </c>
      <c r="K102">
        <f>'[12]ES TONS'!O131</f>
        <v>0</v>
      </c>
      <c r="L102">
        <f>'[13]ES TONS'!D131</f>
        <v>0</v>
      </c>
      <c r="M102">
        <f>'[13]ES TONS'!E131</f>
        <v>0</v>
      </c>
      <c r="N102">
        <f>'[13]ES TONS'!F131</f>
        <v>0</v>
      </c>
      <c r="O102">
        <f>'[13]ES TONS'!G131</f>
        <v>0</v>
      </c>
      <c r="P102" t="str">
        <f t="shared" si="2"/>
        <v>NR</v>
      </c>
      <c r="Q102">
        <f t="shared" si="3"/>
        <v>0</v>
      </c>
    </row>
    <row r="103" spans="1:17" x14ac:dyDescent="0.2">
      <c r="A103" t="s">
        <v>65</v>
      </c>
      <c r="C103" t="s">
        <v>58</v>
      </c>
      <c r="D103">
        <f>'[12]ES TONS'!H132</f>
        <v>1077.8550380230843</v>
      </c>
      <c r="E103">
        <f>'[12]ES TONS'!I132</f>
        <v>980.08487097751322</v>
      </c>
      <c r="F103">
        <f>'[12]ES TONS'!J132</f>
        <v>1119.3292021986194</v>
      </c>
      <c r="G103">
        <f>'[12]ES TONS'!K132</f>
        <v>1016.3948996549619</v>
      </c>
      <c r="H103">
        <f>'[12]ES TONS'!L132</f>
        <v>1033.2558449320809</v>
      </c>
      <c r="I103">
        <f>'[12]ES TONS'!M132</f>
        <v>1060.9704980001845</v>
      </c>
      <c r="J103">
        <f>'[12]ES TONS'!N132</f>
        <v>1009.6294680430091</v>
      </c>
      <c r="K103">
        <f>'[12]ES TONS'!O132</f>
        <v>1189.9982941657784</v>
      </c>
      <c r="L103">
        <f>'[13]ES TONS'!D132</f>
        <v>1139.5130737051543</v>
      </c>
      <c r="M103">
        <f>'[13]ES TONS'!E132</f>
        <v>897.65584741691714</v>
      </c>
      <c r="N103">
        <f>'[13]ES TONS'!F132</f>
        <v>978.12523692569243</v>
      </c>
      <c r="O103">
        <f>'[13]ES TONS'!G132</f>
        <v>1038.3731751179632</v>
      </c>
      <c r="P103" t="str">
        <f t="shared" si="2"/>
        <v>NRRec tons</v>
      </c>
      <c r="Q103">
        <f t="shared" si="3"/>
        <v>12541.185449160961</v>
      </c>
    </row>
    <row r="104" spans="1:17" x14ac:dyDescent="0.2">
      <c r="A104" t="s">
        <v>65</v>
      </c>
      <c r="C104" t="s">
        <v>59</v>
      </c>
      <c r="D104">
        <f>'[12]ES TONS'!H133</f>
        <v>2704.3741160205414</v>
      </c>
      <c r="E104">
        <f>'[12]ES TONS'!I133</f>
        <v>2271.5827517317075</v>
      </c>
      <c r="F104">
        <f>'[12]ES TONS'!J133</f>
        <v>2011.2594781707489</v>
      </c>
      <c r="G104">
        <f>'[12]ES TONS'!K133</f>
        <v>1424.934677059364</v>
      </c>
      <c r="H104">
        <f>'[12]ES TONS'!L133</f>
        <v>1578.5105409460898</v>
      </c>
      <c r="I104">
        <f>'[12]ES TONS'!M133</f>
        <v>1859.9732157494886</v>
      </c>
      <c r="J104">
        <f>'[12]ES TONS'!N133</f>
        <v>2916.8400752851176</v>
      </c>
      <c r="K104">
        <f>'[12]ES TONS'!O133</f>
        <v>1101.1482755877421</v>
      </c>
      <c r="L104">
        <f>'[13]ES TONS'!D133</f>
        <v>1225.6314100787629</v>
      </c>
      <c r="M104">
        <f>'[13]ES TONS'!E133</f>
        <v>740.06388121802797</v>
      </c>
      <c r="N104">
        <f>'[13]ES TONS'!F133</f>
        <v>1540.9397095443965</v>
      </c>
      <c r="O104">
        <f>'[13]ES TONS'!G133</f>
        <v>2201.9385504711372</v>
      </c>
      <c r="P104" t="str">
        <f t="shared" si="2"/>
        <v xml:space="preserve">NRYW tons </v>
      </c>
      <c r="Q104">
        <f t="shared" si="3"/>
        <v>21577.196681863126</v>
      </c>
    </row>
    <row r="105" spans="1:17" x14ac:dyDescent="0.2">
      <c r="A105" t="s">
        <v>65</v>
      </c>
      <c r="C105" t="s">
        <v>60</v>
      </c>
      <c r="D105">
        <f>'[12]ES TONS'!H134</f>
        <v>1427.411540457219</v>
      </c>
      <c r="E105">
        <f>'[12]ES TONS'!I134</f>
        <v>1291.8851543851042</v>
      </c>
      <c r="F105">
        <f>'[12]ES TONS'!J134</f>
        <v>1487.7970264793428</v>
      </c>
      <c r="G105">
        <f>'[12]ES TONS'!K134</f>
        <v>1369.4236176962181</v>
      </c>
      <c r="H105">
        <f>'[12]ES TONS'!L134</f>
        <v>1363.4264047492672</v>
      </c>
      <c r="I105">
        <f>'[12]ES TONS'!M134</f>
        <v>1352.1998375940689</v>
      </c>
      <c r="J105">
        <f>'[12]ES TONS'!N134</f>
        <v>1258.5017941915742</v>
      </c>
      <c r="K105">
        <f>'[12]ES TONS'!O134</f>
        <v>1339.1675772256995</v>
      </c>
      <c r="L105">
        <f>'[13]ES TONS'!D134</f>
        <v>1378.0284186251106</v>
      </c>
      <c r="M105">
        <f>'[13]ES TONS'!E134</f>
        <v>1107.820940565216</v>
      </c>
      <c r="N105">
        <f>'[13]ES TONS'!F134</f>
        <v>1233.640881276965</v>
      </c>
      <c r="O105">
        <f>'[13]ES TONS'!G134</f>
        <v>1310.6502364485341</v>
      </c>
      <c r="P105" t="str">
        <f t="shared" si="2"/>
        <v>NRMSW tons</v>
      </c>
      <c r="Q105">
        <f t="shared" si="3"/>
        <v>15919.95342969432</v>
      </c>
    </row>
    <row r="106" spans="1:17" x14ac:dyDescent="0.2">
      <c r="A106" t="s">
        <v>65</v>
      </c>
      <c r="B106" t="s">
        <v>76</v>
      </c>
      <c r="C106" t="s">
        <v>56</v>
      </c>
      <c r="D106">
        <f>'[12]ES TONS'!H151</f>
        <v>998</v>
      </c>
      <c r="E106">
        <f>'[12]ES TONS'!I151</f>
        <v>999</v>
      </c>
      <c r="F106">
        <f>'[12]ES TONS'!J151</f>
        <v>997</v>
      </c>
      <c r="G106">
        <f>'[12]ES TONS'!K151</f>
        <v>1002</v>
      </c>
      <c r="H106">
        <f>'[12]ES TONS'!L151</f>
        <v>1008</v>
      </c>
      <c r="I106">
        <f>'[12]ES TONS'!M151</f>
        <v>1001</v>
      </c>
      <c r="J106">
        <f>'[12]ES TONS'!N151</f>
        <v>1003</v>
      </c>
      <c r="K106">
        <f>'[12]ES TONS'!O151</f>
        <v>1005</v>
      </c>
      <c r="L106">
        <f>'[13]ES TONS'!D151</f>
        <v>997</v>
      </c>
      <c r="M106">
        <f>'[13]ES TONS'!E151</f>
        <v>995</v>
      </c>
      <c r="N106">
        <f>'[13]ES TONS'!F151</f>
        <v>997</v>
      </c>
      <c r="O106">
        <f>'[13]ES TONS'!G151</f>
        <v>1001</v>
      </c>
      <c r="P106" t="str">
        <f t="shared" si="2"/>
        <v>NRREC cust</v>
      </c>
      <c r="Q106">
        <f t="shared" si="3"/>
        <v>12003</v>
      </c>
    </row>
    <row r="107" spans="1:17" x14ac:dyDescent="0.2">
      <c r="A107" t="s">
        <v>65</v>
      </c>
      <c r="C107" t="s">
        <v>57</v>
      </c>
      <c r="D107">
        <f>'[12]ES TONS'!H152</f>
        <v>780</v>
      </c>
      <c r="E107">
        <f>'[12]ES TONS'!I152</f>
        <v>778</v>
      </c>
      <c r="F107">
        <f>'[12]ES TONS'!J152</f>
        <v>775</v>
      </c>
      <c r="G107">
        <f>'[12]ES TONS'!K152</f>
        <v>780</v>
      </c>
      <c r="H107">
        <f>'[12]ES TONS'!L152</f>
        <v>784</v>
      </c>
      <c r="I107">
        <f>'[12]ES TONS'!M152</f>
        <v>775</v>
      </c>
      <c r="J107">
        <f>'[12]ES TONS'!N152</f>
        <v>772</v>
      </c>
      <c r="K107">
        <f>'[12]ES TONS'!O152</f>
        <v>767</v>
      </c>
      <c r="L107">
        <f>'[13]ES TONS'!D152</f>
        <v>760</v>
      </c>
      <c r="M107">
        <f>'[13]ES TONS'!E152</f>
        <v>758</v>
      </c>
      <c r="N107">
        <f>'[13]ES TONS'!F152</f>
        <v>759</v>
      </c>
      <c r="O107">
        <f>'[13]ES TONS'!G152</f>
        <v>772</v>
      </c>
      <c r="P107" t="str">
        <f t="shared" si="2"/>
        <v>NRYW cust</v>
      </c>
      <c r="Q107">
        <f t="shared" si="3"/>
        <v>9260</v>
      </c>
    </row>
    <row r="108" spans="1:17" x14ac:dyDescent="0.2">
      <c r="A108" t="s">
        <v>65</v>
      </c>
      <c r="D108">
        <f>'[12]ES TONS'!H153</f>
        <v>0</v>
      </c>
      <c r="E108">
        <f>'[12]ES TONS'!I153</f>
        <v>0</v>
      </c>
      <c r="F108">
        <f>'[12]ES TONS'!J153</f>
        <v>0</v>
      </c>
      <c r="G108">
        <f>'[12]ES TONS'!K153</f>
        <v>0</v>
      </c>
      <c r="H108">
        <f>'[12]ES TONS'!L153</f>
        <v>0</v>
      </c>
      <c r="I108">
        <f>'[12]ES TONS'!M153</f>
        <v>0</v>
      </c>
      <c r="J108">
        <f>'[12]ES TONS'!N153</f>
        <v>0</v>
      </c>
      <c r="K108">
        <f>'[12]ES TONS'!O153</f>
        <v>0</v>
      </c>
      <c r="L108">
        <f>'[13]ES TONS'!D153</f>
        <v>0</v>
      </c>
      <c r="M108">
        <f>'[13]ES TONS'!E153</f>
        <v>0</v>
      </c>
      <c r="N108">
        <f>'[13]ES TONS'!F153</f>
        <v>0</v>
      </c>
      <c r="O108">
        <f>'[13]ES TONS'!G153</f>
        <v>0</v>
      </c>
      <c r="P108" t="str">
        <f t="shared" si="2"/>
        <v>NR</v>
      </c>
      <c r="Q108">
        <f t="shared" si="3"/>
        <v>0</v>
      </c>
    </row>
    <row r="109" spans="1:17" x14ac:dyDescent="0.2">
      <c r="A109" t="s">
        <v>65</v>
      </c>
      <c r="C109" t="s">
        <v>58</v>
      </c>
      <c r="D109">
        <f>'[12]ES TONS'!H154</f>
        <v>45.238263673439441</v>
      </c>
      <c r="E109">
        <f>'[12]ES TONS'!I154</f>
        <v>40.095934902062467</v>
      </c>
      <c r="F109">
        <f>'[12]ES TONS'!J154</f>
        <v>37.998320912446985</v>
      </c>
      <c r="G109">
        <f>'[12]ES TONS'!K154</f>
        <v>45.910948426397844</v>
      </c>
      <c r="H109">
        <f>'[12]ES TONS'!L154</f>
        <v>40.290451715853358</v>
      </c>
      <c r="I109">
        <f>'[12]ES TONS'!M154</f>
        <v>45.506083672311746</v>
      </c>
      <c r="J109">
        <f>'[12]ES TONS'!N154</f>
        <v>48.850378104023441</v>
      </c>
      <c r="K109">
        <f>'[12]ES TONS'!O154</f>
        <v>35.853207246807273</v>
      </c>
      <c r="L109">
        <f>'[13]ES TONS'!D154</f>
        <v>50.381107723497017</v>
      </c>
      <c r="M109">
        <f>'[13]ES TONS'!E154</f>
        <v>32.481342505790984</v>
      </c>
      <c r="N109">
        <f>'[13]ES TONS'!F154</f>
        <v>36.508489421086416</v>
      </c>
      <c r="O109">
        <f>'[13]ES TONS'!G154</f>
        <v>30.141272460635911</v>
      </c>
      <c r="P109" t="str">
        <f t="shared" si="2"/>
        <v>NRRec tons</v>
      </c>
      <c r="Q109">
        <f t="shared" si="3"/>
        <v>489.2558007643529</v>
      </c>
    </row>
    <row r="110" spans="1:17" x14ac:dyDescent="0.2">
      <c r="A110" t="s">
        <v>65</v>
      </c>
      <c r="C110" t="s">
        <v>59</v>
      </c>
      <c r="D110">
        <f>'[12]ES TONS'!H155</f>
        <v>108.77558246733605</v>
      </c>
      <c r="E110">
        <f>'[12]ES TONS'!I155</f>
        <v>80.09056438727346</v>
      </c>
      <c r="F110">
        <f>'[12]ES TONS'!J155</f>
        <v>57.253981580598243</v>
      </c>
      <c r="G110">
        <f>'[12]ES TONS'!K155</f>
        <v>72.840600420040275</v>
      </c>
      <c r="H110">
        <f>'[12]ES TONS'!L155</f>
        <v>64.007324562820585</v>
      </c>
      <c r="I110">
        <f>'[12]ES TONS'!M155</f>
        <v>77.746291813177848</v>
      </c>
      <c r="J110">
        <f>'[12]ES TONS'!N155</f>
        <v>91.348713677164184</v>
      </c>
      <c r="K110">
        <f>'[12]ES TONS'!O155</f>
        <v>30.72635735897094</v>
      </c>
      <c r="L110">
        <f>'[13]ES TONS'!D155</f>
        <v>50.889687814127761</v>
      </c>
      <c r="M110">
        <f>'[13]ES TONS'!E155</f>
        <v>28.926037316718336</v>
      </c>
      <c r="N110">
        <f>'[13]ES TONS'!F155</f>
        <v>47.212668539767435</v>
      </c>
      <c r="O110">
        <f>'[13]ES TONS'!G155</f>
        <v>78.491636092700688</v>
      </c>
      <c r="P110" t="str">
        <f t="shared" si="2"/>
        <v xml:space="preserve">NRYW tons </v>
      </c>
      <c r="Q110">
        <f t="shared" si="3"/>
        <v>788.30944603069588</v>
      </c>
    </row>
    <row r="111" spans="1:17" x14ac:dyDescent="0.2">
      <c r="A111" t="s">
        <v>65</v>
      </c>
      <c r="C111" t="s">
        <v>60</v>
      </c>
      <c r="D111">
        <f>'[12]ES TONS'!H156</f>
        <v>69.731497693374848</v>
      </c>
      <c r="E111">
        <f>'[12]ES TONS'!I156</f>
        <v>59.194506817249682</v>
      </c>
      <c r="F111">
        <f>'[12]ES TONS'!J156</f>
        <v>57.518752114712655</v>
      </c>
      <c r="G111">
        <f>'[12]ES TONS'!K156</f>
        <v>70.005585371751394</v>
      </c>
      <c r="H111">
        <f>'[12]ES TONS'!L156</f>
        <v>57.432690924153682</v>
      </c>
      <c r="I111">
        <f>'[12]ES TONS'!M156</f>
        <v>55.177769344641057</v>
      </c>
      <c r="J111">
        <f>'[12]ES TONS'!N156</f>
        <v>67.660440087241739</v>
      </c>
      <c r="K111">
        <f>'[12]ES TONS'!O156</f>
        <v>61.086700658126119</v>
      </c>
      <c r="L111">
        <f>'[13]ES TONS'!D156</f>
        <v>65.62038130125903</v>
      </c>
      <c r="M111">
        <f>'[13]ES TONS'!E156</f>
        <v>47.645677967306057</v>
      </c>
      <c r="N111">
        <f>'[13]ES TONS'!F156</f>
        <v>50.126607011202289</v>
      </c>
      <c r="O111">
        <f>'[13]ES TONS'!G156</f>
        <v>49.441772020227141</v>
      </c>
      <c r="P111" t="str">
        <f t="shared" si="2"/>
        <v>NRMSW tons</v>
      </c>
      <c r="Q111">
        <f t="shared" si="3"/>
        <v>710.64238131124569</v>
      </c>
    </row>
    <row r="112" spans="1:17" x14ac:dyDescent="0.2">
      <c r="A112" t="s">
        <v>55</v>
      </c>
      <c r="B112" t="s">
        <v>77</v>
      </c>
      <c r="C112" t="s">
        <v>56</v>
      </c>
      <c r="D112">
        <f>'[12]ES TONS'!H173</f>
        <v>1021</v>
      </c>
      <c r="E112">
        <f>'[12]ES TONS'!I173</f>
        <v>1016</v>
      </c>
      <c r="F112">
        <f>'[12]ES TONS'!J173</f>
        <v>1012</v>
      </c>
      <c r="G112">
        <f>'[12]ES TONS'!K173</f>
        <v>1008</v>
      </c>
      <c r="H112">
        <f>'[12]ES TONS'!L173</f>
        <v>1012</v>
      </c>
      <c r="I112">
        <f>'[12]ES TONS'!M173</f>
        <v>1013</v>
      </c>
      <c r="J112">
        <f>'[12]ES TONS'!N173</f>
        <v>1006</v>
      </c>
      <c r="K112">
        <f>'[12]ES TONS'!O173</f>
        <v>1008</v>
      </c>
      <c r="L112">
        <f>'[13]ES TONS'!D173</f>
        <v>1006</v>
      </c>
      <c r="M112">
        <f>'[13]ES TONS'!E173</f>
        <v>1010</v>
      </c>
      <c r="N112">
        <f>'[13]ES TONS'!F173</f>
        <v>1008</v>
      </c>
      <c r="O112">
        <f>'[13]ES TONS'!G173</f>
        <v>1016</v>
      </c>
      <c r="P112" t="str">
        <f t="shared" si="2"/>
        <v>RREC cust</v>
      </c>
      <c r="Q112">
        <f t="shared" si="3"/>
        <v>12136</v>
      </c>
    </row>
    <row r="113" spans="1:17" x14ac:dyDescent="0.2">
      <c r="A113" t="s">
        <v>55</v>
      </c>
      <c r="C113" t="s">
        <v>57</v>
      </c>
      <c r="D113">
        <f>'[12]ES TONS'!H174</f>
        <v>719</v>
      </c>
      <c r="E113">
        <f>'[12]ES TONS'!I174</f>
        <v>711</v>
      </c>
      <c r="F113">
        <f>'[12]ES TONS'!J174</f>
        <v>723</v>
      </c>
      <c r="G113">
        <f>'[12]ES TONS'!K174</f>
        <v>715</v>
      </c>
      <c r="H113">
        <f>'[12]ES TONS'!L174</f>
        <v>722</v>
      </c>
      <c r="I113">
        <f>'[12]ES TONS'!M174</f>
        <v>720</v>
      </c>
      <c r="J113">
        <f>'[12]ES TONS'!N174</f>
        <v>714</v>
      </c>
      <c r="K113">
        <f>'[12]ES TONS'!O174</f>
        <v>709</v>
      </c>
      <c r="L113">
        <f>'[13]ES TONS'!D174</f>
        <v>707</v>
      </c>
      <c r="M113">
        <f>'[13]ES TONS'!E174</f>
        <v>712</v>
      </c>
      <c r="N113">
        <f>'[13]ES TONS'!F174</f>
        <v>712</v>
      </c>
      <c r="O113">
        <f>'[13]ES TONS'!G174</f>
        <v>721</v>
      </c>
      <c r="P113" t="str">
        <f t="shared" si="2"/>
        <v>RYW cust</v>
      </c>
      <c r="Q113">
        <f t="shared" si="3"/>
        <v>8585</v>
      </c>
    </row>
    <row r="114" spans="1:17" x14ac:dyDescent="0.2">
      <c r="A114" t="s">
        <v>55</v>
      </c>
      <c r="D114">
        <f>'[12]ES TONS'!H175</f>
        <v>0</v>
      </c>
      <c r="E114">
        <f>'[12]ES TONS'!I175</f>
        <v>0</v>
      </c>
      <c r="F114">
        <f>'[12]ES TONS'!J175</f>
        <v>0</v>
      </c>
      <c r="G114">
        <f>'[12]ES TONS'!K175</f>
        <v>0</v>
      </c>
      <c r="H114">
        <f>'[12]ES TONS'!L175</f>
        <v>0</v>
      </c>
      <c r="I114">
        <f>'[12]ES TONS'!M175</f>
        <v>0</v>
      </c>
      <c r="J114">
        <f>'[12]ES TONS'!N175</f>
        <v>0</v>
      </c>
      <c r="K114">
        <f>'[12]ES TONS'!O175</f>
        <v>0</v>
      </c>
      <c r="L114">
        <f>'[13]ES TONS'!D175</f>
        <v>0</v>
      </c>
      <c r="M114">
        <f>'[13]ES TONS'!E175</f>
        <v>0</v>
      </c>
      <c r="N114">
        <f>'[13]ES TONS'!F175</f>
        <v>0</v>
      </c>
      <c r="O114">
        <f>'[13]ES TONS'!G175</f>
        <v>0</v>
      </c>
      <c r="P114" t="str">
        <f t="shared" si="2"/>
        <v>R</v>
      </c>
      <c r="Q114">
        <f t="shared" si="3"/>
        <v>0</v>
      </c>
    </row>
    <row r="115" spans="1:17" x14ac:dyDescent="0.2">
      <c r="A115" t="s">
        <v>55</v>
      </c>
      <c r="C115" t="s">
        <v>58</v>
      </c>
      <c r="D115">
        <f>'[12]ES TONS'!H176</f>
        <v>38.838660668583515</v>
      </c>
      <c r="E115">
        <f>'[12]ES TONS'!I176</f>
        <v>28.229662043948839</v>
      </c>
      <c r="F115">
        <f>'[12]ES TONS'!J176</f>
        <v>34.818548951195282</v>
      </c>
      <c r="G115">
        <f>'[12]ES TONS'!K176</f>
        <v>43.277235592902102</v>
      </c>
      <c r="H115">
        <f>'[12]ES TONS'!L176</f>
        <v>33.877619467791604</v>
      </c>
      <c r="I115">
        <f>'[12]ES TONS'!M176</f>
        <v>33.286901164058207</v>
      </c>
      <c r="J115">
        <f>'[12]ES TONS'!N176</f>
        <v>35.271428651968584</v>
      </c>
      <c r="K115">
        <f>'[12]ES TONS'!O176</f>
        <v>40.49780295374557</v>
      </c>
      <c r="L115">
        <f>'[13]ES TONS'!D176</f>
        <v>47.416193326494827</v>
      </c>
      <c r="M115">
        <f>'[13]ES TONS'!E176</f>
        <v>32.278192838415883</v>
      </c>
      <c r="N115">
        <f>'[13]ES TONS'!F176</f>
        <v>29.137465754971565</v>
      </c>
      <c r="O115">
        <f>'[13]ES TONS'!G176</f>
        <v>35.958862947035527</v>
      </c>
      <c r="P115" t="str">
        <f t="shared" si="2"/>
        <v>RRec tons</v>
      </c>
      <c r="Q115">
        <f t="shared" si="3"/>
        <v>432.88857436111147</v>
      </c>
    </row>
    <row r="116" spans="1:17" x14ac:dyDescent="0.2">
      <c r="A116" t="s">
        <v>55</v>
      </c>
      <c r="C116" t="s">
        <v>59</v>
      </c>
      <c r="D116">
        <f>'[12]ES TONS'!H177</f>
        <v>122.92247934369939</v>
      </c>
      <c r="E116">
        <f>'[12]ES TONS'!I177</f>
        <v>78.114541306500968</v>
      </c>
      <c r="F116">
        <f>'[12]ES TONS'!J177</f>
        <v>59.728934973150309</v>
      </c>
      <c r="G116">
        <f>'[12]ES TONS'!K177</f>
        <v>58.577817688075584</v>
      </c>
      <c r="H116">
        <f>'[12]ES TONS'!L177</f>
        <v>73.718841106018431</v>
      </c>
      <c r="I116">
        <f>'[12]ES TONS'!M177</f>
        <v>76.732171418933405</v>
      </c>
      <c r="J116">
        <f>'[12]ES TONS'!N177</f>
        <v>123.27487079528504</v>
      </c>
      <c r="K116">
        <f>'[12]ES TONS'!O177</f>
        <v>42.632284019234568</v>
      </c>
      <c r="L116">
        <f>'[13]ES TONS'!D177</f>
        <v>41.348135726265404</v>
      </c>
      <c r="M116">
        <f>'[13]ES TONS'!E177</f>
        <v>31.249374929845722</v>
      </c>
      <c r="N116">
        <f>'[13]ES TONS'!F177</f>
        <v>48.128887806699332</v>
      </c>
      <c r="O116">
        <f>'[13]ES TONS'!G177</f>
        <v>73.979713790783293</v>
      </c>
      <c r="P116" t="str">
        <f t="shared" si="2"/>
        <v xml:space="preserve">RYW tons </v>
      </c>
      <c r="Q116">
        <f t="shared" si="3"/>
        <v>830.40805290449146</v>
      </c>
    </row>
    <row r="117" spans="1:17" x14ac:dyDescent="0.2">
      <c r="A117" t="s">
        <v>55</v>
      </c>
      <c r="C117" t="s">
        <v>60</v>
      </c>
      <c r="D117">
        <f>'[12]ES TONS'!H178</f>
        <v>70.628875837244578</v>
      </c>
      <c r="E117">
        <f>'[12]ES TONS'!I178</f>
        <v>58.176694243099355</v>
      </c>
      <c r="F117">
        <f>'[12]ES TONS'!J178</f>
        <v>58.388997116363001</v>
      </c>
      <c r="G117">
        <f>'[12]ES TONS'!K178</f>
        <v>72.327667188482394</v>
      </c>
      <c r="H117">
        <f>'[12]ES TONS'!L178</f>
        <v>59.571040389502535</v>
      </c>
      <c r="I117">
        <f>'[12]ES TONS'!M178</f>
        <v>61.967683457276401</v>
      </c>
      <c r="J117">
        <f>'[12]ES TONS'!N178</f>
        <v>59.422555824530434</v>
      </c>
      <c r="K117">
        <f>'[12]ES TONS'!O178</f>
        <v>62.131702430607767</v>
      </c>
      <c r="L117">
        <f>'[13]ES TONS'!D178</f>
        <v>67.302788894190655</v>
      </c>
      <c r="M117">
        <f>'[13]ES TONS'!E178</f>
        <v>48.056171753133384</v>
      </c>
      <c r="N117">
        <f>'[13]ES TONS'!F178</f>
        <v>49.663036129579588</v>
      </c>
      <c r="O117">
        <f>'[13]ES TONS'!G178</f>
        <v>46.38856228200671</v>
      </c>
      <c r="P117" t="str">
        <f t="shared" si="2"/>
        <v>RMSW tons</v>
      </c>
      <c r="Q117">
        <f t="shared" si="3"/>
        <v>714.0257755460168</v>
      </c>
    </row>
    <row r="118" spans="1:17" x14ac:dyDescent="0.2">
      <c r="A118" t="s">
        <v>55</v>
      </c>
      <c r="B118" t="s">
        <v>78</v>
      </c>
      <c r="C118" t="s">
        <v>56</v>
      </c>
      <c r="D118">
        <f>'[12]ES TONS'!H195</f>
        <v>368</v>
      </c>
      <c r="E118">
        <f>'[12]ES TONS'!I195</f>
        <v>371</v>
      </c>
      <c r="F118">
        <f>'[12]ES TONS'!J195</f>
        <v>371</v>
      </c>
      <c r="G118">
        <f>'[12]ES TONS'!K195</f>
        <v>367</v>
      </c>
      <c r="H118">
        <f>'[12]ES TONS'!L195</f>
        <v>371</v>
      </c>
      <c r="I118">
        <f>'[12]ES TONS'!M195</f>
        <v>368</v>
      </c>
      <c r="J118">
        <f>'[12]ES TONS'!N195</f>
        <v>368</v>
      </c>
      <c r="K118">
        <f>'[12]ES TONS'!O195</f>
        <v>364</v>
      </c>
      <c r="L118">
        <f>'[13]ES TONS'!D195</f>
        <v>360</v>
      </c>
      <c r="M118">
        <f>'[13]ES TONS'!E195</f>
        <v>369</v>
      </c>
      <c r="N118">
        <f>'[13]ES TONS'!F195</f>
        <v>366</v>
      </c>
      <c r="O118">
        <f>'[13]ES TONS'!G195</f>
        <v>368</v>
      </c>
      <c r="P118" t="str">
        <f t="shared" si="2"/>
        <v>RREC cust</v>
      </c>
      <c r="Q118">
        <f t="shared" si="3"/>
        <v>4411</v>
      </c>
    </row>
    <row r="119" spans="1:17" x14ac:dyDescent="0.2">
      <c r="A119" t="s">
        <v>55</v>
      </c>
      <c r="C119" t="s">
        <v>57</v>
      </c>
      <c r="D119">
        <f>'[12]ES TONS'!H196</f>
        <v>291</v>
      </c>
      <c r="E119">
        <f>'[12]ES TONS'!I196</f>
        <v>293</v>
      </c>
      <c r="F119">
        <f>'[12]ES TONS'!J196</f>
        <v>294</v>
      </c>
      <c r="G119">
        <f>'[12]ES TONS'!K196</f>
        <v>291</v>
      </c>
      <c r="H119">
        <f>'[12]ES TONS'!L196</f>
        <v>294</v>
      </c>
      <c r="I119">
        <f>'[12]ES TONS'!M196</f>
        <v>291</v>
      </c>
      <c r="J119">
        <f>'[12]ES TONS'!N196</f>
        <v>289</v>
      </c>
      <c r="K119">
        <f>'[12]ES TONS'!O196</f>
        <v>286</v>
      </c>
      <c r="L119">
        <f>'[13]ES TONS'!D196</f>
        <v>283</v>
      </c>
      <c r="M119">
        <f>'[13]ES TONS'!E196</f>
        <v>288</v>
      </c>
      <c r="N119">
        <f>'[13]ES TONS'!F196</f>
        <v>290</v>
      </c>
      <c r="O119">
        <f>'[13]ES TONS'!G196</f>
        <v>291</v>
      </c>
      <c r="P119" t="str">
        <f t="shared" si="2"/>
        <v>RYW cust</v>
      </c>
      <c r="Q119">
        <f t="shared" si="3"/>
        <v>3481</v>
      </c>
    </row>
    <row r="120" spans="1:17" x14ac:dyDescent="0.2">
      <c r="A120" t="s">
        <v>55</v>
      </c>
      <c r="D120">
        <f>'[12]ES TONS'!H197</f>
        <v>0</v>
      </c>
      <c r="E120">
        <f>'[12]ES TONS'!I197</f>
        <v>0</v>
      </c>
      <c r="F120">
        <f>'[12]ES TONS'!J197</f>
        <v>0</v>
      </c>
      <c r="G120">
        <f>'[12]ES TONS'!K197</f>
        <v>0</v>
      </c>
      <c r="H120">
        <f>'[12]ES TONS'!L197</f>
        <v>0</v>
      </c>
      <c r="I120">
        <f>'[12]ES TONS'!M197</f>
        <v>0</v>
      </c>
      <c r="J120">
        <f>'[12]ES TONS'!N197</f>
        <v>0</v>
      </c>
      <c r="K120">
        <f>'[12]ES TONS'!O197</f>
        <v>0</v>
      </c>
      <c r="L120">
        <f>'[13]ES TONS'!D197</f>
        <v>0</v>
      </c>
      <c r="M120">
        <f>'[13]ES TONS'!E197</f>
        <v>0</v>
      </c>
      <c r="N120">
        <f>'[13]ES TONS'!F197</f>
        <v>0</v>
      </c>
      <c r="O120">
        <f>'[13]ES TONS'!G197</f>
        <v>0</v>
      </c>
      <c r="P120" t="str">
        <f t="shared" si="2"/>
        <v>R</v>
      </c>
      <c r="Q120">
        <f t="shared" si="3"/>
        <v>0</v>
      </c>
    </row>
    <row r="121" spans="1:17" x14ac:dyDescent="0.2">
      <c r="A121" t="s">
        <v>55</v>
      </c>
      <c r="C121" t="s">
        <v>58</v>
      </c>
      <c r="D121">
        <f>'[12]ES TONS'!H198</f>
        <v>19.975726234501536</v>
      </c>
      <c r="E121">
        <f>'[12]ES TONS'!I198</f>
        <v>14.292645087181182</v>
      </c>
      <c r="F121">
        <f>'[12]ES TONS'!J198</f>
        <v>13.193543184871988</v>
      </c>
      <c r="G121">
        <f>'[12]ES TONS'!K198</f>
        <v>12.454319887608474</v>
      </c>
      <c r="H121">
        <f>'[12]ES TONS'!L198</f>
        <v>16.000277912566766</v>
      </c>
      <c r="I121">
        <f>'[12]ES TONS'!M198</f>
        <v>20.928154942411737</v>
      </c>
      <c r="J121">
        <f>'[12]ES TONS'!N198</f>
        <v>14.808450117393765</v>
      </c>
      <c r="K121">
        <f>'[12]ES TONS'!O198</f>
        <v>16.347238857486307</v>
      </c>
      <c r="L121">
        <f>'[13]ES TONS'!D198</f>
        <v>15.71551177003292</v>
      </c>
      <c r="M121">
        <f>'[13]ES TONS'!E198</f>
        <v>11.718076801399349</v>
      </c>
      <c r="N121">
        <f>'[13]ES TONS'!F198</f>
        <v>12.891666773040299</v>
      </c>
      <c r="O121">
        <f>'[13]ES TONS'!G198</f>
        <v>9.1845318688725186</v>
      </c>
      <c r="P121" t="str">
        <f t="shared" si="2"/>
        <v>RRec tons</v>
      </c>
      <c r="Q121">
        <f t="shared" si="3"/>
        <v>177.51014343736682</v>
      </c>
    </row>
    <row r="122" spans="1:17" x14ac:dyDescent="0.2">
      <c r="A122" t="s">
        <v>55</v>
      </c>
      <c r="C122" t="s">
        <v>59</v>
      </c>
      <c r="D122">
        <f>'[12]ES TONS'!H199</f>
        <v>41.341423629263168</v>
      </c>
      <c r="E122">
        <f>'[12]ES TONS'!I199</f>
        <v>26.988406307367573</v>
      </c>
      <c r="F122">
        <f>'[12]ES TONS'!J199</f>
        <v>23.931482435840383</v>
      </c>
      <c r="G122">
        <f>'[12]ES TONS'!K199</f>
        <v>18.818155487386953</v>
      </c>
      <c r="H122">
        <f>'[12]ES TONS'!L199</f>
        <v>16.907302520339215</v>
      </c>
      <c r="I122">
        <f>'[12]ES TONS'!M199</f>
        <v>32.649007915266303</v>
      </c>
      <c r="J122">
        <f>'[12]ES TONS'!N199</f>
        <v>26.985873775511514</v>
      </c>
      <c r="K122">
        <f>'[12]ES TONS'!O199</f>
        <v>13.965520116965397</v>
      </c>
      <c r="L122">
        <f>'[13]ES TONS'!D199</f>
        <v>14.573118402200349</v>
      </c>
      <c r="M122">
        <f>'[13]ES TONS'!E199</f>
        <v>11.738019514873704</v>
      </c>
      <c r="N122">
        <f>'[13]ES TONS'!F199</f>
        <v>15.664587613622986</v>
      </c>
      <c r="O122">
        <f>'[13]ES TONS'!G199</f>
        <v>21.069502281922471</v>
      </c>
      <c r="P122" t="str">
        <f t="shared" si="2"/>
        <v xml:space="preserve">RYW tons </v>
      </c>
      <c r="Q122">
        <f t="shared" si="3"/>
        <v>264.63240000056004</v>
      </c>
    </row>
    <row r="123" spans="1:17" x14ac:dyDescent="0.2">
      <c r="A123" t="s">
        <v>55</v>
      </c>
      <c r="C123" t="s">
        <v>60</v>
      </c>
      <c r="D123">
        <f>'[12]ES TONS'!H200</f>
        <v>24.300404349734492</v>
      </c>
      <c r="E123">
        <f>'[12]ES TONS'!I200</f>
        <v>21.022552371246377</v>
      </c>
      <c r="F123">
        <f>'[12]ES TONS'!J200</f>
        <v>19.298934393115932</v>
      </c>
      <c r="G123">
        <f>'[12]ES TONS'!K200</f>
        <v>25.735996762177486</v>
      </c>
      <c r="H123">
        <f>'[12]ES TONS'!L200</f>
        <v>21.118906296631828</v>
      </c>
      <c r="I123">
        <f>'[12]ES TONS'!M200</f>
        <v>24.443487141514485</v>
      </c>
      <c r="J123">
        <f>'[12]ES TONS'!N200</f>
        <v>20.984191986608877</v>
      </c>
      <c r="K123">
        <f>'[12]ES TONS'!O200</f>
        <v>19.645273920557717</v>
      </c>
      <c r="L123">
        <f>'[13]ES TONS'!D200</f>
        <v>25.011333438947528</v>
      </c>
      <c r="M123">
        <f>'[13]ES TONS'!E200</f>
        <v>17.91775952807243</v>
      </c>
      <c r="N123">
        <f>'[13]ES TONS'!F200</f>
        <v>19.004904090376879</v>
      </c>
      <c r="O123">
        <f>'[13]ES TONS'!G200</f>
        <v>18.884253862333377</v>
      </c>
      <c r="P123" t="str">
        <f t="shared" si="2"/>
        <v>RMSW tons</v>
      </c>
      <c r="Q123">
        <f t="shared" si="3"/>
        <v>257.36799814131734</v>
      </c>
    </row>
    <row r="124" spans="1:17" x14ac:dyDescent="0.2">
      <c r="A124" t="s">
        <v>65</v>
      </c>
      <c r="B124" t="s">
        <v>79</v>
      </c>
      <c r="C124" t="s">
        <v>56</v>
      </c>
      <c r="D124">
        <f>'[12]ES TONS'!H218</f>
        <v>931</v>
      </c>
      <c r="E124">
        <f>'[12]ES TONS'!I218</f>
        <v>927</v>
      </c>
      <c r="F124">
        <f>'[12]ES TONS'!J218</f>
        <v>929</v>
      </c>
      <c r="G124">
        <f>'[12]ES TONS'!K218</f>
        <v>929</v>
      </c>
      <c r="H124">
        <f>'[12]ES TONS'!L218</f>
        <v>940</v>
      </c>
      <c r="I124">
        <f>'[12]ES TONS'!M218</f>
        <v>938</v>
      </c>
      <c r="J124">
        <f>'[12]ES TONS'!N218</f>
        <v>922</v>
      </c>
      <c r="K124">
        <f>'[12]ES TONS'!O218</f>
        <v>933</v>
      </c>
      <c r="L124">
        <f>'[13]ES TONS'!D218</f>
        <v>936</v>
      </c>
      <c r="M124">
        <f>'[13]ES TONS'!E218</f>
        <v>923</v>
      </c>
      <c r="N124">
        <f>'[13]ES TONS'!F218</f>
        <v>934</v>
      </c>
      <c r="O124">
        <f>'[13]ES TONS'!G218</f>
        <v>936</v>
      </c>
      <c r="P124" t="str">
        <f t="shared" si="2"/>
        <v>NRREC cust</v>
      </c>
      <c r="Q124">
        <f t="shared" si="3"/>
        <v>11178</v>
      </c>
    </row>
    <row r="125" spans="1:17" x14ac:dyDescent="0.2">
      <c r="A125" t="s">
        <v>65</v>
      </c>
      <c r="C125" t="s">
        <v>57</v>
      </c>
      <c r="D125">
        <f>'[12]ES TONS'!H219</f>
        <v>753</v>
      </c>
      <c r="E125">
        <f>'[12]ES TONS'!I219</f>
        <v>760</v>
      </c>
      <c r="F125">
        <f>'[12]ES TONS'!J219</f>
        <v>766</v>
      </c>
      <c r="G125">
        <f>'[12]ES TONS'!K219</f>
        <v>762</v>
      </c>
      <c r="H125">
        <f>'[12]ES TONS'!L219</f>
        <v>767</v>
      </c>
      <c r="I125">
        <f>'[12]ES TONS'!M219</f>
        <v>763</v>
      </c>
      <c r="J125">
        <f>'[12]ES TONS'!N219</f>
        <v>756</v>
      </c>
      <c r="K125">
        <f>'[12]ES TONS'!O219</f>
        <v>754</v>
      </c>
      <c r="L125">
        <f>'[13]ES TONS'!D219</f>
        <v>752</v>
      </c>
      <c r="M125">
        <f>'[13]ES TONS'!E219</f>
        <v>743</v>
      </c>
      <c r="N125">
        <f>'[13]ES TONS'!F219</f>
        <v>755</v>
      </c>
      <c r="O125">
        <f>'[13]ES TONS'!G219</f>
        <v>768</v>
      </c>
      <c r="P125" t="str">
        <f t="shared" si="2"/>
        <v>NRYW cust</v>
      </c>
      <c r="Q125">
        <f t="shared" si="3"/>
        <v>9099</v>
      </c>
    </row>
    <row r="126" spans="1:17" x14ac:dyDescent="0.2">
      <c r="A126" t="s">
        <v>65</v>
      </c>
      <c r="D126">
        <f>'[12]ES TONS'!H220</f>
        <v>0</v>
      </c>
      <c r="E126">
        <f>'[12]ES TONS'!I220</f>
        <v>0</v>
      </c>
      <c r="F126">
        <f>'[12]ES TONS'!J220</f>
        <v>0</v>
      </c>
      <c r="G126">
        <f>'[12]ES TONS'!K220</f>
        <v>0</v>
      </c>
      <c r="H126">
        <f>'[12]ES TONS'!L220</f>
        <v>0</v>
      </c>
      <c r="I126">
        <f>'[12]ES TONS'!M220</f>
        <v>0</v>
      </c>
      <c r="J126">
        <f>'[12]ES TONS'!N220</f>
        <v>0</v>
      </c>
      <c r="K126">
        <f>'[12]ES TONS'!O220</f>
        <v>0</v>
      </c>
      <c r="L126">
        <f>'[13]ES TONS'!D220</f>
        <v>0</v>
      </c>
      <c r="M126">
        <f>'[13]ES TONS'!E220</f>
        <v>0</v>
      </c>
      <c r="N126">
        <f>'[13]ES TONS'!F220</f>
        <v>0</v>
      </c>
      <c r="O126">
        <f>'[13]ES TONS'!G220</f>
        <v>0</v>
      </c>
      <c r="P126" t="str">
        <f t="shared" si="2"/>
        <v>NR</v>
      </c>
      <c r="Q126">
        <f t="shared" si="3"/>
        <v>0</v>
      </c>
    </row>
    <row r="127" spans="1:17" x14ac:dyDescent="0.2">
      <c r="A127" t="s">
        <v>65</v>
      </c>
      <c r="C127" t="s">
        <v>58</v>
      </c>
      <c r="D127">
        <f>'[12]ES TONS'!H221</f>
        <v>37.830939300819267</v>
      </c>
      <c r="E127">
        <f>'[12]ES TONS'!I221</f>
        <v>35.326457780202695</v>
      </c>
      <c r="F127">
        <f>'[12]ES TONS'!J221</f>
        <v>39.944237055147724</v>
      </c>
      <c r="G127">
        <f>'[12]ES TONS'!K221</f>
        <v>29.935785158508967</v>
      </c>
      <c r="H127">
        <f>'[12]ES TONS'!L221</f>
        <v>33.082581761069697</v>
      </c>
      <c r="I127">
        <f>'[12]ES TONS'!M221</f>
        <v>36.907717737948872</v>
      </c>
      <c r="J127">
        <f>'[12]ES TONS'!N221</f>
        <v>30.355460740541762</v>
      </c>
      <c r="K127">
        <f>'[12]ES TONS'!O221</f>
        <v>40.219971209566232</v>
      </c>
      <c r="L127">
        <f>'[13]ES TONS'!D221</f>
        <v>38.792914799922556</v>
      </c>
      <c r="M127">
        <f>'[13]ES TONS'!E221</f>
        <v>30.148993771392512</v>
      </c>
      <c r="N127">
        <f>'[13]ES TONS'!F221</f>
        <v>32.351180929019009</v>
      </c>
      <c r="O127">
        <f>'[13]ES TONS'!G221</f>
        <v>40.004554099231861</v>
      </c>
      <c r="P127" t="str">
        <f t="shared" si="2"/>
        <v>NRRec tons</v>
      </c>
      <c r="Q127">
        <f t="shared" si="3"/>
        <v>424.90079434337116</v>
      </c>
    </row>
    <row r="128" spans="1:17" x14ac:dyDescent="0.2">
      <c r="A128" t="s">
        <v>65</v>
      </c>
      <c r="C128" t="s">
        <v>59</v>
      </c>
      <c r="D128">
        <f>'[12]ES TONS'!H222</f>
        <v>96.642405887954567</v>
      </c>
      <c r="E128">
        <f>'[12]ES TONS'!I222</f>
        <v>75.5172591334385</v>
      </c>
      <c r="F128">
        <f>'[12]ES TONS'!J222</f>
        <v>66.303424241857812</v>
      </c>
      <c r="G128">
        <f>'[12]ES TONS'!K222</f>
        <v>38.196810633223464</v>
      </c>
      <c r="H128">
        <f>'[12]ES TONS'!L222</f>
        <v>47.768842399673673</v>
      </c>
      <c r="I128">
        <f>'[12]ES TONS'!M222</f>
        <v>59.309789438726838</v>
      </c>
      <c r="J128">
        <f>'[12]ES TONS'!N222</f>
        <v>99.766345816059157</v>
      </c>
      <c r="K128">
        <f>'[12]ES TONS'!O222</f>
        <v>36.111718436014236</v>
      </c>
      <c r="L128">
        <f>'[13]ES TONS'!D222</f>
        <v>30.980850990339302</v>
      </c>
      <c r="M128">
        <f>'[13]ES TONS'!E222</f>
        <v>13.639349435909315</v>
      </c>
      <c r="N128">
        <f>'[13]ES TONS'!F222</f>
        <v>42.106068115488995</v>
      </c>
      <c r="O128">
        <f>'[13]ES TONS'!G222</f>
        <v>77.688018626793792</v>
      </c>
      <c r="P128" t="str">
        <f t="shared" si="2"/>
        <v xml:space="preserve">NRYW tons </v>
      </c>
      <c r="Q128">
        <f t="shared" si="3"/>
        <v>684.03088315547961</v>
      </c>
    </row>
    <row r="129" spans="1:17" x14ac:dyDescent="0.2">
      <c r="A129" t="s">
        <v>65</v>
      </c>
      <c r="C129" t="s">
        <v>60</v>
      </c>
      <c r="D129">
        <f>'[12]ES TONS'!H223</f>
        <v>44.375491829792956</v>
      </c>
      <c r="E129">
        <f>'[12]ES TONS'!I223</f>
        <v>43.58239100226848</v>
      </c>
      <c r="F129">
        <f>'[12]ES TONS'!J223</f>
        <v>53.043364553134971</v>
      </c>
      <c r="G129">
        <f>'[12]ES TONS'!K223</f>
        <v>44.450350520423534</v>
      </c>
      <c r="H129">
        <f>'[12]ES TONS'!L223</f>
        <v>43.989908699997564</v>
      </c>
      <c r="I129">
        <f>'[12]ES TONS'!M223</f>
        <v>50.884730401615883</v>
      </c>
      <c r="J129">
        <f>'[12]ES TONS'!N223</f>
        <v>40.797753557221014</v>
      </c>
      <c r="K129">
        <f>'[12]ES TONS'!O223</f>
        <v>48.897140426252527</v>
      </c>
      <c r="L129">
        <f>'[13]ES TONS'!D223</f>
        <v>49.637350972051905</v>
      </c>
      <c r="M129">
        <f>'[13]ES TONS'!E223</f>
        <v>33.735524203133558</v>
      </c>
      <c r="N129">
        <f>'[13]ES TONS'!F223</f>
        <v>40.401034720395785</v>
      </c>
      <c r="O129">
        <f>'[13]ES TONS'!G223</f>
        <v>50.96386294715218</v>
      </c>
      <c r="P129" t="str">
        <f t="shared" si="2"/>
        <v>NRMSW tons</v>
      </c>
      <c r="Q129">
        <f t="shared" si="3"/>
        <v>544.7589038334404</v>
      </c>
    </row>
    <row r="130" spans="1:17" x14ac:dyDescent="0.2">
      <c r="A130" t="s">
        <v>55</v>
      </c>
      <c r="B130" t="s">
        <v>80</v>
      </c>
      <c r="C130" t="s">
        <v>56</v>
      </c>
      <c r="D130">
        <f>'[12]ES TONS'!H240</f>
        <v>5529</v>
      </c>
      <c r="E130">
        <f>'[12]ES TONS'!I240</f>
        <v>5535</v>
      </c>
      <c r="F130">
        <f>'[12]ES TONS'!J240</f>
        <v>5536</v>
      </c>
      <c r="G130">
        <f>'[12]ES TONS'!K240</f>
        <v>5538</v>
      </c>
      <c r="H130">
        <f>'[12]ES TONS'!L240</f>
        <v>5571</v>
      </c>
      <c r="I130">
        <f>'[12]ES TONS'!M240</f>
        <v>5593</v>
      </c>
      <c r="J130">
        <f>'[12]ES TONS'!N240</f>
        <v>5557</v>
      </c>
      <c r="K130">
        <f>'[12]ES TONS'!O240</f>
        <v>5590</v>
      </c>
      <c r="L130">
        <f>'[13]ES TONS'!D240</f>
        <v>5573</v>
      </c>
      <c r="M130">
        <f>'[13]ES TONS'!E240</f>
        <v>5578</v>
      </c>
      <c r="N130">
        <f>'[13]ES TONS'!F240</f>
        <v>5576</v>
      </c>
      <c r="O130">
        <f>'[13]ES TONS'!G240</f>
        <v>5604</v>
      </c>
      <c r="P130" t="str">
        <f t="shared" si="2"/>
        <v>RREC cust</v>
      </c>
      <c r="Q130">
        <f t="shared" si="3"/>
        <v>66780</v>
      </c>
    </row>
    <row r="131" spans="1:17" x14ac:dyDescent="0.2">
      <c r="A131" t="s">
        <v>55</v>
      </c>
      <c r="C131" t="s">
        <v>57</v>
      </c>
      <c r="D131">
        <f>'[12]ES TONS'!H241</f>
        <v>3493</v>
      </c>
      <c r="E131">
        <f>'[12]ES TONS'!I241</f>
        <v>3511</v>
      </c>
      <c r="F131">
        <f>'[12]ES TONS'!J241</f>
        <v>3531</v>
      </c>
      <c r="G131">
        <f>'[12]ES TONS'!K241</f>
        <v>3517</v>
      </c>
      <c r="H131">
        <f>'[12]ES TONS'!L241</f>
        <v>3543</v>
      </c>
      <c r="I131">
        <f>'[12]ES TONS'!M241</f>
        <v>3560</v>
      </c>
      <c r="J131">
        <f>'[12]ES TONS'!N241</f>
        <v>3510</v>
      </c>
      <c r="K131">
        <f>'[12]ES TONS'!O241</f>
        <v>3483</v>
      </c>
      <c r="L131">
        <f>'[13]ES TONS'!D241</f>
        <v>3441</v>
      </c>
      <c r="M131">
        <f>'[13]ES TONS'!E241</f>
        <v>3437</v>
      </c>
      <c r="N131">
        <f>'[13]ES TONS'!F241</f>
        <v>3488</v>
      </c>
      <c r="O131">
        <f>'[13]ES TONS'!G241</f>
        <v>3572</v>
      </c>
      <c r="P131" t="str">
        <f t="shared" si="2"/>
        <v>RYW cust</v>
      </c>
      <c r="Q131">
        <f t="shared" si="3"/>
        <v>42086</v>
      </c>
    </row>
    <row r="132" spans="1:17" x14ac:dyDescent="0.2">
      <c r="A132" t="s">
        <v>55</v>
      </c>
      <c r="D132">
        <f>'[12]ES TONS'!H242</f>
        <v>0</v>
      </c>
      <c r="E132">
        <f>'[12]ES TONS'!I242</f>
        <v>0</v>
      </c>
      <c r="F132">
        <f>'[12]ES TONS'!J242</f>
        <v>0</v>
      </c>
      <c r="G132">
        <f>'[12]ES TONS'!K242</f>
        <v>0</v>
      </c>
      <c r="H132">
        <f>'[12]ES TONS'!L242</f>
        <v>0</v>
      </c>
      <c r="I132">
        <f>'[12]ES TONS'!M242</f>
        <v>0</v>
      </c>
      <c r="J132">
        <f>'[12]ES TONS'!N242</f>
        <v>0</v>
      </c>
      <c r="K132">
        <f>'[12]ES TONS'!O242</f>
        <v>0</v>
      </c>
      <c r="L132">
        <f>'[13]ES TONS'!D242</f>
        <v>0</v>
      </c>
      <c r="M132">
        <f>'[13]ES TONS'!E242</f>
        <v>0</v>
      </c>
      <c r="N132">
        <f>'[13]ES TONS'!F242</f>
        <v>0</v>
      </c>
      <c r="O132">
        <f>'[13]ES TONS'!G242</f>
        <v>0</v>
      </c>
      <c r="P132" t="str">
        <f t="shared" ref="P132:P195" si="4">CONCATENATE(A132,C132)</f>
        <v>R</v>
      </c>
      <c r="Q132">
        <f t="shared" ref="Q132:Q195" si="5">SUM(D132:O132)</f>
        <v>0</v>
      </c>
    </row>
    <row r="133" spans="1:17" x14ac:dyDescent="0.2">
      <c r="A133" t="s">
        <v>55</v>
      </c>
      <c r="C133" t="s">
        <v>58</v>
      </c>
      <c r="D133">
        <f>'[12]ES TONS'!H243</f>
        <v>180.09094699360423</v>
      </c>
      <c r="E133">
        <f>'[12]ES TONS'!I243</f>
        <v>173.73943067681273</v>
      </c>
      <c r="F133">
        <f>'[12]ES TONS'!J243</f>
        <v>171.40558423634425</v>
      </c>
      <c r="G133">
        <f>'[12]ES TONS'!K243</f>
        <v>175.53511294620864</v>
      </c>
      <c r="H133">
        <f>'[12]ES TONS'!L243</f>
        <v>172.39040001536708</v>
      </c>
      <c r="I133">
        <f>'[12]ES TONS'!M243</f>
        <v>192.07169322536282</v>
      </c>
      <c r="J133">
        <f>'[12]ES TONS'!N243</f>
        <v>158.44294417360965</v>
      </c>
      <c r="K133">
        <f>'[12]ES TONS'!O243</f>
        <v>177.37990417842281</v>
      </c>
      <c r="L133">
        <f>'[13]ES TONS'!D243</f>
        <v>202.44869481846391</v>
      </c>
      <c r="M133">
        <f>'[13]ES TONS'!E243</f>
        <v>155.59189650189413</v>
      </c>
      <c r="N133">
        <f>'[13]ES TONS'!F243</f>
        <v>178.00524515271448</v>
      </c>
      <c r="O133">
        <f>'[13]ES TONS'!G243</f>
        <v>191.9902315429849</v>
      </c>
      <c r="P133" t="str">
        <f t="shared" si="4"/>
        <v>RRec tons</v>
      </c>
      <c r="Q133">
        <f t="shared" si="5"/>
        <v>2129.0920844617895</v>
      </c>
    </row>
    <row r="134" spans="1:17" x14ac:dyDescent="0.2">
      <c r="A134" t="s">
        <v>55</v>
      </c>
      <c r="C134" t="s">
        <v>59</v>
      </c>
      <c r="D134">
        <f>'[12]ES TONS'!H244</f>
        <v>356.30103362837082</v>
      </c>
      <c r="E134">
        <f>'[12]ES TONS'!I244</f>
        <v>265.73217063663913</v>
      </c>
      <c r="F134">
        <f>'[12]ES TONS'!J244</f>
        <v>272.39113502158574</v>
      </c>
      <c r="G134">
        <f>'[12]ES TONS'!K244</f>
        <v>160.52960713392363</v>
      </c>
      <c r="H134">
        <f>'[12]ES TONS'!L244</f>
        <v>182.29120474920299</v>
      </c>
      <c r="I134">
        <f>'[12]ES TONS'!M244</f>
        <v>221.93688439546381</v>
      </c>
      <c r="J134">
        <f>'[12]ES TONS'!N244</f>
        <v>314.84337304268217</v>
      </c>
      <c r="K134">
        <f>'[12]ES TONS'!O244</f>
        <v>184.86624386139141</v>
      </c>
      <c r="L134">
        <f>'[13]ES TONS'!D244</f>
        <v>133.69325318334478</v>
      </c>
      <c r="M134">
        <f>'[13]ES TONS'!E244</f>
        <v>90.427913085414204</v>
      </c>
      <c r="N134">
        <f>'[13]ES TONS'!F244</f>
        <v>159.77952821374194</v>
      </c>
      <c r="O134">
        <f>'[13]ES TONS'!G244</f>
        <v>255.78665772731293</v>
      </c>
      <c r="P134" t="str">
        <f t="shared" si="4"/>
        <v xml:space="preserve">RYW tons </v>
      </c>
      <c r="Q134">
        <f t="shared" si="5"/>
        <v>2598.5790046790739</v>
      </c>
    </row>
    <row r="135" spans="1:17" x14ac:dyDescent="0.2">
      <c r="A135" t="s">
        <v>55</v>
      </c>
      <c r="C135" t="s">
        <v>60</v>
      </c>
      <c r="D135">
        <f>'[12]ES TONS'!H245</f>
        <v>307.98461292488849</v>
      </c>
      <c r="E135">
        <f>'[12]ES TONS'!I245</f>
        <v>287.22958617109259</v>
      </c>
      <c r="F135">
        <f>'[12]ES TONS'!J245</f>
        <v>329.98410181726371</v>
      </c>
      <c r="G135">
        <f>'[12]ES TONS'!K245</f>
        <v>305.12889850691215</v>
      </c>
      <c r="H135">
        <f>'[12]ES TONS'!L245</f>
        <v>306.61699878057743</v>
      </c>
      <c r="I135">
        <f>'[12]ES TONS'!M245</f>
        <v>310.09717559220763</v>
      </c>
      <c r="J135">
        <f>'[12]ES TONS'!N245</f>
        <v>280.40858328147198</v>
      </c>
      <c r="K135">
        <f>'[12]ES TONS'!O245</f>
        <v>308.42039115610339</v>
      </c>
      <c r="L135">
        <f>'[13]ES TONS'!D245</f>
        <v>307.17180294897014</v>
      </c>
      <c r="M135">
        <f>'[13]ES TONS'!E245</f>
        <v>252.22448095001118</v>
      </c>
      <c r="N135">
        <f>'[13]ES TONS'!F245</f>
        <v>283.23678145716508</v>
      </c>
      <c r="O135">
        <f>'[13]ES TONS'!G245</f>
        <v>297.81964297183652</v>
      </c>
      <c r="P135" t="str">
        <f t="shared" si="4"/>
        <v>RMSW tons</v>
      </c>
      <c r="Q135">
        <f t="shared" si="5"/>
        <v>3576.3230565585</v>
      </c>
    </row>
    <row r="136" spans="1:17" x14ac:dyDescent="0.2">
      <c r="A136" t="s">
        <v>65</v>
      </c>
      <c r="B136" t="s">
        <v>81</v>
      </c>
      <c r="C136" t="s">
        <v>56</v>
      </c>
      <c r="D136">
        <f>'[12]ES TONS'!H263</f>
        <v>6452</v>
      </c>
      <c r="E136">
        <f>'[12]ES TONS'!I263</f>
        <v>6476</v>
      </c>
      <c r="F136">
        <f>'[12]ES TONS'!J263</f>
        <v>6419</v>
      </c>
      <c r="G136">
        <f>'[12]ES TONS'!K263</f>
        <v>6454</v>
      </c>
      <c r="H136">
        <f>'[12]ES TONS'!L263</f>
        <v>6498</v>
      </c>
      <c r="I136">
        <f>'[12]ES TONS'!M263</f>
        <v>6488</v>
      </c>
      <c r="J136">
        <f>'[12]ES TONS'!N263</f>
        <v>6464</v>
      </c>
      <c r="K136">
        <f>'[12]ES TONS'!O263</f>
        <v>6461</v>
      </c>
      <c r="L136">
        <f>'[13]ES TONS'!D263</f>
        <v>6400</v>
      </c>
      <c r="M136">
        <f>'[13]ES TONS'!E263</f>
        <v>6424</v>
      </c>
      <c r="N136">
        <f>'[13]ES TONS'!F263</f>
        <v>6449</v>
      </c>
      <c r="O136">
        <f>'[13]ES TONS'!G263</f>
        <v>6464</v>
      </c>
      <c r="P136" t="str">
        <f t="shared" si="4"/>
        <v>NRREC cust</v>
      </c>
      <c r="Q136">
        <f t="shared" si="5"/>
        <v>77449</v>
      </c>
    </row>
    <row r="137" spans="1:17" x14ac:dyDescent="0.2">
      <c r="A137" t="s">
        <v>65</v>
      </c>
      <c r="C137" t="s">
        <v>57</v>
      </c>
      <c r="D137">
        <f>'[12]ES TONS'!H264</f>
        <v>6195</v>
      </c>
      <c r="E137">
        <f>'[12]ES TONS'!I264</f>
        <v>6219</v>
      </c>
      <c r="F137">
        <f>'[12]ES TONS'!J264</f>
        <v>6169</v>
      </c>
      <c r="G137">
        <f>'[12]ES TONS'!K264</f>
        <v>6213</v>
      </c>
      <c r="H137">
        <f>'[12]ES TONS'!L264</f>
        <v>6256</v>
      </c>
      <c r="I137">
        <f>'[12]ES TONS'!M264</f>
        <v>6249</v>
      </c>
      <c r="J137">
        <f>'[12]ES TONS'!N264</f>
        <v>6224</v>
      </c>
      <c r="K137">
        <f>'[12]ES TONS'!O264</f>
        <v>6223</v>
      </c>
      <c r="L137">
        <f>'[13]ES TONS'!D264</f>
        <v>6163</v>
      </c>
      <c r="M137">
        <f>'[13]ES TONS'!E264</f>
        <v>6191</v>
      </c>
      <c r="N137">
        <f>'[13]ES TONS'!F264</f>
        <v>6212</v>
      </c>
      <c r="O137">
        <f>'[13]ES TONS'!G264</f>
        <v>6226</v>
      </c>
      <c r="P137" t="str">
        <f t="shared" si="4"/>
        <v>NRYW cust</v>
      </c>
      <c r="Q137">
        <f t="shared" si="5"/>
        <v>74540</v>
      </c>
    </row>
    <row r="138" spans="1:17" x14ac:dyDescent="0.2">
      <c r="A138" t="s">
        <v>65</v>
      </c>
      <c r="D138">
        <f>'[12]ES TONS'!H265</f>
        <v>0</v>
      </c>
      <c r="E138">
        <f>'[12]ES TONS'!I265</f>
        <v>0</v>
      </c>
      <c r="F138">
        <f>'[12]ES TONS'!J265</f>
        <v>0</v>
      </c>
      <c r="G138">
        <f>'[12]ES TONS'!K265</f>
        <v>0</v>
      </c>
      <c r="H138">
        <f>'[12]ES TONS'!L265</f>
        <v>0</v>
      </c>
      <c r="I138">
        <f>'[12]ES TONS'!M265</f>
        <v>0</v>
      </c>
      <c r="J138">
        <f>'[12]ES TONS'!N265</f>
        <v>0</v>
      </c>
      <c r="K138">
        <f>'[12]ES TONS'!O265</f>
        <v>0</v>
      </c>
      <c r="L138">
        <f>'[13]ES TONS'!D265</f>
        <v>0</v>
      </c>
      <c r="M138">
        <f>'[13]ES TONS'!E265</f>
        <v>0</v>
      </c>
      <c r="N138">
        <f>'[13]ES TONS'!F265</f>
        <v>0</v>
      </c>
      <c r="O138">
        <f>'[13]ES TONS'!G265</f>
        <v>0</v>
      </c>
      <c r="P138" t="str">
        <f t="shared" si="4"/>
        <v>NR</v>
      </c>
      <c r="Q138">
        <f t="shared" si="5"/>
        <v>0</v>
      </c>
    </row>
    <row r="139" spans="1:17" x14ac:dyDescent="0.2">
      <c r="A139" t="s">
        <v>65</v>
      </c>
      <c r="C139" t="s">
        <v>58</v>
      </c>
      <c r="D139">
        <f>'[12]ES TONS'!H266</f>
        <v>252.18472917489788</v>
      </c>
      <c r="E139">
        <f>'[12]ES TONS'!I266</f>
        <v>235.7720021151658</v>
      </c>
      <c r="F139">
        <f>'[12]ES TONS'!J266</f>
        <v>253.29759558947376</v>
      </c>
      <c r="G139">
        <f>'[12]ES TONS'!K266</f>
        <v>243.15005097420683</v>
      </c>
      <c r="H139">
        <f>'[12]ES TONS'!L266</f>
        <v>238.78434784736959</v>
      </c>
      <c r="I139">
        <f>'[12]ES TONS'!M266</f>
        <v>246.15396038552257</v>
      </c>
      <c r="J139">
        <f>'[12]ES TONS'!N266</f>
        <v>229.45753123795453</v>
      </c>
      <c r="K139">
        <f>'[12]ES TONS'!O266</f>
        <v>267.59348278193613</v>
      </c>
      <c r="L139">
        <f>'[13]ES TONS'!D266</f>
        <v>268.09044794199053</v>
      </c>
      <c r="M139">
        <f>'[13]ES TONS'!E266</f>
        <v>199.79243238942931</v>
      </c>
      <c r="N139">
        <f>'[13]ES TONS'!F266</f>
        <v>221.48223510558333</v>
      </c>
      <c r="O139">
        <f>'[13]ES TONS'!G266</f>
        <v>222.01085397113954</v>
      </c>
      <c r="P139" t="str">
        <f t="shared" si="4"/>
        <v>NRRec tons</v>
      </c>
      <c r="Q139">
        <f t="shared" si="5"/>
        <v>2877.7696695146697</v>
      </c>
    </row>
    <row r="140" spans="1:17" x14ac:dyDescent="0.2">
      <c r="A140" t="s">
        <v>65</v>
      </c>
      <c r="C140" t="s">
        <v>59</v>
      </c>
      <c r="D140">
        <f>'[12]ES TONS'!H267</f>
        <v>643.54275253244191</v>
      </c>
      <c r="E140">
        <f>'[12]ES TONS'!I267</f>
        <v>501.82496307081124</v>
      </c>
      <c r="F140">
        <f>'[12]ES TONS'!J267</f>
        <v>468.40234160414963</v>
      </c>
      <c r="G140">
        <f>'[12]ES TONS'!K267</f>
        <v>339.08724856808158</v>
      </c>
      <c r="H140">
        <f>'[12]ES TONS'!L267</f>
        <v>403.26117373522817</v>
      </c>
      <c r="I140">
        <f>'[12]ES TONS'!M267</f>
        <v>491.87267910353006</v>
      </c>
      <c r="J140">
        <f>'[12]ES TONS'!N267</f>
        <v>784.48988321248214</v>
      </c>
      <c r="K140">
        <f>'[12]ES TONS'!O267</f>
        <v>348.77291587062274</v>
      </c>
      <c r="L140">
        <f>'[13]ES TONS'!D267</f>
        <v>326.41046315838139</v>
      </c>
      <c r="M140">
        <f>'[13]ES TONS'!E267</f>
        <v>228.08092350970213</v>
      </c>
      <c r="N140">
        <f>'[13]ES TONS'!F267</f>
        <v>371.3035271006849</v>
      </c>
      <c r="O140">
        <f>'[13]ES TONS'!G267</f>
        <v>502.53608117131142</v>
      </c>
      <c r="P140" t="str">
        <f t="shared" si="4"/>
        <v xml:space="preserve">NRYW tons </v>
      </c>
      <c r="Q140">
        <f t="shared" si="5"/>
        <v>5409.5849526374277</v>
      </c>
    </row>
    <row r="141" spans="1:17" x14ac:dyDescent="0.2">
      <c r="A141" t="s">
        <v>65</v>
      </c>
      <c r="C141" t="s">
        <v>60</v>
      </c>
      <c r="D141">
        <f>'[12]ES TONS'!H268</f>
        <v>342.9900436489549</v>
      </c>
      <c r="E141">
        <f>'[12]ES TONS'!I268</f>
        <v>309.8060867752244</v>
      </c>
      <c r="F141">
        <f>'[12]ES TONS'!J268</f>
        <v>366.9105578038052</v>
      </c>
      <c r="G141">
        <f>'[12]ES TONS'!K268</f>
        <v>346.98008605380073</v>
      </c>
      <c r="H141">
        <f>'[12]ES TONS'!L268</f>
        <v>323.7241606331612</v>
      </c>
      <c r="I141">
        <f>'[12]ES TONS'!M268</f>
        <v>329.52410226669343</v>
      </c>
      <c r="J141">
        <f>'[12]ES TONS'!N268</f>
        <v>312.78981645605563</v>
      </c>
      <c r="K141">
        <f>'[12]ES TONS'!O268</f>
        <v>327.81075933320358</v>
      </c>
      <c r="L141">
        <f>'[13]ES TONS'!D268</f>
        <v>334.45489065974772</v>
      </c>
      <c r="M141">
        <f>'[13]ES TONS'!E268</f>
        <v>263.97205935604342</v>
      </c>
      <c r="N141">
        <f>'[13]ES TONS'!F268</f>
        <v>288.01365148368336</v>
      </c>
      <c r="O141">
        <f>'[13]ES TONS'!G268</f>
        <v>312.50765403411208</v>
      </c>
      <c r="P141" t="str">
        <f t="shared" si="4"/>
        <v>NRMSW tons</v>
      </c>
      <c r="Q141">
        <f t="shared" si="5"/>
        <v>3859.4838685044856</v>
      </c>
    </row>
    <row r="142" spans="1:17" x14ac:dyDescent="0.2">
      <c r="A142" t="s">
        <v>55</v>
      </c>
      <c r="B142" t="s">
        <v>61</v>
      </c>
      <c r="C142" t="s">
        <v>56</v>
      </c>
      <c r="D142">
        <f>'[12]ES TONS'!H285</f>
        <v>3208</v>
      </c>
      <c r="E142">
        <f>'[12]ES TONS'!I285</f>
        <v>3197</v>
      </c>
      <c r="F142">
        <f>'[12]ES TONS'!J285</f>
        <v>3192</v>
      </c>
      <c r="G142">
        <f>'[12]ES TONS'!K285</f>
        <v>3193</v>
      </c>
      <c r="H142">
        <f>'[12]ES TONS'!L285</f>
        <v>3212</v>
      </c>
      <c r="I142">
        <f>'[12]ES TONS'!M285</f>
        <v>3221</v>
      </c>
      <c r="J142">
        <f>'[12]ES TONS'!N285</f>
        <v>3206</v>
      </c>
      <c r="K142">
        <f>'[12]ES TONS'!O285</f>
        <v>3230</v>
      </c>
      <c r="L142">
        <f>'[13]ES TONS'!D285</f>
        <v>3227</v>
      </c>
      <c r="M142">
        <f>'[13]ES TONS'!E285</f>
        <v>3226</v>
      </c>
      <c r="N142">
        <f>'[13]ES TONS'!F285</f>
        <v>3226</v>
      </c>
      <c r="O142">
        <f>'[13]ES TONS'!G285</f>
        <v>3242</v>
      </c>
      <c r="P142" t="str">
        <f t="shared" si="4"/>
        <v>RREC cust</v>
      </c>
      <c r="Q142">
        <f t="shared" si="5"/>
        <v>38580</v>
      </c>
    </row>
    <row r="143" spans="1:17" x14ac:dyDescent="0.2">
      <c r="A143" t="s">
        <v>55</v>
      </c>
      <c r="C143" t="s">
        <v>57</v>
      </c>
      <c r="D143">
        <f>'[12]ES TONS'!H286</f>
        <v>2127</v>
      </c>
      <c r="E143">
        <f>'[12]ES TONS'!I286</f>
        <v>2136</v>
      </c>
      <c r="F143">
        <f>'[12]ES TONS'!J286</f>
        <v>2138</v>
      </c>
      <c r="G143">
        <f>'[12]ES TONS'!K286</f>
        <v>2138</v>
      </c>
      <c r="H143">
        <f>'[12]ES TONS'!L286</f>
        <v>2139</v>
      </c>
      <c r="I143">
        <f>'[12]ES TONS'!M286</f>
        <v>2126</v>
      </c>
      <c r="J143">
        <f>'[12]ES TONS'!N286</f>
        <v>2105</v>
      </c>
      <c r="K143">
        <f>'[12]ES TONS'!O286</f>
        <v>2064</v>
      </c>
      <c r="L143">
        <f>'[13]ES TONS'!D286</f>
        <v>2035</v>
      </c>
      <c r="M143">
        <f>'[13]ES TONS'!E286</f>
        <v>2035</v>
      </c>
      <c r="N143">
        <f>'[13]ES TONS'!F286</f>
        <v>2056</v>
      </c>
      <c r="O143">
        <f>'[13]ES TONS'!G286</f>
        <v>2104</v>
      </c>
      <c r="P143" t="str">
        <f t="shared" si="4"/>
        <v>RYW cust</v>
      </c>
      <c r="Q143">
        <f t="shared" si="5"/>
        <v>25203</v>
      </c>
    </row>
    <row r="144" spans="1:17" x14ac:dyDescent="0.2">
      <c r="A144" t="s">
        <v>55</v>
      </c>
      <c r="D144">
        <f>'[12]ES TONS'!H287</f>
        <v>0</v>
      </c>
      <c r="E144">
        <f>'[12]ES TONS'!I287</f>
        <v>0</v>
      </c>
      <c r="F144">
        <f>'[12]ES TONS'!J287</f>
        <v>0</v>
      </c>
      <c r="G144">
        <f>'[12]ES TONS'!K287</f>
        <v>0</v>
      </c>
      <c r="H144">
        <f>'[12]ES TONS'!L287</f>
        <v>0</v>
      </c>
      <c r="I144">
        <f>'[12]ES TONS'!M287</f>
        <v>0</v>
      </c>
      <c r="J144">
        <f>'[12]ES TONS'!N287</f>
        <v>0</v>
      </c>
      <c r="K144">
        <f>'[12]ES TONS'!O287</f>
        <v>0</v>
      </c>
      <c r="L144">
        <f>'[13]ES TONS'!D287</f>
        <v>0</v>
      </c>
      <c r="M144">
        <f>'[13]ES TONS'!E287</f>
        <v>0</v>
      </c>
      <c r="N144">
        <f>'[13]ES TONS'!F287</f>
        <v>0</v>
      </c>
      <c r="O144">
        <f>'[13]ES TONS'!G287</f>
        <v>0</v>
      </c>
      <c r="P144" t="str">
        <f t="shared" si="4"/>
        <v>R</v>
      </c>
      <c r="Q144">
        <f t="shared" si="5"/>
        <v>0</v>
      </c>
    </row>
    <row r="145" spans="1:17" x14ac:dyDescent="0.2">
      <c r="A145" t="s">
        <v>55</v>
      </c>
      <c r="C145" t="s">
        <v>58</v>
      </c>
      <c r="D145">
        <f>'[12]ES TONS'!H288</f>
        <v>116.50199399515215</v>
      </c>
      <c r="E145">
        <f>'[12]ES TONS'!I288</f>
        <v>100.50030185932556</v>
      </c>
      <c r="F145">
        <f>'[12]ES TONS'!J288</f>
        <v>98.943997863101103</v>
      </c>
      <c r="G145">
        <f>'[12]ES TONS'!K288</f>
        <v>108.3136000287342</v>
      </c>
      <c r="H145">
        <f>'[12]ES TONS'!L288</f>
        <v>108.89240001215943</v>
      </c>
      <c r="I145">
        <f>'[12]ES TONS'!M288</f>
        <v>122.2360354290233</v>
      </c>
      <c r="J145">
        <f>'[12]ES TONS'!N288</f>
        <v>107.92883344739691</v>
      </c>
      <c r="K145">
        <f>'[12]ES TONS'!O288</f>
        <v>120.73475299645774</v>
      </c>
      <c r="L145">
        <f>'[13]ES TONS'!D288</f>
        <v>137.74980374317263</v>
      </c>
      <c r="M145">
        <f>'[13]ES TONS'!E288</f>
        <v>98.608668616907792</v>
      </c>
      <c r="N145">
        <f>'[13]ES TONS'!F288</f>
        <v>102.14718190342028</v>
      </c>
      <c r="O145">
        <f>'[13]ES TONS'!G288</f>
        <v>114.381654983635</v>
      </c>
      <c r="P145" t="str">
        <f t="shared" si="4"/>
        <v>RRec tons</v>
      </c>
      <c r="Q145">
        <f t="shared" si="5"/>
        <v>1336.9392248784859</v>
      </c>
    </row>
    <row r="146" spans="1:17" x14ac:dyDescent="0.2">
      <c r="A146" t="s">
        <v>55</v>
      </c>
      <c r="C146" t="s">
        <v>59</v>
      </c>
      <c r="D146">
        <f>'[12]ES TONS'!H289</f>
        <v>243.95827421702006</v>
      </c>
      <c r="E146">
        <f>'[12]ES TONS'!I289</f>
        <v>174.51566183775992</v>
      </c>
      <c r="F146">
        <f>'[12]ES TONS'!J289</f>
        <v>145.96168202234236</v>
      </c>
      <c r="G146">
        <f>'[12]ES TONS'!K289</f>
        <v>124.46466317663892</v>
      </c>
      <c r="H146">
        <f>'[12]ES TONS'!L289</f>
        <v>147.53421396790378</v>
      </c>
      <c r="I146">
        <f>'[12]ES TONS'!M289</f>
        <v>168.92044724653812</v>
      </c>
      <c r="J146">
        <f>'[12]ES TONS'!N289</f>
        <v>230.54336549488525</v>
      </c>
      <c r="K146">
        <f>'[12]ES TONS'!O289</f>
        <v>46.089529322254975</v>
      </c>
      <c r="L146">
        <f>'[13]ES TONS'!D289</f>
        <v>81.278520265423097</v>
      </c>
      <c r="M146">
        <f>'[13]ES TONS'!E289</f>
        <v>40.108441467286454</v>
      </c>
      <c r="N146">
        <f>'[13]ES TONS'!F289</f>
        <v>99.24650635355205</v>
      </c>
      <c r="O146">
        <f>'[13]ES TONS'!G289</f>
        <v>179.46884796075238</v>
      </c>
      <c r="P146" t="str">
        <f t="shared" si="4"/>
        <v xml:space="preserve">RYW tons </v>
      </c>
      <c r="Q146">
        <f t="shared" si="5"/>
        <v>1682.0901533323574</v>
      </c>
    </row>
    <row r="147" spans="1:17" x14ac:dyDescent="0.2">
      <c r="A147" t="s">
        <v>55</v>
      </c>
      <c r="C147" t="s">
        <v>60</v>
      </c>
      <c r="D147">
        <f>'[12]ES TONS'!H290</f>
        <v>178.30166099509592</v>
      </c>
      <c r="E147">
        <f>'[12]ES TONS'!I290</f>
        <v>148.52562733714495</v>
      </c>
      <c r="F147">
        <f>'[12]ES TONS'!J290</f>
        <v>158.0622123030648</v>
      </c>
      <c r="G147">
        <f>'[12]ES TONS'!K290</f>
        <v>171.44309995254173</v>
      </c>
      <c r="H147">
        <f>'[12]ES TONS'!L290</f>
        <v>149.60438589588387</v>
      </c>
      <c r="I147">
        <f>'[12]ES TONS'!M290</f>
        <v>165.03442532937044</v>
      </c>
      <c r="J147">
        <f>'[12]ES TONS'!N290</f>
        <v>152.67914501423655</v>
      </c>
      <c r="K147">
        <f>'[12]ES TONS'!O290</f>
        <v>143.42005909590404</v>
      </c>
      <c r="L147">
        <f>'[13]ES TONS'!D290</f>
        <v>182.26539906854893</v>
      </c>
      <c r="M147">
        <f>'[13]ES TONS'!E290</f>
        <v>127.97719500811337</v>
      </c>
      <c r="N147">
        <f>'[13]ES TONS'!F290</f>
        <v>139.47670975249991</v>
      </c>
      <c r="O147">
        <f>'[13]ES TONS'!G290</f>
        <v>148.60321893235968</v>
      </c>
      <c r="P147" t="str">
        <f t="shared" si="4"/>
        <v>RMSW tons</v>
      </c>
      <c r="Q147">
        <f t="shared" si="5"/>
        <v>1865.3931386847639</v>
      </c>
    </row>
    <row r="148" spans="1:17" x14ac:dyDescent="0.2">
      <c r="A148" t="s">
        <v>65</v>
      </c>
      <c r="B148" t="s">
        <v>82</v>
      </c>
      <c r="C148" t="s">
        <v>56</v>
      </c>
      <c r="D148">
        <f>'[12]ES TONS'!H307</f>
        <v>8412</v>
      </c>
      <c r="E148">
        <f>'[12]ES TONS'!I307</f>
        <v>8426</v>
      </c>
      <c r="F148">
        <f>'[12]ES TONS'!J307</f>
        <v>8426</v>
      </c>
      <c r="G148">
        <f>'[12]ES TONS'!K307</f>
        <v>8442</v>
      </c>
      <c r="H148">
        <f>'[12]ES TONS'!L307</f>
        <v>8500</v>
      </c>
      <c r="I148">
        <f>'[12]ES TONS'!M307</f>
        <v>8524</v>
      </c>
      <c r="J148">
        <f>'[12]ES TONS'!N307</f>
        <v>8496</v>
      </c>
      <c r="K148">
        <f>'[12]ES TONS'!O307</f>
        <v>8560</v>
      </c>
      <c r="L148">
        <f>'[13]ES TONS'!D307</f>
        <v>8542</v>
      </c>
      <c r="M148">
        <f>'[13]ES TONS'!E307</f>
        <v>8553</v>
      </c>
      <c r="N148">
        <f>'[13]ES TONS'!F307</f>
        <v>8565</v>
      </c>
      <c r="O148">
        <f>'[13]ES TONS'!G307</f>
        <v>8599</v>
      </c>
      <c r="P148" t="str">
        <f t="shared" si="4"/>
        <v>NRREC cust</v>
      </c>
      <c r="Q148">
        <f t="shared" si="5"/>
        <v>102045</v>
      </c>
    </row>
    <row r="149" spans="1:17" x14ac:dyDescent="0.2">
      <c r="A149" t="s">
        <v>65</v>
      </c>
      <c r="C149" t="s">
        <v>57</v>
      </c>
      <c r="D149">
        <f>'[12]ES TONS'!H308</f>
        <v>4948</v>
      </c>
      <c r="E149">
        <f>'[12]ES TONS'!I308</f>
        <v>4980</v>
      </c>
      <c r="F149">
        <f>'[12]ES TONS'!J308</f>
        <v>4987</v>
      </c>
      <c r="G149">
        <f>'[12]ES TONS'!K308</f>
        <v>4985</v>
      </c>
      <c r="H149">
        <f>'[12]ES TONS'!L308</f>
        <v>5003</v>
      </c>
      <c r="I149">
        <f>'[12]ES TONS'!M308</f>
        <v>4958</v>
      </c>
      <c r="J149">
        <f>'[12]ES TONS'!N308</f>
        <v>4880</v>
      </c>
      <c r="K149">
        <f>'[12]ES TONS'!O308</f>
        <v>4793</v>
      </c>
      <c r="L149">
        <f>'[13]ES TONS'!D308</f>
        <v>4739</v>
      </c>
      <c r="M149">
        <f>'[13]ES TONS'!E308</f>
        <v>4710</v>
      </c>
      <c r="N149">
        <f>'[13]ES TONS'!F308</f>
        <v>4766</v>
      </c>
      <c r="O149">
        <f>'[13]ES TONS'!G308</f>
        <v>4877</v>
      </c>
      <c r="P149" t="str">
        <f t="shared" si="4"/>
        <v>NRYW cust</v>
      </c>
      <c r="Q149">
        <f t="shared" si="5"/>
        <v>58626</v>
      </c>
    </row>
    <row r="150" spans="1:17" x14ac:dyDescent="0.2">
      <c r="A150" t="s">
        <v>65</v>
      </c>
      <c r="D150">
        <f>'[12]ES TONS'!H309</f>
        <v>0</v>
      </c>
      <c r="E150">
        <f>'[12]ES TONS'!I309</f>
        <v>0</v>
      </c>
      <c r="F150">
        <f>'[12]ES TONS'!J309</f>
        <v>0</v>
      </c>
      <c r="G150">
        <f>'[12]ES TONS'!K309</f>
        <v>0</v>
      </c>
      <c r="H150">
        <f>'[12]ES TONS'!L309</f>
        <v>0</v>
      </c>
      <c r="I150">
        <f>'[12]ES TONS'!M309</f>
        <v>0</v>
      </c>
      <c r="J150">
        <f>'[12]ES TONS'!N309</f>
        <v>0</v>
      </c>
      <c r="K150">
        <f>'[12]ES TONS'!O309</f>
        <v>0</v>
      </c>
      <c r="L150">
        <f>'[13]ES TONS'!D309</f>
        <v>0</v>
      </c>
      <c r="M150">
        <f>'[13]ES TONS'!E309</f>
        <v>0</v>
      </c>
      <c r="N150">
        <f>'[13]ES TONS'!F309</f>
        <v>0</v>
      </c>
      <c r="O150">
        <f>'[13]ES TONS'!G309</f>
        <v>0</v>
      </c>
      <c r="P150" t="str">
        <f t="shared" si="4"/>
        <v>NR</v>
      </c>
      <c r="Q150">
        <f t="shared" si="5"/>
        <v>0</v>
      </c>
    </row>
    <row r="151" spans="1:17" x14ac:dyDescent="0.2">
      <c r="A151" t="s">
        <v>65</v>
      </c>
      <c r="C151" t="s">
        <v>58</v>
      </c>
      <c r="D151">
        <f>'[12]ES TONS'!H310</f>
        <v>302.2970706614297</v>
      </c>
      <c r="E151">
        <f>'[12]ES TONS'!I310</f>
        <v>277.71080653064701</v>
      </c>
      <c r="F151">
        <f>'[12]ES TONS'!J310</f>
        <v>303.37665043121967</v>
      </c>
      <c r="G151">
        <f>'[12]ES TONS'!K310</f>
        <v>289.64256549996423</v>
      </c>
      <c r="H151">
        <f>'[12]ES TONS'!L310</f>
        <v>302.11987983512273</v>
      </c>
      <c r="I151">
        <f>'[12]ES TONS'!M310</f>
        <v>305.05575539046174</v>
      </c>
      <c r="J151">
        <f>'[12]ES TONS'!N310</f>
        <v>295.8242660179335</v>
      </c>
      <c r="K151">
        <f>'[12]ES TONS'!O310</f>
        <v>366.60992718975655</v>
      </c>
      <c r="L151">
        <f>'[13]ES TONS'!D310</f>
        <v>354.14132610978965</v>
      </c>
      <c r="M151">
        <f>'[13]ES TONS'!E310</f>
        <v>257.63127640317867</v>
      </c>
      <c r="N151">
        <f>'[13]ES TONS'!F310</f>
        <v>278.82592381223031</v>
      </c>
      <c r="O151">
        <f>'[13]ES TONS'!G310</f>
        <v>304.53517021184638</v>
      </c>
      <c r="P151" t="str">
        <f t="shared" si="4"/>
        <v>NRRec tons</v>
      </c>
      <c r="Q151">
        <f t="shared" si="5"/>
        <v>3637.7706180935802</v>
      </c>
    </row>
    <row r="152" spans="1:17" x14ac:dyDescent="0.2">
      <c r="A152" t="s">
        <v>65</v>
      </c>
      <c r="C152" t="s">
        <v>59</v>
      </c>
      <c r="D152">
        <f>'[12]ES TONS'!H311</f>
        <v>636.01718850540067</v>
      </c>
      <c r="E152">
        <f>'[12]ES TONS'!I311</f>
        <v>510.65577215408689</v>
      </c>
      <c r="F152">
        <f>'[12]ES TONS'!J311</f>
        <v>450.11301594322879</v>
      </c>
      <c r="G152">
        <f>'[12]ES TONS'!K311</f>
        <v>324.21401777915582</v>
      </c>
      <c r="H152">
        <f>'[12]ES TONS'!L311</f>
        <v>373.62505594694727</v>
      </c>
      <c r="I152">
        <f>'[12]ES TONS'!M311</f>
        <v>398.0997661388792</v>
      </c>
      <c r="J152">
        <f>'[12]ES TONS'!N311</f>
        <v>655.14353223621845</v>
      </c>
      <c r="K152">
        <f>'[12]ES TONS'!O311</f>
        <v>179.3157047548907</v>
      </c>
      <c r="L152">
        <f>'[13]ES TONS'!D311</f>
        <v>216.5056179901398</v>
      </c>
      <c r="M152">
        <f>'[13]ES TONS'!E311</f>
        <v>126.97164848011134</v>
      </c>
      <c r="N152">
        <f>'[13]ES TONS'!F311</f>
        <v>310.9840747162533</v>
      </c>
      <c r="O152">
        <f>'[13]ES TONS'!G311</f>
        <v>500.2904163944159</v>
      </c>
      <c r="P152" t="str">
        <f t="shared" si="4"/>
        <v xml:space="preserve">NRYW tons </v>
      </c>
      <c r="Q152">
        <f t="shared" si="5"/>
        <v>4681.9358110397279</v>
      </c>
    </row>
    <row r="153" spans="1:17" x14ac:dyDescent="0.2">
      <c r="A153" t="s">
        <v>65</v>
      </c>
      <c r="C153" t="s">
        <v>60</v>
      </c>
      <c r="D153">
        <f>'[12]ES TONS'!H312</f>
        <v>473.3354163585862</v>
      </c>
      <c r="E153">
        <f>'[12]ES TONS'!I312</f>
        <v>447.54807614345515</v>
      </c>
      <c r="F153">
        <f>'[12]ES TONS'!J312</f>
        <v>509.1950878549776</v>
      </c>
      <c r="G153">
        <f>'[12]ES TONS'!K312</f>
        <v>447.51900953653058</v>
      </c>
      <c r="H153">
        <f>'[12]ES TONS'!L312</f>
        <v>461.17223518085069</v>
      </c>
      <c r="I153">
        <f>'[12]ES TONS'!M312</f>
        <v>442.33073320556457</v>
      </c>
      <c r="J153">
        <f>'[12]ES TONS'!N312</f>
        <v>440.338070635056</v>
      </c>
      <c r="K153">
        <f>'[12]ES TONS'!O312</f>
        <v>477.95146364274797</v>
      </c>
      <c r="L153">
        <f>'[13]ES TONS'!D312</f>
        <v>481.08946852024388</v>
      </c>
      <c r="M153">
        <f>'[13]ES TONS'!E312</f>
        <v>381.96085944139054</v>
      </c>
      <c r="N153">
        <f>'[13]ES TONS'!F312</f>
        <v>419.75034747367317</v>
      </c>
      <c r="O153">
        <f>'[13]ES TONS'!G312</f>
        <v>446.66666671709999</v>
      </c>
      <c r="P153" t="str">
        <f t="shared" si="4"/>
        <v>NRMSW tons</v>
      </c>
      <c r="Q153">
        <f t="shared" si="5"/>
        <v>5428.8574347101767</v>
      </c>
    </row>
    <row r="154" spans="1:17" x14ac:dyDescent="0.2">
      <c r="A154" t="s">
        <v>65</v>
      </c>
      <c r="B154" t="s">
        <v>83</v>
      </c>
      <c r="C154" t="s">
        <v>56</v>
      </c>
      <c r="D154">
        <f>'[12]ES TONS'!H329</f>
        <v>1493</v>
      </c>
      <c r="E154">
        <f>'[12]ES TONS'!I329</f>
        <v>1494</v>
      </c>
      <c r="F154">
        <f>'[12]ES TONS'!J329</f>
        <v>1508</v>
      </c>
      <c r="G154">
        <f>'[12]ES TONS'!K329</f>
        <v>1516</v>
      </c>
      <c r="H154">
        <f>'[12]ES TONS'!L329</f>
        <v>1527</v>
      </c>
      <c r="I154">
        <f>'[12]ES TONS'!M329</f>
        <v>1539</v>
      </c>
      <c r="J154">
        <f>'[12]ES TONS'!N329</f>
        <v>1548</v>
      </c>
      <c r="K154">
        <f>'[12]ES TONS'!O329</f>
        <v>1558</v>
      </c>
      <c r="L154">
        <f>'[13]ES TONS'!D329</f>
        <v>1561</v>
      </c>
      <c r="M154">
        <f>'[13]ES TONS'!E329</f>
        <v>1569</v>
      </c>
      <c r="N154">
        <f>'[13]ES TONS'!F329</f>
        <v>1583</v>
      </c>
      <c r="O154">
        <f>'[13]ES TONS'!G329</f>
        <v>1597</v>
      </c>
      <c r="P154" t="str">
        <f t="shared" si="4"/>
        <v>NRREC cust</v>
      </c>
      <c r="Q154">
        <f t="shared" si="5"/>
        <v>18493</v>
      </c>
    </row>
    <row r="155" spans="1:17" x14ac:dyDescent="0.2">
      <c r="A155" t="s">
        <v>65</v>
      </c>
      <c r="C155" t="s">
        <v>57</v>
      </c>
      <c r="D155">
        <f>'[12]ES TONS'!H330</f>
        <v>1118</v>
      </c>
      <c r="E155">
        <f>'[12]ES TONS'!I330</f>
        <v>1128</v>
      </c>
      <c r="F155">
        <f>'[12]ES TONS'!J330</f>
        <v>1119</v>
      </c>
      <c r="G155">
        <f>'[12]ES TONS'!K330</f>
        <v>1144</v>
      </c>
      <c r="H155">
        <f>'[12]ES TONS'!L330</f>
        <v>1162</v>
      </c>
      <c r="I155">
        <f>'[12]ES TONS'!M330</f>
        <v>1185</v>
      </c>
      <c r="J155">
        <f>'[12]ES TONS'!N330</f>
        <v>1194</v>
      </c>
      <c r="K155">
        <f>'[12]ES TONS'!O330</f>
        <v>1205</v>
      </c>
      <c r="L155">
        <f>'[13]ES TONS'!D330</f>
        <v>1186</v>
      </c>
      <c r="M155">
        <f>'[13]ES TONS'!E330</f>
        <v>1203</v>
      </c>
      <c r="N155">
        <f>'[13]ES TONS'!F330</f>
        <v>1224</v>
      </c>
      <c r="O155">
        <f>'[13]ES TONS'!G330</f>
        <v>1233</v>
      </c>
      <c r="P155" t="str">
        <f t="shared" si="4"/>
        <v>NRYW cust</v>
      </c>
      <c r="Q155">
        <f t="shared" si="5"/>
        <v>14101</v>
      </c>
    </row>
    <row r="156" spans="1:17" x14ac:dyDescent="0.2">
      <c r="A156" t="s">
        <v>65</v>
      </c>
      <c r="D156">
        <f>'[12]ES TONS'!H331</f>
        <v>0</v>
      </c>
      <c r="E156">
        <f>'[12]ES TONS'!I331</f>
        <v>0</v>
      </c>
      <c r="F156">
        <f>'[12]ES TONS'!J331</f>
        <v>0</v>
      </c>
      <c r="G156">
        <f>'[12]ES TONS'!K331</f>
        <v>0</v>
      </c>
      <c r="H156">
        <f>'[12]ES TONS'!L331</f>
        <v>0</v>
      </c>
      <c r="I156">
        <f>'[12]ES TONS'!M331</f>
        <v>0</v>
      </c>
      <c r="J156">
        <f>'[12]ES TONS'!N331</f>
        <v>0</v>
      </c>
      <c r="K156">
        <f>'[12]ES TONS'!O331</f>
        <v>0</v>
      </c>
      <c r="L156">
        <f>'[13]ES TONS'!D331</f>
        <v>0</v>
      </c>
      <c r="M156">
        <f>'[13]ES TONS'!E331</f>
        <v>0</v>
      </c>
      <c r="N156">
        <f>'[13]ES TONS'!F331</f>
        <v>0</v>
      </c>
      <c r="O156">
        <f>'[13]ES TONS'!G331</f>
        <v>0</v>
      </c>
      <c r="P156" t="str">
        <f t="shared" si="4"/>
        <v>NR</v>
      </c>
      <c r="Q156">
        <f t="shared" si="5"/>
        <v>0</v>
      </c>
    </row>
    <row r="157" spans="1:17" x14ac:dyDescent="0.2">
      <c r="A157" t="s">
        <v>65</v>
      </c>
      <c r="C157" t="s">
        <v>58</v>
      </c>
      <c r="D157">
        <f>'[12]ES TONS'!H332</f>
        <v>54.899927301333364</v>
      </c>
      <c r="E157">
        <f>'[12]ES TONS'!I332</f>
        <v>44.148857938608835</v>
      </c>
      <c r="F157">
        <f>'[12]ES TONS'!J332</f>
        <v>55.47455810953258</v>
      </c>
      <c r="G157">
        <f>'[12]ES TONS'!K332</f>
        <v>47.262048397589268</v>
      </c>
      <c r="H157">
        <f>'[12]ES TONS'!L332</f>
        <v>48.397918557103004</v>
      </c>
      <c r="I157">
        <f>'[12]ES TONS'!M332</f>
        <v>46.524983290156925</v>
      </c>
      <c r="J157">
        <f>'[12]ES TONS'!N332</f>
        <v>52.442944366087126</v>
      </c>
      <c r="K157">
        <f>'[12]ES TONS'!O332</f>
        <v>51.723982073783496</v>
      </c>
      <c r="L157">
        <f>'[13]ES TONS'!D332</f>
        <v>54.469283671823511</v>
      </c>
      <c r="M157">
        <f>'[13]ES TONS'!E332</f>
        <v>44.81929006727821</v>
      </c>
      <c r="N157">
        <f>'[13]ES TONS'!F332</f>
        <v>49.634886015673864</v>
      </c>
      <c r="O157">
        <f>'[13]ES TONS'!G332</f>
        <v>49.636678467959136</v>
      </c>
      <c r="P157" t="str">
        <f t="shared" si="4"/>
        <v>NRRec tons</v>
      </c>
      <c r="Q157">
        <f t="shared" si="5"/>
        <v>599.43535825692925</v>
      </c>
    </row>
    <row r="158" spans="1:17" x14ac:dyDescent="0.2">
      <c r="A158" t="s">
        <v>65</v>
      </c>
      <c r="C158" t="s">
        <v>59</v>
      </c>
      <c r="D158">
        <f>'[12]ES TONS'!H333</f>
        <v>96.942227638465525</v>
      </c>
      <c r="E158">
        <f>'[12]ES TONS'!I333</f>
        <v>96.868236358863214</v>
      </c>
      <c r="F158">
        <f>'[12]ES TONS'!J333</f>
        <v>93.364542448213783</v>
      </c>
      <c r="G158">
        <f>'[12]ES TONS'!K333</f>
        <v>54.258337748985937</v>
      </c>
      <c r="H158">
        <f>'[12]ES TONS'!L333</f>
        <v>65.878557219484179</v>
      </c>
      <c r="I158">
        <f>'[12]ES TONS'!M333</f>
        <v>52.513149607580011</v>
      </c>
      <c r="J158">
        <f>'[12]ES TONS'!N333</f>
        <v>77.588097246574279</v>
      </c>
      <c r="K158">
        <f>'[12]ES TONS'!O333</f>
        <v>40.311576069946838</v>
      </c>
      <c r="L158">
        <f>'[13]ES TONS'!D333</f>
        <v>46.315314542702964</v>
      </c>
      <c r="M158">
        <f>'[13]ES TONS'!E333</f>
        <v>17.786562433942944</v>
      </c>
      <c r="N158">
        <f>'[13]ES TONS'!F333</f>
        <v>52.65039645121675</v>
      </c>
      <c r="O158">
        <f>'[13]ES TONS'!G333</f>
        <v>72.754504057136842</v>
      </c>
      <c r="P158" t="str">
        <f t="shared" si="4"/>
        <v xml:space="preserve">NRYW tons </v>
      </c>
      <c r="Q158">
        <f t="shared" si="5"/>
        <v>767.23150182311304</v>
      </c>
    </row>
    <row r="159" spans="1:17" x14ac:dyDescent="0.2">
      <c r="A159" t="s">
        <v>65</v>
      </c>
      <c r="C159" t="s">
        <v>60</v>
      </c>
      <c r="D159">
        <f>'[12]ES TONS'!H334</f>
        <v>80.871104324307197</v>
      </c>
      <c r="E159">
        <f>'[12]ES TONS'!I334</f>
        <v>77.522910113727079</v>
      </c>
      <c r="F159">
        <f>'[12]ES TONS'!J334</f>
        <v>94.282742079817311</v>
      </c>
      <c r="G159">
        <f>'[12]ES TONS'!K334</f>
        <v>83.168071989146455</v>
      </c>
      <c r="H159">
        <f>'[12]ES TONS'!L334</f>
        <v>84.134024528822493</v>
      </c>
      <c r="I159">
        <f>'[12]ES TONS'!M334</f>
        <v>82.045107233083542</v>
      </c>
      <c r="J159">
        <f>'[12]ES TONS'!N334</f>
        <v>92.541675047516378</v>
      </c>
      <c r="K159">
        <f>'[12]ES TONS'!O334</f>
        <v>95.971598442845661</v>
      </c>
      <c r="L159">
        <f>'[13]ES TONS'!D334</f>
        <v>83.901212226166606</v>
      </c>
      <c r="M159">
        <f>'[13]ES TONS'!E334</f>
        <v>71.409178384971355</v>
      </c>
      <c r="N159">
        <f>'[13]ES TONS'!F334</f>
        <v>81.134896313132003</v>
      </c>
      <c r="O159">
        <f>'[13]ES TONS'!G334</f>
        <v>85.004934283644644</v>
      </c>
      <c r="P159" t="str">
        <f t="shared" si="4"/>
        <v>NRMSW tons</v>
      </c>
      <c r="Q159">
        <f t="shared" si="5"/>
        <v>1011.9874549671807</v>
      </c>
    </row>
    <row r="160" spans="1:17" x14ac:dyDescent="0.2">
      <c r="P160" t="str">
        <f t="shared" si="4"/>
        <v/>
      </c>
    </row>
    <row r="161" spans="1:22" x14ac:dyDescent="0.2">
      <c r="P161" t="str">
        <f t="shared" si="4"/>
        <v/>
      </c>
    </row>
    <row r="162" spans="1:22" x14ac:dyDescent="0.2">
      <c r="H162" s="319" t="s">
        <v>137</v>
      </c>
      <c r="I162" s="319"/>
      <c r="J162" s="319"/>
      <c r="K162" s="319"/>
      <c r="P162" t="str">
        <f t="shared" si="4"/>
        <v/>
      </c>
    </row>
    <row r="163" spans="1:22" x14ac:dyDescent="0.2">
      <c r="D163" t="s">
        <v>84</v>
      </c>
      <c r="E163" t="s">
        <v>136</v>
      </c>
      <c r="F163" t="s">
        <v>86</v>
      </c>
      <c r="G163" t="s">
        <v>87</v>
      </c>
      <c r="H163" t="s">
        <v>88</v>
      </c>
      <c r="I163" t="s">
        <v>89</v>
      </c>
      <c r="J163" t="s">
        <v>90</v>
      </c>
      <c r="K163" t="s">
        <v>91</v>
      </c>
      <c r="L163" t="s">
        <v>92</v>
      </c>
      <c r="M163" t="s">
        <v>93</v>
      </c>
      <c r="N163" t="s">
        <v>94</v>
      </c>
      <c r="O163" t="s">
        <v>95</v>
      </c>
      <c r="P163" t="str">
        <f t="shared" si="4"/>
        <v/>
      </c>
      <c r="R163" t="s">
        <v>96</v>
      </c>
      <c r="S163" t="s">
        <v>97</v>
      </c>
      <c r="T163" t="s">
        <v>98</v>
      </c>
      <c r="U163" t="s">
        <v>99</v>
      </c>
      <c r="V163" t="s">
        <v>57</v>
      </c>
    </row>
    <row r="164" spans="1:22" x14ac:dyDescent="0.2">
      <c r="A164" t="s">
        <v>65</v>
      </c>
      <c r="B164" t="s">
        <v>54</v>
      </c>
      <c r="C164" t="s">
        <v>56</v>
      </c>
      <c r="D164" s="170">
        <v>803</v>
      </c>
      <c r="E164" s="170">
        <v>812</v>
      </c>
      <c r="F164" s="170">
        <v>794</v>
      </c>
      <c r="G164" s="170">
        <v>796</v>
      </c>
      <c r="H164" s="170">
        <v>805</v>
      </c>
      <c r="I164" s="170">
        <v>820</v>
      </c>
      <c r="J164" s="170">
        <v>818</v>
      </c>
      <c r="K164" s="170">
        <v>830</v>
      </c>
      <c r="L164" s="170">
        <v>828</v>
      </c>
      <c r="M164" s="170">
        <v>828</v>
      </c>
      <c r="N164" s="170">
        <v>835</v>
      </c>
      <c r="O164" s="170">
        <v>830</v>
      </c>
      <c r="P164" t="str">
        <f t="shared" si="4"/>
        <v>NRREC cust</v>
      </c>
      <c r="Q164" s="174">
        <f>SUM(D164:O164)</f>
        <v>9799</v>
      </c>
      <c r="R164">
        <f ca="1">SUMIF($P$164:$P329,$P$13,Q164:Q320)</f>
        <v>12339.721745787308</v>
      </c>
      <c r="S164">
        <f>SUMIF($P164:$P320,$P$14,$Q164:$Q320)</f>
        <v>13018.422996059715</v>
      </c>
      <c r="T164">
        <f>SUMIF($P164:$P320,$P$12,$Q164:$Q320)</f>
        <v>23858.33577917486</v>
      </c>
      <c r="U164">
        <f>SUMIF($P164:$P320,$P$170,$O164:$O320)</f>
        <v>34089</v>
      </c>
      <c r="V164">
        <f>SUMIF($P164:$P320,$P$10,$O164:$O320)</f>
        <v>15181</v>
      </c>
    </row>
    <row r="165" spans="1:22" x14ac:dyDescent="0.2">
      <c r="A165" t="s">
        <v>65</v>
      </c>
      <c r="C165" t="s">
        <v>57</v>
      </c>
      <c r="D165" s="170">
        <v>462</v>
      </c>
      <c r="E165" s="170">
        <v>463</v>
      </c>
      <c r="F165" s="170">
        <v>461</v>
      </c>
      <c r="G165" s="170">
        <v>461</v>
      </c>
      <c r="H165" s="170">
        <v>464</v>
      </c>
      <c r="I165" s="170">
        <v>469</v>
      </c>
      <c r="J165" s="170">
        <v>466</v>
      </c>
      <c r="K165" s="170">
        <v>471</v>
      </c>
      <c r="L165" s="170">
        <v>472</v>
      </c>
      <c r="M165" s="170">
        <v>476</v>
      </c>
      <c r="N165" s="170">
        <v>484</v>
      </c>
      <c r="O165" s="170">
        <v>487</v>
      </c>
      <c r="P165" t="str">
        <f t="shared" si="4"/>
        <v>NRYW cust</v>
      </c>
      <c r="Q165">
        <f t="shared" si="5"/>
        <v>5636</v>
      </c>
    </row>
    <row r="166" spans="1:22" x14ac:dyDescent="0.2">
      <c r="A166" t="s">
        <v>65</v>
      </c>
      <c r="D166" s="170"/>
      <c r="E166" s="170"/>
      <c r="F166" s="170"/>
      <c r="G166" s="170"/>
      <c r="H166" s="170"/>
      <c r="I166" s="170"/>
      <c r="J166" s="170"/>
      <c r="K166" s="170"/>
      <c r="L166" s="170"/>
      <c r="M166" s="170"/>
      <c r="N166" s="170"/>
      <c r="O166" s="170"/>
      <c r="P166" t="str">
        <f t="shared" si="4"/>
        <v>NR</v>
      </c>
      <c r="Q166">
        <f t="shared" si="5"/>
        <v>0</v>
      </c>
    </row>
    <row r="167" spans="1:22" x14ac:dyDescent="0.2">
      <c r="A167" t="s">
        <v>65</v>
      </c>
      <c r="C167" t="s">
        <v>60</v>
      </c>
      <c r="D167" s="171">
        <v>20.244849683356303</v>
      </c>
      <c r="E167" s="171">
        <v>16.898558535711686</v>
      </c>
      <c r="F167" s="171">
        <v>17.935147850012228</v>
      </c>
      <c r="G167" s="171">
        <v>27.533566421309509</v>
      </c>
      <c r="H167" s="171">
        <v>20.155211023000863</v>
      </c>
      <c r="I167" s="171">
        <v>19.363058733097063</v>
      </c>
      <c r="J167" s="171">
        <v>20.159172022748987</v>
      </c>
      <c r="K167" s="171">
        <v>30.362765648194245</v>
      </c>
      <c r="L167" s="171">
        <v>47.020608863252413</v>
      </c>
      <c r="M167" s="171">
        <v>47.173454540703318</v>
      </c>
      <c r="N167" s="171">
        <v>52.444285476211938</v>
      </c>
      <c r="O167" s="171">
        <v>48.397608907205971</v>
      </c>
      <c r="P167" t="str">
        <f t="shared" si="4"/>
        <v>NRMSW tons</v>
      </c>
      <c r="Q167">
        <f t="shared" si="5"/>
        <v>367.68828770480451</v>
      </c>
    </row>
    <row r="168" spans="1:22" x14ac:dyDescent="0.2">
      <c r="A168" t="s">
        <v>65</v>
      </c>
      <c r="C168" t="s">
        <v>58</v>
      </c>
      <c r="D168" s="171">
        <v>29.021387096399749</v>
      </c>
      <c r="E168" s="171">
        <v>34.541281854756022</v>
      </c>
      <c r="F168" s="171">
        <v>30.482160855985413</v>
      </c>
      <c r="G168" s="171">
        <v>14.725924424451431</v>
      </c>
      <c r="H168" s="171">
        <v>18.198865930610662</v>
      </c>
      <c r="I168" s="171">
        <v>20.50617103370039</v>
      </c>
      <c r="J168" s="171">
        <v>18.450343322391763</v>
      </c>
      <c r="K168" s="171">
        <v>12.24911373826931</v>
      </c>
      <c r="L168" s="171">
        <v>30.539971679848769</v>
      </c>
      <c r="M168" s="171">
        <v>22.929684082114097</v>
      </c>
      <c r="N168" s="171">
        <v>31.046789783245561</v>
      </c>
      <c r="O168" s="171">
        <v>25.604438977947588</v>
      </c>
      <c r="P168" t="str">
        <f t="shared" si="4"/>
        <v>NRRec tons</v>
      </c>
      <c r="Q168">
        <f t="shared" si="5"/>
        <v>288.29613277972078</v>
      </c>
    </row>
    <row r="169" spans="1:22" x14ac:dyDescent="0.2">
      <c r="A169" t="s">
        <v>65</v>
      </c>
      <c r="C169" t="s">
        <v>59</v>
      </c>
      <c r="D169" s="171">
        <v>48.691800107460324</v>
      </c>
      <c r="E169" s="171">
        <v>60.283751706592717</v>
      </c>
      <c r="F169" s="171">
        <v>46.564299099495095</v>
      </c>
      <c r="G169" s="171">
        <v>61.740207357165936</v>
      </c>
      <c r="H169" s="171">
        <v>48.127873306312267</v>
      </c>
      <c r="I169" s="171">
        <v>47.424365051943063</v>
      </c>
      <c r="J169" s="171">
        <v>57.18513930386321</v>
      </c>
      <c r="K169" s="171">
        <v>50.337504401547278</v>
      </c>
      <c r="L169" s="171">
        <v>9.9594087229483304</v>
      </c>
      <c r="M169" s="171">
        <v>10.941247161061451</v>
      </c>
      <c r="N169" s="171">
        <v>14.00859576938034</v>
      </c>
      <c r="O169" s="171">
        <v>31.627723177415437</v>
      </c>
      <c r="P169" t="str">
        <f t="shared" si="4"/>
        <v xml:space="preserve">NRYW tons </v>
      </c>
      <c r="Q169">
        <f t="shared" si="5"/>
        <v>486.89191516518542</v>
      </c>
    </row>
    <row r="170" spans="1:22" x14ac:dyDescent="0.2">
      <c r="A170" t="s">
        <v>55</v>
      </c>
      <c r="B170" t="s">
        <v>61</v>
      </c>
      <c r="C170" t="s">
        <v>56</v>
      </c>
      <c r="D170" s="170">
        <v>2746</v>
      </c>
      <c r="E170" s="170">
        <v>2775</v>
      </c>
      <c r="F170" s="170">
        <v>2717</v>
      </c>
      <c r="G170" s="170">
        <v>2725</v>
      </c>
      <c r="H170" s="170">
        <v>2766</v>
      </c>
      <c r="I170" s="170">
        <v>2746</v>
      </c>
      <c r="J170" s="170">
        <v>2734</v>
      </c>
      <c r="K170" s="170">
        <v>2770</v>
      </c>
      <c r="L170" s="170">
        <v>4614</v>
      </c>
      <c r="M170" s="170">
        <v>4657</v>
      </c>
      <c r="N170" s="170">
        <v>4711</v>
      </c>
      <c r="O170" s="170">
        <v>4654</v>
      </c>
      <c r="P170" t="str">
        <f t="shared" si="4"/>
        <v>RREC cust</v>
      </c>
      <c r="Q170">
        <f t="shared" si="5"/>
        <v>40615</v>
      </c>
    </row>
    <row r="171" spans="1:22" x14ac:dyDescent="0.2">
      <c r="A171" t="s">
        <v>55</v>
      </c>
      <c r="C171" t="s">
        <v>57</v>
      </c>
      <c r="D171" s="170">
        <v>1338</v>
      </c>
      <c r="E171" s="170">
        <v>1362</v>
      </c>
      <c r="F171" s="170">
        <v>1347</v>
      </c>
      <c r="G171" s="170">
        <v>1346</v>
      </c>
      <c r="H171" s="170">
        <v>1358</v>
      </c>
      <c r="I171" s="170">
        <v>1327</v>
      </c>
      <c r="J171" s="170">
        <v>1311</v>
      </c>
      <c r="K171" s="170">
        <v>1312</v>
      </c>
      <c r="L171" s="170">
        <v>2413</v>
      </c>
      <c r="M171" s="170">
        <v>2420</v>
      </c>
      <c r="N171" s="170">
        <v>2468</v>
      </c>
      <c r="O171" s="170">
        <v>2499</v>
      </c>
      <c r="P171" t="str">
        <f t="shared" si="4"/>
        <v>RYW cust</v>
      </c>
      <c r="Q171">
        <f t="shared" si="5"/>
        <v>20501</v>
      </c>
    </row>
    <row r="172" spans="1:22" x14ac:dyDescent="0.2">
      <c r="A172" t="s">
        <v>55</v>
      </c>
      <c r="D172" s="170"/>
      <c r="E172" s="170"/>
      <c r="F172" s="170"/>
      <c r="G172" s="170"/>
      <c r="H172" s="170"/>
      <c r="I172" s="170"/>
      <c r="J172" s="170"/>
      <c r="K172" s="170"/>
      <c r="L172" s="170"/>
      <c r="M172" s="170"/>
      <c r="N172" s="170"/>
      <c r="O172" s="170"/>
      <c r="P172" t="str">
        <f t="shared" si="4"/>
        <v>R</v>
      </c>
      <c r="Q172">
        <f t="shared" si="5"/>
        <v>0</v>
      </c>
    </row>
    <row r="173" spans="1:22" x14ac:dyDescent="0.2">
      <c r="A173" t="s">
        <v>55</v>
      </c>
      <c r="C173" t="s">
        <v>60</v>
      </c>
      <c r="D173" s="171">
        <f>'[14]183'!N4</f>
        <v>183.17</v>
      </c>
      <c r="E173" s="171">
        <f>'[14]183'!O4</f>
        <v>166.56</v>
      </c>
      <c r="F173" s="171">
        <f>'[14]183'!P4</f>
        <v>195.89</v>
      </c>
      <c r="G173" s="171">
        <f>'[14]183'!Q4</f>
        <v>188.2</v>
      </c>
      <c r="H173" s="171">
        <f>'[14]183'!R4</f>
        <v>147.69999999999999</v>
      </c>
      <c r="I173" s="171">
        <f>'[14]183'!S4</f>
        <v>179.07890710547653</v>
      </c>
      <c r="J173" s="171">
        <f>'[14]183'!T4</f>
        <v>173.18945078900731</v>
      </c>
      <c r="K173" s="171">
        <f>'[14]183'!U4</f>
        <v>167.84199579008526</v>
      </c>
      <c r="L173" s="171">
        <v>277.74150967482188</v>
      </c>
      <c r="M173" s="171">
        <v>223.27026853544666</v>
      </c>
      <c r="N173" s="171">
        <v>241.40409751114785</v>
      </c>
      <c r="O173" s="171">
        <v>276.50410285052538</v>
      </c>
      <c r="P173" t="str">
        <f t="shared" si="4"/>
        <v>RMSW tons</v>
      </c>
      <c r="Q173">
        <f t="shared" si="5"/>
        <v>2420.5503322565105</v>
      </c>
    </row>
    <row r="174" spans="1:22" x14ac:dyDescent="0.2">
      <c r="A174" t="s">
        <v>55</v>
      </c>
      <c r="C174" t="s">
        <v>58</v>
      </c>
      <c r="D174" s="171">
        <v>152.53739946256374</v>
      </c>
      <c r="E174" s="171">
        <v>137.05646554499384</v>
      </c>
      <c r="F174" s="171">
        <v>114.60335184728079</v>
      </c>
      <c r="G174" s="171">
        <v>75.749337440860074</v>
      </c>
      <c r="H174" s="171">
        <v>61.260279681605226</v>
      </c>
      <c r="I174" s="171">
        <v>78.181845415876637</v>
      </c>
      <c r="J174" s="171">
        <v>78.895271522261936</v>
      </c>
      <c r="K174" s="171">
        <v>33.709529826604232</v>
      </c>
      <c r="L174" s="171">
        <v>149.87162408587525</v>
      </c>
      <c r="M174" s="171">
        <v>97.163087279375176</v>
      </c>
      <c r="N174" s="171">
        <v>106.49339007913179</v>
      </c>
      <c r="O174" s="171">
        <v>108.27366883384202</v>
      </c>
      <c r="P174" t="str">
        <f t="shared" si="4"/>
        <v>RRec tons</v>
      </c>
      <c r="Q174">
        <f t="shared" si="5"/>
        <v>1193.7952510202708</v>
      </c>
    </row>
    <row r="175" spans="1:22" x14ac:dyDescent="0.2">
      <c r="A175" t="s">
        <v>55</v>
      </c>
      <c r="C175" t="s">
        <v>59</v>
      </c>
      <c r="D175" s="171">
        <v>183.17267362976293</v>
      </c>
      <c r="E175" s="171">
        <v>166.56277054799634</v>
      </c>
      <c r="F175" s="171">
        <v>195.89014603753918</v>
      </c>
      <c r="G175" s="171">
        <v>188.20360680859258</v>
      </c>
      <c r="H175" s="171">
        <v>147.70375209460096</v>
      </c>
      <c r="I175" s="171">
        <v>179.07890710547653</v>
      </c>
      <c r="J175" s="171">
        <v>173.18945078900731</v>
      </c>
      <c r="K175" s="171">
        <v>167.84199579008526</v>
      </c>
      <c r="L175" s="171">
        <v>63.47759418284646</v>
      </c>
      <c r="M175" s="171">
        <v>58.078736457875472</v>
      </c>
      <c r="N175" s="171">
        <v>128.87159894015107</v>
      </c>
      <c r="O175" s="171">
        <v>247.28801934467506</v>
      </c>
      <c r="P175" t="str">
        <f t="shared" si="4"/>
        <v xml:space="preserve">RYW tons </v>
      </c>
      <c r="Q175">
        <f t="shared" si="5"/>
        <v>1899.3592517286093</v>
      </c>
    </row>
    <row r="176" spans="1:22" x14ac:dyDescent="0.2">
      <c r="A176" t="s">
        <v>55</v>
      </c>
      <c r="B176" t="s">
        <v>62</v>
      </c>
      <c r="C176" t="s">
        <v>56</v>
      </c>
      <c r="D176" s="170">
        <v>1849</v>
      </c>
      <c r="E176" s="170">
        <v>1873</v>
      </c>
      <c r="F176" s="170">
        <v>1834</v>
      </c>
      <c r="G176" s="170">
        <v>1857</v>
      </c>
      <c r="H176" s="170">
        <v>1861</v>
      </c>
      <c r="I176" s="170">
        <v>1835</v>
      </c>
      <c r="J176" s="170">
        <v>1853</v>
      </c>
      <c r="K176" s="170">
        <v>1874</v>
      </c>
      <c r="P176" t="str">
        <f t="shared" si="4"/>
        <v>RREC cust</v>
      </c>
      <c r="Q176">
        <f t="shared" si="5"/>
        <v>14836</v>
      </c>
    </row>
    <row r="177" spans="1:17" x14ac:dyDescent="0.2">
      <c r="A177" t="s">
        <v>55</v>
      </c>
      <c r="C177" t="s">
        <v>57</v>
      </c>
      <c r="D177" s="170">
        <v>1113</v>
      </c>
      <c r="E177" s="170">
        <v>1130</v>
      </c>
      <c r="F177" s="170">
        <v>1119</v>
      </c>
      <c r="G177" s="170">
        <v>1131</v>
      </c>
      <c r="H177" s="170">
        <v>1126</v>
      </c>
      <c r="I177" s="170">
        <v>1113</v>
      </c>
      <c r="J177" s="170">
        <v>1114</v>
      </c>
      <c r="K177" s="170">
        <v>1119</v>
      </c>
      <c r="P177" t="str">
        <f t="shared" si="4"/>
        <v>RYW cust</v>
      </c>
      <c r="Q177">
        <f t="shared" si="5"/>
        <v>8965</v>
      </c>
    </row>
    <row r="178" spans="1:17" x14ac:dyDescent="0.2">
      <c r="A178" t="s">
        <v>55</v>
      </c>
      <c r="D178" s="170"/>
      <c r="E178" s="170"/>
      <c r="F178" s="170"/>
      <c r="G178" s="170"/>
      <c r="H178" s="170"/>
      <c r="I178" s="170"/>
      <c r="J178" s="170"/>
      <c r="K178" s="170"/>
      <c r="P178" t="str">
        <f t="shared" si="4"/>
        <v>R</v>
      </c>
      <c r="Q178">
        <f t="shared" si="5"/>
        <v>0</v>
      </c>
    </row>
    <row r="179" spans="1:17" x14ac:dyDescent="0.2">
      <c r="A179" t="s">
        <v>55</v>
      </c>
      <c r="C179" t="s">
        <v>60</v>
      </c>
      <c r="D179" s="171">
        <v>52.430623998384142</v>
      </c>
      <c r="E179" s="171">
        <v>44.948783936198204</v>
      </c>
      <c r="F179" s="171">
        <v>48.372369879180951</v>
      </c>
      <c r="G179" s="171">
        <v>51.261327386621154</v>
      </c>
      <c r="H179" s="171">
        <v>49.355574480406297</v>
      </c>
      <c r="I179" s="171">
        <v>81.307285113636681</v>
      </c>
      <c r="J179" s="171">
        <v>45.024543497497625</v>
      </c>
      <c r="K179" s="171">
        <v>61.574641723068829</v>
      </c>
      <c r="P179" t="str">
        <f t="shared" si="4"/>
        <v>RMSW tons</v>
      </c>
      <c r="Q179">
        <f t="shared" si="5"/>
        <v>434.27515001499387</v>
      </c>
    </row>
    <row r="180" spans="1:17" x14ac:dyDescent="0.2">
      <c r="A180" t="s">
        <v>55</v>
      </c>
      <c r="C180" t="s">
        <v>58</v>
      </c>
      <c r="D180" s="171">
        <v>153.73992881758451</v>
      </c>
      <c r="E180" s="171">
        <v>113.34913023797064</v>
      </c>
      <c r="F180" s="171">
        <v>122.52997080688569</v>
      </c>
      <c r="G180" s="171">
        <v>60.638272288713281</v>
      </c>
      <c r="H180" s="171">
        <v>49.187258274635568</v>
      </c>
      <c r="I180" s="171">
        <v>42.42416168166217</v>
      </c>
      <c r="J180" s="171">
        <v>94.371783083790959</v>
      </c>
      <c r="K180" s="171">
        <v>44.513382768208352</v>
      </c>
      <c r="P180" t="str">
        <f t="shared" si="4"/>
        <v>RRec tons</v>
      </c>
      <c r="Q180">
        <f t="shared" si="5"/>
        <v>680.75388795945116</v>
      </c>
    </row>
    <row r="181" spans="1:17" x14ac:dyDescent="0.2">
      <c r="A181" t="s">
        <v>55</v>
      </c>
      <c r="C181" t="s">
        <v>59</v>
      </c>
      <c r="D181" s="171">
        <v>114.34010007204893</v>
      </c>
      <c r="E181" s="171">
        <v>99.548239788476522</v>
      </c>
      <c r="F181" s="171">
        <v>121.33785219763163</v>
      </c>
      <c r="G181" s="171">
        <v>108.93659979873894</v>
      </c>
      <c r="H181" s="171">
        <v>104.12129551495987</v>
      </c>
      <c r="I181" s="171">
        <v>119.88386729788182</v>
      </c>
      <c r="J181" s="171">
        <v>94.184980208823845</v>
      </c>
      <c r="K181" s="171">
        <v>100.0708741317322</v>
      </c>
      <c r="P181" t="str">
        <f t="shared" si="4"/>
        <v xml:space="preserve">RYW tons </v>
      </c>
      <c r="Q181">
        <f t="shared" si="5"/>
        <v>862.42380901029378</v>
      </c>
    </row>
    <row r="182" spans="1:17" x14ac:dyDescent="0.2">
      <c r="A182" t="s">
        <v>65</v>
      </c>
      <c r="B182" t="s">
        <v>63</v>
      </c>
      <c r="C182" t="s">
        <v>56</v>
      </c>
      <c r="D182" s="170">
        <v>1876</v>
      </c>
      <c r="E182" s="170">
        <v>1883</v>
      </c>
      <c r="F182" s="170">
        <v>1878</v>
      </c>
      <c r="G182" s="170">
        <v>1881</v>
      </c>
      <c r="H182" s="170">
        <v>1890</v>
      </c>
      <c r="I182" s="170">
        <v>1883</v>
      </c>
      <c r="J182" s="170">
        <v>1891</v>
      </c>
      <c r="K182" s="170">
        <v>1896</v>
      </c>
      <c r="L182" s="170">
        <v>1900</v>
      </c>
      <c r="M182" s="170">
        <v>1895</v>
      </c>
      <c r="N182" s="170">
        <v>1908</v>
      </c>
      <c r="O182" s="170">
        <v>1905</v>
      </c>
      <c r="P182" t="str">
        <f t="shared" si="4"/>
        <v>NRREC cust</v>
      </c>
      <c r="Q182">
        <f t="shared" si="5"/>
        <v>22686</v>
      </c>
    </row>
    <row r="183" spans="1:17" x14ac:dyDescent="0.2">
      <c r="A183" t="s">
        <v>65</v>
      </c>
      <c r="C183" t="s">
        <v>57</v>
      </c>
      <c r="D183" s="170">
        <v>1112</v>
      </c>
      <c r="E183" s="170">
        <v>1131</v>
      </c>
      <c r="F183" s="170">
        <v>1139</v>
      </c>
      <c r="G183" s="170">
        <v>1150</v>
      </c>
      <c r="H183" s="170">
        <v>1157</v>
      </c>
      <c r="I183" s="170">
        <v>1151</v>
      </c>
      <c r="J183" s="170">
        <v>1141</v>
      </c>
      <c r="K183" s="170">
        <v>1136</v>
      </c>
      <c r="L183" s="170">
        <v>1127</v>
      </c>
      <c r="M183" s="170">
        <v>1130</v>
      </c>
      <c r="N183" s="170">
        <v>1147</v>
      </c>
      <c r="O183" s="170">
        <v>1163</v>
      </c>
      <c r="P183" t="str">
        <f t="shared" si="4"/>
        <v>NRYW cust</v>
      </c>
      <c r="Q183">
        <f t="shared" si="5"/>
        <v>13684</v>
      </c>
    </row>
    <row r="184" spans="1:17" x14ac:dyDescent="0.2">
      <c r="A184" t="s">
        <v>65</v>
      </c>
      <c r="D184" s="170"/>
      <c r="E184" s="170"/>
      <c r="F184" s="170"/>
      <c r="G184" s="170"/>
      <c r="H184" s="170"/>
      <c r="I184" s="170"/>
      <c r="J184" s="170"/>
      <c r="K184" s="170"/>
      <c r="L184" s="170"/>
      <c r="M184" s="170"/>
      <c r="N184" s="170"/>
      <c r="O184" s="170"/>
      <c r="P184" t="str">
        <f t="shared" si="4"/>
        <v>NR</v>
      </c>
      <c r="Q184">
        <f t="shared" si="5"/>
        <v>0</v>
      </c>
    </row>
    <row r="185" spans="1:17" x14ac:dyDescent="0.2">
      <c r="A185" t="s">
        <v>65</v>
      </c>
      <c r="C185" t="s">
        <v>60</v>
      </c>
      <c r="D185" s="171">
        <v>71.982170065739908</v>
      </c>
      <c r="E185" s="171">
        <v>56.329691517584529</v>
      </c>
      <c r="F185" s="171">
        <v>58.315150044866463</v>
      </c>
      <c r="G185" s="171">
        <v>54.915030119086111</v>
      </c>
      <c r="H185" s="171">
        <v>56.503482476756211</v>
      </c>
      <c r="I185" s="171">
        <v>72.86816275197242</v>
      </c>
      <c r="J185" s="171">
        <v>65.84842753914441</v>
      </c>
      <c r="K185" s="171">
        <v>61.039222151170669</v>
      </c>
      <c r="L185" s="171">
        <v>99.895427479244987</v>
      </c>
      <c r="M185" s="171">
        <v>90.786331964473703</v>
      </c>
      <c r="N185" s="171">
        <v>86.14748677511686</v>
      </c>
      <c r="O185" s="171">
        <v>104.66527873204697</v>
      </c>
      <c r="P185" t="str">
        <f t="shared" si="4"/>
        <v>NRMSW tons</v>
      </c>
      <c r="Q185">
        <f t="shared" si="5"/>
        <v>879.29586161720329</v>
      </c>
    </row>
    <row r="186" spans="1:17" x14ac:dyDescent="0.2">
      <c r="A186" t="s">
        <v>65</v>
      </c>
      <c r="C186" t="s">
        <v>58</v>
      </c>
      <c r="D186" s="171">
        <v>99.040214834757535</v>
      </c>
      <c r="E186" s="171">
        <v>88.293062631830011</v>
      </c>
      <c r="F186" s="171">
        <v>97.767778498704359</v>
      </c>
      <c r="G186" s="171">
        <v>68.124747869701835</v>
      </c>
      <c r="H186" s="171">
        <v>55.891446005084376</v>
      </c>
      <c r="I186" s="171">
        <v>51.184687950662749</v>
      </c>
      <c r="J186" s="171">
        <v>65.724083119592677</v>
      </c>
      <c r="K186" s="171">
        <v>75.480226551675031</v>
      </c>
      <c r="L186" s="171">
        <v>56.46607927759532</v>
      </c>
      <c r="M186" s="171">
        <v>52.105927201169884</v>
      </c>
      <c r="N186" s="171">
        <v>52.26259437268785</v>
      </c>
      <c r="O186" s="171">
        <v>63.627439298941589</v>
      </c>
      <c r="P186" t="str">
        <f t="shared" si="4"/>
        <v>NRRec tons</v>
      </c>
      <c r="Q186">
        <f t="shared" si="5"/>
        <v>825.96828761240329</v>
      </c>
    </row>
    <row r="187" spans="1:17" x14ac:dyDescent="0.2">
      <c r="A187" t="s">
        <v>65</v>
      </c>
      <c r="C187" t="s">
        <v>59</v>
      </c>
      <c r="D187" s="171">
        <v>110.70505569275828</v>
      </c>
      <c r="E187" s="171">
        <v>103.75170852048615</v>
      </c>
      <c r="F187" s="171">
        <v>118.66435502981373</v>
      </c>
      <c r="G187" s="171">
        <v>104.28745179520863</v>
      </c>
      <c r="H187" s="171">
        <v>97.72634735848969</v>
      </c>
      <c r="I187" s="171">
        <v>123.75760668158451</v>
      </c>
      <c r="J187" s="171">
        <v>100.57476851740073</v>
      </c>
      <c r="K187" s="171">
        <v>104.1007867358731</v>
      </c>
      <c r="L187" s="171">
        <v>62.575141170159114</v>
      </c>
      <c r="M187" s="171">
        <v>52.677337086667499</v>
      </c>
      <c r="N187" s="171">
        <v>83.560743471854352</v>
      </c>
      <c r="O187" s="171">
        <v>88.036591939737818</v>
      </c>
      <c r="P187" t="str">
        <f t="shared" si="4"/>
        <v xml:space="preserve">NRYW tons </v>
      </c>
      <c r="Q187">
        <f t="shared" si="5"/>
        <v>1150.4178940000334</v>
      </c>
    </row>
    <row r="188" spans="1:17" x14ac:dyDescent="0.2">
      <c r="A188" t="s">
        <v>65</v>
      </c>
      <c r="B188" t="s">
        <v>64</v>
      </c>
      <c r="C188" t="s">
        <v>56</v>
      </c>
      <c r="D188" s="170">
        <v>1642</v>
      </c>
      <c r="E188" s="170">
        <v>1661</v>
      </c>
      <c r="F188" s="170">
        <v>1629</v>
      </c>
      <c r="G188" s="170">
        <v>1637</v>
      </c>
      <c r="H188" s="170">
        <v>1656</v>
      </c>
      <c r="I188" s="170">
        <v>1632</v>
      </c>
      <c r="J188" s="170">
        <v>1641</v>
      </c>
      <c r="K188" s="170">
        <v>1663</v>
      </c>
      <c r="L188" s="170">
        <v>1647</v>
      </c>
      <c r="M188" s="170">
        <v>1663</v>
      </c>
      <c r="N188" s="170">
        <v>1681</v>
      </c>
      <c r="O188" s="170">
        <v>1662</v>
      </c>
      <c r="P188" t="str">
        <f t="shared" si="4"/>
        <v>NRREC cust</v>
      </c>
      <c r="Q188">
        <f t="shared" si="5"/>
        <v>19814</v>
      </c>
    </row>
    <row r="189" spans="1:17" x14ac:dyDescent="0.2">
      <c r="A189" t="s">
        <v>65</v>
      </c>
      <c r="C189" t="s">
        <v>57</v>
      </c>
      <c r="D189" s="170">
        <v>823</v>
      </c>
      <c r="E189" s="170">
        <v>836</v>
      </c>
      <c r="F189" s="170">
        <v>827</v>
      </c>
      <c r="G189" s="170">
        <v>833</v>
      </c>
      <c r="H189" s="170">
        <v>840</v>
      </c>
      <c r="I189" s="170">
        <v>822</v>
      </c>
      <c r="J189" s="170">
        <v>818</v>
      </c>
      <c r="K189" s="170">
        <v>823</v>
      </c>
      <c r="L189" s="170">
        <v>808</v>
      </c>
      <c r="M189" s="170">
        <v>816</v>
      </c>
      <c r="N189" s="170">
        <v>822</v>
      </c>
      <c r="O189" s="170">
        <v>826</v>
      </c>
      <c r="P189" t="str">
        <f t="shared" si="4"/>
        <v>NRYW cust</v>
      </c>
      <c r="Q189">
        <f t="shared" si="5"/>
        <v>9894</v>
      </c>
    </row>
    <row r="190" spans="1:17" x14ac:dyDescent="0.2">
      <c r="A190" t="s">
        <v>65</v>
      </c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1"/>
      <c r="O190" s="171"/>
      <c r="P190" t="str">
        <f t="shared" si="4"/>
        <v>NR</v>
      </c>
      <c r="Q190">
        <f t="shared" si="5"/>
        <v>0</v>
      </c>
    </row>
    <row r="191" spans="1:17" x14ac:dyDescent="0.2">
      <c r="A191" t="s">
        <v>65</v>
      </c>
      <c r="C191" t="s">
        <v>60</v>
      </c>
      <c r="D191" s="171">
        <v>51.505893024341674</v>
      </c>
      <c r="E191" s="171">
        <v>47.831450139591922</v>
      </c>
      <c r="F191" s="171">
        <v>31.877208437005375</v>
      </c>
      <c r="G191" s="171">
        <v>38.547641351808018</v>
      </c>
      <c r="H191" s="171">
        <v>36.57030299580375</v>
      </c>
      <c r="I191" s="171">
        <v>44.489967258118057</v>
      </c>
      <c r="J191" s="171">
        <v>48.693542893386741</v>
      </c>
      <c r="K191" s="171">
        <v>41.279572731913071</v>
      </c>
      <c r="L191" s="171">
        <v>88.573514329753621</v>
      </c>
      <c r="M191" s="171">
        <v>75.573547700810522</v>
      </c>
      <c r="N191" s="171">
        <v>89.418267916117742</v>
      </c>
      <c r="O191" s="171">
        <v>83.369319057437849</v>
      </c>
      <c r="P191" t="str">
        <f t="shared" si="4"/>
        <v>NRMSW tons</v>
      </c>
      <c r="Q191">
        <f t="shared" si="5"/>
        <v>677.73022783608826</v>
      </c>
    </row>
    <row r="192" spans="1:17" x14ac:dyDescent="0.2">
      <c r="A192" t="s">
        <v>65</v>
      </c>
      <c r="C192" t="s">
        <v>58</v>
      </c>
      <c r="D192" s="171">
        <v>93.956725349154382</v>
      </c>
      <c r="E192" s="171">
        <v>96.587324845420838</v>
      </c>
      <c r="F192" s="171">
        <v>48.036091765482119</v>
      </c>
      <c r="G192" s="171">
        <v>63.019037007276964</v>
      </c>
      <c r="H192" s="171">
        <v>20.456902749656216</v>
      </c>
      <c r="I192" s="171">
        <v>16.373692504170396</v>
      </c>
      <c r="J192" s="171">
        <v>75.450854872652485</v>
      </c>
      <c r="K192" s="171">
        <v>20.524737421737594</v>
      </c>
      <c r="L192" s="171">
        <v>50.488091888232809</v>
      </c>
      <c r="M192" s="171">
        <v>35.372665902791837</v>
      </c>
      <c r="N192" s="171">
        <v>48.44395002759012</v>
      </c>
      <c r="O192" s="171">
        <v>27.651826720118525</v>
      </c>
      <c r="P192" t="str">
        <f t="shared" si="4"/>
        <v>NRRec tons</v>
      </c>
      <c r="Q192">
        <f t="shared" si="5"/>
        <v>596.3619010542842</v>
      </c>
    </row>
    <row r="193" spans="1:17" x14ac:dyDescent="0.2">
      <c r="A193" t="s">
        <v>65</v>
      </c>
      <c r="C193" t="s">
        <v>59</v>
      </c>
      <c r="D193" s="171">
        <v>95.410779529560642</v>
      </c>
      <c r="E193" s="171">
        <v>99.968232999200026</v>
      </c>
      <c r="F193" s="171">
        <v>91.556480210356824</v>
      </c>
      <c r="G193" s="171">
        <v>112.1040645017345</v>
      </c>
      <c r="H193" s="171">
        <v>86.907492507010289</v>
      </c>
      <c r="I193" s="171">
        <v>87.507606865555061</v>
      </c>
      <c r="J193" s="171">
        <v>107.57695065297756</v>
      </c>
      <c r="K193" s="171">
        <v>81.997314316157158</v>
      </c>
      <c r="L193" s="171">
        <v>21.089360365887764</v>
      </c>
      <c r="M193" s="171">
        <v>19.373045826926504</v>
      </c>
      <c r="N193" s="171">
        <v>56.49930145726708</v>
      </c>
      <c r="O193" s="171">
        <v>87.161102944695116</v>
      </c>
      <c r="P193" t="str">
        <f t="shared" si="4"/>
        <v xml:space="preserve">NRYW tons </v>
      </c>
      <c r="Q193">
        <f t="shared" si="5"/>
        <v>947.15173217732843</v>
      </c>
    </row>
    <row r="194" spans="1:17" x14ac:dyDescent="0.2">
      <c r="A194" t="s">
        <v>65</v>
      </c>
      <c r="B194" t="s">
        <v>66</v>
      </c>
      <c r="C194" t="s">
        <v>56</v>
      </c>
      <c r="D194" s="170">
        <v>3814</v>
      </c>
      <c r="E194" s="170">
        <v>3848</v>
      </c>
      <c r="F194" s="170">
        <v>3851</v>
      </c>
      <c r="G194" s="170">
        <v>3853</v>
      </c>
      <c r="H194" s="170">
        <v>3898</v>
      </c>
      <c r="I194" s="170">
        <v>3864</v>
      </c>
      <c r="J194" s="170">
        <v>3847</v>
      </c>
      <c r="K194" s="170">
        <v>3919</v>
      </c>
      <c r="L194" s="170">
        <v>3900</v>
      </c>
      <c r="M194" s="170">
        <v>3902</v>
      </c>
      <c r="N194" s="170">
        <v>3966</v>
      </c>
      <c r="O194" s="170">
        <v>3945</v>
      </c>
      <c r="P194" t="str">
        <f t="shared" si="4"/>
        <v>NRREC cust</v>
      </c>
      <c r="Q194">
        <f t="shared" si="5"/>
        <v>46607</v>
      </c>
    </row>
    <row r="195" spans="1:17" x14ac:dyDescent="0.2">
      <c r="A195" t="s">
        <v>65</v>
      </c>
      <c r="C195" t="s">
        <v>57</v>
      </c>
      <c r="D195" s="170">
        <v>1330</v>
      </c>
      <c r="E195" s="170">
        <v>1359</v>
      </c>
      <c r="F195" s="170">
        <v>1374</v>
      </c>
      <c r="G195" s="170">
        <v>1387</v>
      </c>
      <c r="H195" s="170">
        <v>1401</v>
      </c>
      <c r="I195" s="170">
        <v>1372</v>
      </c>
      <c r="J195" s="170">
        <v>1353</v>
      </c>
      <c r="K195" s="170">
        <v>1357</v>
      </c>
      <c r="L195" s="170">
        <v>1337</v>
      </c>
      <c r="M195" s="170">
        <v>1329</v>
      </c>
      <c r="N195" s="170">
        <v>1347</v>
      </c>
      <c r="O195" s="170">
        <v>1365</v>
      </c>
      <c r="P195" t="str">
        <f t="shared" si="4"/>
        <v>NRYW cust</v>
      </c>
      <c r="Q195">
        <f t="shared" si="5"/>
        <v>16311</v>
      </c>
    </row>
    <row r="196" spans="1:17" x14ac:dyDescent="0.2">
      <c r="A196" t="s">
        <v>65</v>
      </c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t="str">
        <f t="shared" ref="P196:P259" si="6">CONCATENATE(A196,C196)</f>
        <v>NR</v>
      </c>
      <c r="Q196">
        <f t="shared" ref="Q196:Q259" si="7">SUM(D196:O196)</f>
        <v>0</v>
      </c>
    </row>
    <row r="197" spans="1:17" x14ac:dyDescent="0.2">
      <c r="A197" t="s">
        <v>65</v>
      </c>
      <c r="C197" t="s">
        <v>60</v>
      </c>
      <c r="D197" s="171">
        <v>114.92505133999599</v>
      </c>
      <c r="E197" s="171">
        <v>103.42200963389766</v>
      </c>
      <c r="F197" s="171">
        <v>88.430239892158852</v>
      </c>
      <c r="G197" s="171">
        <v>97.544330618160245</v>
      </c>
      <c r="H197" s="171">
        <v>88.841222784946197</v>
      </c>
      <c r="I197" s="171">
        <v>112.69905289404397</v>
      </c>
      <c r="J197" s="171">
        <v>132.90199152862323</v>
      </c>
      <c r="K197" s="171">
        <v>97.340401303600117</v>
      </c>
      <c r="L197" s="171">
        <v>232.66058718018382</v>
      </c>
      <c r="M197" s="171">
        <v>199.42956061373812</v>
      </c>
      <c r="N197" s="171">
        <v>221.46272198626264</v>
      </c>
      <c r="O197" s="171">
        <v>212.89408962974301</v>
      </c>
      <c r="P197" t="str">
        <f t="shared" si="6"/>
        <v>NRMSW tons</v>
      </c>
      <c r="Q197">
        <f t="shared" si="7"/>
        <v>1702.5512594053539</v>
      </c>
    </row>
    <row r="198" spans="1:17" x14ac:dyDescent="0.2">
      <c r="A198" t="s">
        <v>65</v>
      </c>
      <c r="C198" t="s">
        <v>58</v>
      </c>
      <c r="D198" s="171">
        <v>159.32691404143415</v>
      </c>
      <c r="E198" s="171">
        <v>161.69732819038609</v>
      </c>
      <c r="F198" s="171">
        <v>145.2208946678436</v>
      </c>
      <c r="G198" s="171">
        <v>109.33840998814526</v>
      </c>
      <c r="H198" s="171">
        <v>55.993660394801715</v>
      </c>
      <c r="I198" s="171">
        <v>71.05625180727877</v>
      </c>
      <c r="J198" s="171">
        <v>95.604491787398146</v>
      </c>
      <c r="K198" s="171">
        <v>59.269958266733731</v>
      </c>
      <c r="L198" s="171">
        <v>102.36037180011694</v>
      </c>
      <c r="M198" s="171">
        <v>92.963588426970858</v>
      </c>
      <c r="N198" s="171">
        <v>92.57427381070768</v>
      </c>
      <c r="O198" s="171">
        <v>103.10290665474261</v>
      </c>
      <c r="P198" t="str">
        <f t="shared" si="6"/>
        <v>NRRec tons</v>
      </c>
      <c r="Q198">
        <f t="shared" si="7"/>
        <v>1248.5090498365594</v>
      </c>
    </row>
    <row r="199" spans="1:17" x14ac:dyDescent="0.2">
      <c r="A199" t="s">
        <v>65</v>
      </c>
      <c r="C199" t="s">
        <v>59</v>
      </c>
      <c r="D199" s="171">
        <v>252.6789182177674</v>
      </c>
      <c r="E199" s="171">
        <v>221.81033799266589</v>
      </c>
      <c r="F199" s="171">
        <v>225.60941845651513</v>
      </c>
      <c r="G199" s="171">
        <v>238.93008011361977</v>
      </c>
      <c r="H199" s="171">
        <v>177.23815522966137</v>
      </c>
      <c r="I199" s="171">
        <v>216.32126616808972</v>
      </c>
      <c r="J199" s="171">
        <v>252.21019371000264</v>
      </c>
      <c r="K199" s="171">
        <v>205.1486499257777</v>
      </c>
      <c r="L199" s="171">
        <v>36.975356702570309</v>
      </c>
      <c r="M199" s="171">
        <v>45.094352689567806</v>
      </c>
      <c r="N199" s="171">
        <v>48.969130553314756</v>
      </c>
      <c r="O199" s="171">
        <v>93.899799468631628</v>
      </c>
      <c r="P199" t="str">
        <f t="shared" si="6"/>
        <v xml:space="preserve">NRYW tons </v>
      </c>
      <c r="Q199">
        <f t="shared" si="7"/>
        <v>2014.8856592281843</v>
      </c>
    </row>
    <row r="200" spans="1:17" x14ac:dyDescent="0.2">
      <c r="A200" s="319">
        <v>176</v>
      </c>
      <c r="B200" s="319"/>
      <c r="P200" t="str">
        <f t="shared" si="6"/>
        <v>176</v>
      </c>
      <c r="Q200">
        <f t="shared" si="7"/>
        <v>0</v>
      </c>
    </row>
    <row r="201" spans="1:17" x14ac:dyDescent="0.2">
      <c r="A201" t="s">
        <v>65</v>
      </c>
      <c r="B201" t="s">
        <v>67</v>
      </c>
      <c r="C201" t="s">
        <v>56</v>
      </c>
      <c r="D201" s="170">
        <v>2652</v>
      </c>
      <c r="E201" s="170">
        <v>2638</v>
      </c>
      <c r="F201" s="170">
        <v>2648</v>
      </c>
      <c r="G201" s="170">
        <v>2640</v>
      </c>
      <c r="H201" s="170">
        <v>2629</v>
      </c>
      <c r="I201" s="170">
        <v>2648</v>
      </c>
      <c r="J201" s="170">
        <v>2625</v>
      </c>
      <c r="K201" s="170">
        <v>2563</v>
      </c>
      <c r="L201" s="170">
        <v>2576</v>
      </c>
      <c r="M201" s="170">
        <v>2591</v>
      </c>
      <c r="N201" s="170">
        <v>2610</v>
      </c>
      <c r="O201" s="170">
        <v>2619</v>
      </c>
      <c r="P201" t="str">
        <f t="shared" si="6"/>
        <v>NRREC cust</v>
      </c>
      <c r="Q201">
        <f t="shared" si="7"/>
        <v>31439</v>
      </c>
    </row>
    <row r="202" spans="1:17" x14ac:dyDescent="0.2">
      <c r="A202" t="s">
        <v>65</v>
      </c>
      <c r="C202" t="s">
        <v>57</v>
      </c>
      <c r="D202" s="170">
        <v>1217</v>
      </c>
      <c r="E202" s="170">
        <v>1224</v>
      </c>
      <c r="F202" s="170">
        <v>1248</v>
      </c>
      <c r="G202" s="170">
        <v>1248</v>
      </c>
      <c r="H202" s="170">
        <v>1235</v>
      </c>
      <c r="I202" s="170">
        <v>1227</v>
      </c>
      <c r="J202" s="170">
        <v>1200</v>
      </c>
      <c r="K202" s="170">
        <v>1144</v>
      </c>
      <c r="L202" s="170">
        <v>1141</v>
      </c>
      <c r="M202" s="170">
        <v>1148</v>
      </c>
      <c r="N202" s="170">
        <v>1168</v>
      </c>
      <c r="O202" s="170">
        <v>1184</v>
      </c>
      <c r="P202" t="str">
        <f t="shared" si="6"/>
        <v>NRYW cust</v>
      </c>
      <c r="Q202">
        <f t="shared" si="7"/>
        <v>14384</v>
      </c>
    </row>
    <row r="203" spans="1:17" x14ac:dyDescent="0.2">
      <c r="A203" t="s">
        <v>65</v>
      </c>
      <c r="D203" s="170"/>
      <c r="E203" s="170"/>
      <c r="F203" s="170"/>
      <c r="G203" s="170"/>
      <c r="H203" s="170"/>
      <c r="I203" s="170"/>
      <c r="J203" s="170"/>
      <c r="K203" s="170"/>
      <c r="L203" s="170"/>
      <c r="M203" s="170"/>
      <c r="N203" s="170"/>
      <c r="O203" s="170"/>
      <c r="P203" t="str">
        <f t="shared" si="6"/>
        <v>NR</v>
      </c>
      <c r="Q203">
        <f t="shared" si="7"/>
        <v>0</v>
      </c>
    </row>
    <row r="204" spans="1:17" x14ac:dyDescent="0.2">
      <c r="A204" t="s">
        <v>65</v>
      </c>
      <c r="C204" t="s">
        <v>58</v>
      </c>
      <c r="D204" s="171">
        <v>78.043056011609721</v>
      </c>
      <c r="E204" s="171">
        <v>71.986988162155271</v>
      </c>
      <c r="F204" s="171">
        <v>62.439841654111547</v>
      </c>
      <c r="G204" s="171">
        <v>66.325754827717006</v>
      </c>
      <c r="H204" s="171">
        <v>61.714820379398837</v>
      </c>
      <c r="I204" s="171">
        <v>90.790122195730362</v>
      </c>
      <c r="J204" s="171">
        <v>100.34530312468902</v>
      </c>
      <c r="K204" s="171">
        <v>77.62425570197361</v>
      </c>
      <c r="L204" s="171">
        <v>65.128727125213089</v>
      </c>
      <c r="M204" s="171">
        <v>61.147036725097664</v>
      </c>
      <c r="N204" s="171">
        <v>60.577794479606169</v>
      </c>
      <c r="O204" s="171">
        <v>85.27965621784368</v>
      </c>
      <c r="P204" t="str">
        <f t="shared" si="6"/>
        <v>NRRec tons</v>
      </c>
      <c r="Q204">
        <f t="shared" si="7"/>
        <v>881.40335660514609</v>
      </c>
    </row>
    <row r="205" spans="1:17" x14ac:dyDescent="0.2">
      <c r="A205" t="s">
        <v>65</v>
      </c>
      <c r="C205" t="s">
        <v>59</v>
      </c>
      <c r="D205" s="171">
        <v>110.86970202728538</v>
      </c>
      <c r="E205" s="171">
        <v>94.079980248375335</v>
      </c>
      <c r="F205" s="171">
        <v>77.400303272918023</v>
      </c>
      <c r="G205" s="171">
        <v>40.380000000000003</v>
      </c>
      <c r="H205" s="171">
        <v>65.85237879378758</v>
      </c>
      <c r="I205" s="171">
        <v>3.7994659314552433</v>
      </c>
      <c r="J205" s="171">
        <v>4.7597141266010778</v>
      </c>
      <c r="K205" s="171">
        <v>60.749189111796973</v>
      </c>
      <c r="L205" s="171">
        <v>45.277074221646387</v>
      </c>
      <c r="M205" s="171">
        <v>35.562235869505542</v>
      </c>
      <c r="N205" s="171">
        <v>64.216749444376958</v>
      </c>
      <c r="O205" s="171">
        <v>104.88721233472661</v>
      </c>
      <c r="P205" t="str">
        <f t="shared" si="6"/>
        <v xml:space="preserve">NRYW tons </v>
      </c>
      <c r="Q205">
        <f t="shared" si="7"/>
        <v>707.8340053824752</v>
      </c>
    </row>
    <row r="206" spans="1:17" x14ac:dyDescent="0.2">
      <c r="A206" t="s">
        <v>65</v>
      </c>
      <c r="C206" t="s">
        <v>60</v>
      </c>
      <c r="D206" s="171">
        <v>180.42290309587372</v>
      </c>
      <c r="E206" s="171">
        <v>162.83432128577763</v>
      </c>
      <c r="F206" s="171">
        <v>200.84088161768241</v>
      </c>
      <c r="G206" s="171">
        <v>180.12783996946038</v>
      </c>
      <c r="H206" s="171">
        <v>145.8466457073261</v>
      </c>
      <c r="I206" s="171">
        <v>173.34473185462764</v>
      </c>
      <c r="J206" s="171">
        <v>198.54785178192247</v>
      </c>
      <c r="K206" s="171">
        <v>132.58810328302167</v>
      </c>
      <c r="L206" s="171">
        <v>176.17838527792964</v>
      </c>
      <c r="M206" s="171">
        <v>137.18130750980649</v>
      </c>
      <c r="N206" s="171">
        <v>160.69873277743474</v>
      </c>
      <c r="O206" s="171">
        <v>180.95265409005611</v>
      </c>
      <c r="P206" t="str">
        <f t="shared" si="6"/>
        <v>NRMSW tons</v>
      </c>
      <c r="Q206">
        <f t="shared" si="7"/>
        <v>2029.564358250919</v>
      </c>
    </row>
    <row r="207" spans="1:17" x14ac:dyDescent="0.2">
      <c r="A207" t="s">
        <v>55</v>
      </c>
      <c r="B207" t="s">
        <v>68</v>
      </c>
      <c r="C207" t="s">
        <v>56</v>
      </c>
      <c r="D207" s="170">
        <v>1128</v>
      </c>
      <c r="E207" s="170">
        <v>1127</v>
      </c>
      <c r="F207" s="170">
        <v>1134</v>
      </c>
      <c r="G207" s="170">
        <v>1133</v>
      </c>
      <c r="H207" s="170">
        <v>1127</v>
      </c>
      <c r="I207" s="170">
        <v>1130</v>
      </c>
      <c r="J207" s="170">
        <v>1129</v>
      </c>
      <c r="K207" s="170">
        <v>1128</v>
      </c>
      <c r="L207" s="170">
        <v>1131</v>
      </c>
      <c r="M207" s="170">
        <v>1140</v>
      </c>
      <c r="N207" s="170">
        <v>1145</v>
      </c>
      <c r="O207" s="170">
        <v>1153</v>
      </c>
      <c r="P207" t="str">
        <f t="shared" si="6"/>
        <v>RREC cust</v>
      </c>
      <c r="Q207">
        <f t="shared" si="7"/>
        <v>13605</v>
      </c>
    </row>
    <row r="208" spans="1:17" x14ac:dyDescent="0.2">
      <c r="A208" t="s">
        <v>55</v>
      </c>
      <c r="C208" t="s">
        <v>57</v>
      </c>
      <c r="D208" s="170">
        <v>532</v>
      </c>
      <c r="E208" s="170">
        <v>529</v>
      </c>
      <c r="F208" s="170">
        <v>537</v>
      </c>
      <c r="G208" s="170">
        <v>534</v>
      </c>
      <c r="H208" s="170">
        <v>525</v>
      </c>
      <c r="I208" s="170">
        <v>518</v>
      </c>
      <c r="J208" s="170">
        <v>512</v>
      </c>
      <c r="K208" s="170">
        <v>504</v>
      </c>
      <c r="L208" s="170">
        <v>507</v>
      </c>
      <c r="M208" s="170">
        <v>509</v>
      </c>
      <c r="N208" s="170">
        <v>518</v>
      </c>
      <c r="O208" s="170">
        <v>523</v>
      </c>
      <c r="P208" t="str">
        <f t="shared" si="6"/>
        <v>RYW cust</v>
      </c>
      <c r="Q208">
        <f t="shared" si="7"/>
        <v>6248</v>
      </c>
    </row>
    <row r="209" spans="1:17" x14ac:dyDescent="0.2">
      <c r="A209" t="s">
        <v>55</v>
      </c>
      <c r="D209" s="170"/>
      <c r="E209" s="170"/>
      <c r="F209" s="170"/>
      <c r="G209" s="170"/>
      <c r="H209" s="170"/>
      <c r="I209" s="170"/>
      <c r="J209" s="170"/>
      <c r="K209" s="170"/>
      <c r="L209" s="170"/>
      <c r="M209" s="170"/>
      <c r="N209" s="170"/>
      <c r="O209" s="170"/>
      <c r="P209" t="str">
        <f t="shared" si="6"/>
        <v>R</v>
      </c>
      <c r="Q209">
        <f t="shared" si="7"/>
        <v>0</v>
      </c>
    </row>
    <row r="210" spans="1:17" x14ac:dyDescent="0.2">
      <c r="A210" t="s">
        <v>55</v>
      </c>
      <c r="C210" t="s">
        <v>58</v>
      </c>
      <c r="D210" s="171">
        <v>36.331686987088553</v>
      </c>
      <c r="E210" s="171">
        <v>31.220317324504443</v>
      </c>
      <c r="F210" s="171">
        <v>32.598806379412849</v>
      </c>
      <c r="G210" s="171">
        <v>32.969542003152064</v>
      </c>
      <c r="H210" s="171">
        <v>25.582830928566331</v>
      </c>
      <c r="I210" s="171">
        <v>41.696715000806087</v>
      </c>
      <c r="J210" s="171">
        <v>32.608712098954491</v>
      </c>
      <c r="K210" s="171">
        <v>32.032195559483604</v>
      </c>
      <c r="L210" s="171">
        <v>32.16300354390777</v>
      </c>
      <c r="M210" s="171">
        <v>26.777297935419579</v>
      </c>
      <c r="N210" s="171">
        <v>27.496875920173913</v>
      </c>
      <c r="O210" s="171">
        <v>37.793068719268788</v>
      </c>
      <c r="P210" t="str">
        <f t="shared" si="6"/>
        <v>RRec tons</v>
      </c>
      <c r="Q210">
        <f t="shared" si="7"/>
        <v>389.27105240073848</v>
      </c>
    </row>
    <row r="211" spans="1:17" x14ac:dyDescent="0.2">
      <c r="A211" t="s">
        <v>55</v>
      </c>
      <c r="C211" t="s">
        <v>59</v>
      </c>
      <c r="D211" s="171">
        <v>62.102963353578879</v>
      </c>
      <c r="E211" s="171">
        <v>72.117571630715631</v>
      </c>
      <c r="F211" s="171">
        <v>72.107020079267045</v>
      </c>
      <c r="G211" s="171">
        <v>64.136961158269386</v>
      </c>
      <c r="H211" s="171">
        <v>15.493094920181996</v>
      </c>
      <c r="I211" s="171">
        <v>40.150897023479786</v>
      </c>
      <c r="J211" s="171">
        <v>47.627066961935164</v>
      </c>
      <c r="K211" s="171">
        <v>21.307214799380375</v>
      </c>
      <c r="L211" s="171">
        <v>20.97536358822483</v>
      </c>
      <c r="M211" s="171">
        <v>15.383166805397618</v>
      </c>
      <c r="N211" s="171">
        <v>38.664902670575977</v>
      </c>
      <c r="O211" s="171">
        <v>45.081685530057321</v>
      </c>
      <c r="P211" t="str">
        <f t="shared" si="6"/>
        <v xml:space="preserve">RYW tons </v>
      </c>
      <c r="Q211">
        <f t="shared" si="7"/>
        <v>515.14790852106398</v>
      </c>
    </row>
    <row r="212" spans="1:17" x14ac:dyDescent="0.2">
      <c r="A212" t="s">
        <v>55</v>
      </c>
      <c r="C212" t="s">
        <v>60</v>
      </c>
      <c r="D212" s="171">
        <v>72.467931577369384</v>
      </c>
      <c r="E212" s="171">
        <v>93.874818644330958</v>
      </c>
      <c r="F212" s="171">
        <v>77.021384836124525</v>
      </c>
      <c r="G212" s="171">
        <v>77.098074807135617</v>
      </c>
      <c r="H212" s="171">
        <v>68.224063634663736</v>
      </c>
      <c r="I212" s="171">
        <v>76.918699882354247</v>
      </c>
      <c r="J212" s="171">
        <v>57.018288304771694</v>
      </c>
      <c r="K212" s="171">
        <v>61.596213556567427</v>
      </c>
      <c r="L212" s="171">
        <v>76.697701550944927</v>
      </c>
      <c r="M212" s="171">
        <v>62.639092256700593</v>
      </c>
      <c r="N212" s="171">
        <v>60.416343358712751</v>
      </c>
      <c r="O212" s="171">
        <v>75.225916222096913</v>
      </c>
      <c r="P212" t="str">
        <f t="shared" si="6"/>
        <v>RMSW tons</v>
      </c>
      <c r="Q212">
        <f t="shared" si="7"/>
        <v>859.19852863177277</v>
      </c>
    </row>
    <row r="213" spans="1:17" x14ac:dyDescent="0.2">
      <c r="A213" t="s">
        <v>55</v>
      </c>
      <c r="B213" t="s">
        <v>61</v>
      </c>
      <c r="C213" t="s">
        <v>56</v>
      </c>
      <c r="D213" s="170">
        <v>17940</v>
      </c>
      <c r="E213" s="170">
        <v>17468</v>
      </c>
      <c r="F213" s="170">
        <v>17483</v>
      </c>
      <c r="G213" s="170">
        <v>17536</v>
      </c>
      <c r="H213" s="170">
        <v>17514</v>
      </c>
      <c r="I213" s="170">
        <v>17554</v>
      </c>
      <c r="J213" s="170">
        <v>17613</v>
      </c>
      <c r="K213" s="170">
        <v>17608</v>
      </c>
      <c r="L213" s="170">
        <v>17648</v>
      </c>
      <c r="M213" s="170">
        <v>17748</v>
      </c>
      <c r="N213" s="170">
        <v>17834</v>
      </c>
      <c r="O213" s="170">
        <v>17916</v>
      </c>
      <c r="P213" t="str">
        <f t="shared" si="6"/>
        <v>RREC cust</v>
      </c>
      <c r="Q213">
        <f t="shared" si="7"/>
        <v>211862</v>
      </c>
    </row>
    <row r="214" spans="1:17" x14ac:dyDescent="0.2">
      <c r="A214" t="s">
        <v>55</v>
      </c>
      <c r="C214" t="s">
        <v>57</v>
      </c>
      <c r="D214" s="170">
        <v>5515</v>
      </c>
      <c r="E214" s="170">
        <v>5239</v>
      </c>
      <c r="F214" s="170">
        <v>5265</v>
      </c>
      <c r="G214" s="170">
        <v>5316</v>
      </c>
      <c r="H214" s="170">
        <v>5292</v>
      </c>
      <c r="I214" s="170">
        <v>5290</v>
      </c>
      <c r="J214" s="170">
        <v>5287</v>
      </c>
      <c r="K214" s="170">
        <v>5241</v>
      </c>
      <c r="L214" s="170">
        <v>5239</v>
      </c>
      <c r="M214" s="170">
        <v>5256</v>
      </c>
      <c r="N214" s="170">
        <v>5341</v>
      </c>
      <c r="O214" s="170">
        <v>5444</v>
      </c>
      <c r="P214" t="str">
        <f t="shared" si="6"/>
        <v>RYW cust</v>
      </c>
      <c r="Q214">
        <f t="shared" si="7"/>
        <v>63725</v>
      </c>
    </row>
    <row r="215" spans="1:17" x14ac:dyDescent="0.2">
      <c r="A215" t="s">
        <v>55</v>
      </c>
      <c r="D215" s="170"/>
      <c r="E215" s="170"/>
      <c r="F215" s="170"/>
      <c r="G215" s="170"/>
      <c r="H215" s="170"/>
      <c r="I215" s="170"/>
      <c r="J215" s="170"/>
      <c r="K215" s="170"/>
      <c r="L215" s="170"/>
      <c r="M215" s="170"/>
      <c r="N215" s="170"/>
      <c r="O215" s="170"/>
      <c r="P215" t="str">
        <f t="shared" si="6"/>
        <v>R</v>
      </c>
      <c r="Q215">
        <f t="shared" si="7"/>
        <v>0</v>
      </c>
    </row>
    <row r="216" spans="1:17" x14ac:dyDescent="0.2">
      <c r="A216" t="s">
        <v>55</v>
      </c>
      <c r="C216" t="s">
        <v>58</v>
      </c>
      <c r="D216" s="171">
        <v>514.32801893903309</v>
      </c>
      <c r="E216" s="171">
        <v>485.27522244670001</v>
      </c>
      <c r="F216" s="171">
        <v>490.45414103371485</v>
      </c>
      <c r="G216" s="171">
        <v>508.95117621681175</v>
      </c>
      <c r="H216" s="171">
        <v>466.82274627882811</v>
      </c>
      <c r="I216" s="171">
        <v>549.37158823289462</v>
      </c>
      <c r="J216" s="171">
        <v>548.74240789820828</v>
      </c>
      <c r="K216" s="171">
        <v>513.23366193587196</v>
      </c>
      <c r="L216" s="171">
        <v>536.26309848899621</v>
      </c>
      <c r="M216" s="171">
        <v>411.13059294984151</v>
      </c>
      <c r="N216" s="171">
        <v>447.14809886055394</v>
      </c>
      <c r="O216" s="171">
        <v>503.88418583897061</v>
      </c>
      <c r="P216" t="str">
        <f t="shared" si="6"/>
        <v>RRec tons</v>
      </c>
      <c r="Q216">
        <f t="shared" si="7"/>
        <v>5975.6049391204251</v>
      </c>
    </row>
    <row r="217" spans="1:17" x14ac:dyDescent="0.2">
      <c r="A217" t="s">
        <v>55</v>
      </c>
      <c r="C217" t="s">
        <v>59</v>
      </c>
      <c r="D217" s="171">
        <v>631.4594934921239</v>
      </c>
      <c r="E217" s="171">
        <v>509.77840408591112</v>
      </c>
      <c r="F217" s="171">
        <v>391.95</v>
      </c>
      <c r="G217" s="171">
        <v>296.14</v>
      </c>
      <c r="H217" s="171">
        <v>241.63310106809405</v>
      </c>
      <c r="I217" s="171">
        <v>318.92111504287436</v>
      </c>
      <c r="J217" s="171">
        <v>439.96283958992058</v>
      </c>
      <c r="K217" s="171">
        <v>212.18145860027434</v>
      </c>
      <c r="L217" s="171">
        <v>139.80899392225527</v>
      </c>
      <c r="M217" s="171">
        <v>154.404289410621</v>
      </c>
      <c r="N217" s="171">
        <v>278.86585587396593</v>
      </c>
      <c r="O217" s="171">
        <v>479.27701327717085</v>
      </c>
      <c r="P217" t="str">
        <f t="shared" si="6"/>
        <v xml:space="preserve">RYW tons </v>
      </c>
      <c r="Q217">
        <f t="shared" si="7"/>
        <v>4094.3825643632117</v>
      </c>
    </row>
    <row r="218" spans="1:17" x14ac:dyDescent="0.2">
      <c r="A218" t="s">
        <v>55</v>
      </c>
      <c r="C218" t="s">
        <v>60</v>
      </c>
      <c r="D218" s="171">
        <v>1223.5780313724731</v>
      </c>
      <c r="E218" s="171">
        <v>1105.1876751033444</v>
      </c>
      <c r="F218" s="171">
        <v>1224.9852483401839</v>
      </c>
      <c r="G218" s="171">
        <v>1247.9134115412367</v>
      </c>
      <c r="H218" s="171">
        <v>1112.62329082785</v>
      </c>
      <c r="I218" s="171">
        <v>1174.9478613486413</v>
      </c>
      <c r="J218" s="171">
        <v>1172.5968470447392</v>
      </c>
      <c r="K218" s="171">
        <v>1105.6507199953301</v>
      </c>
      <c r="L218" s="171">
        <v>1142.3983661211082</v>
      </c>
      <c r="M218" s="171">
        <v>961.40542217870484</v>
      </c>
      <c r="N218" s="171">
        <v>996.48210617413702</v>
      </c>
      <c r="O218" s="171">
        <v>1126.8675487743001</v>
      </c>
      <c r="P218" t="str">
        <f t="shared" si="6"/>
        <v>RMSW tons</v>
      </c>
      <c r="Q218">
        <f t="shared" si="7"/>
        <v>13594.636528822048</v>
      </c>
    </row>
    <row r="219" spans="1:17" x14ac:dyDescent="0.2">
      <c r="A219" t="s">
        <v>65</v>
      </c>
      <c r="B219" t="s">
        <v>69</v>
      </c>
      <c r="C219" t="s">
        <v>56</v>
      </c>
      <c r="D219" s="170">
        <v>4354</v>
      </c>
      <c r="E219" s="170">
        <v>4345</v>
      </c>
      <c r="F219" s="170">
        <v>4373</v>
      </c>
      <c r="G219" s="170">
        <v>4408</v>
      </c>
      <c r="H219" s="170">
        <v>4405</v>
      </c>
      <c r="I219" s="170">
        <v>4412</v>
      </c>
      <c r="J219" s="170">
        <v>4423</v>
      </c>
      <c r="K219" s="170">
        <v>4407</v>
      </c>
      <c r="L219">
        <v>4440</v>
      </c>
      <c r="M219">
        <v>4481</v>
      </c>
      <c r="N219">
        <v>4493</v>
      </c>
      <c r="O219">
        <v>4502</v>
      </c>
      <c r="P219" t="str">
        <f t="shared" si="6"/>
        <v>NRREC cust</v>
      </c>
      <c r="Q219">
        <f t="shared" si="7"/>
        <v>53043</v>
      </c>
    </row>
    <row r="220" spans="1:17" x14ac:dyDescent="0.2">
      <c r="A220" t="s">
        <v>65</v>
      </c>
      <c r="C220" t="s">
        <v>57</v>
      </c>
      <c r="D220" s="170">
        <v>2423</v>
      </c>
      <c r="E220" s="170">
        <v>2449</v>
      </c>
      <c r="F220" s="170">
        <v>2489</v>
      </c>
      <c r="G220" s="170">
        <v>2503</v>
      </c>
      <c r="H220" s="170">
        <v>2477</v>
      </c>
      <c r="I220" s="170">
        <v>2453</v>
      </c>
      <c r="J220" s="170">
        <v>2443</v>
      </c>
      <c r="K220" s="170">
        <v>2422</v>
      </c>
      <c r="L220">
        <v>2423</v>
      </c>
      <c r="M220">
        <v>2433</v>
      </c>
      <c r="N220">
        <v>2456</v>
      </c>
      <c r="O220">
        <v>2492</v>
      </c>
      <c r="P220" t="str">
        <f t="shared" si="6"/>
        <v>NRYW cust</v>
      </c>
      <c r="Q220">
        <f t="shared" si="7"/>
        <v>29463</v>
      </c>
    </row>
    <row r="221" spans="1:17" x14ac:dyDescent="0.2">
      <c r="A221" t="s">
        <v>65</v>
      </c>
      <c r="D221" s="170"/>
      <c r="E221" s="170"/>
      <c r="F221" s="170"/>
      <c r="G221" s="170"/>
      <c r="H221" s="170"/>
      <c r="I221" s="170"/>
      <c r="J221" s="170"/>
      <c r="K221" s="170"/>
      <c r="P221" t="str">
        <f t="shared" si="6"/>
        <v>NR</v>
      </c>
      <c r="Q221">
        <f t="shared" si="7"/>
        <v>0</v>
      </c>
    </row>
    <row r="222" spans="1:17" x14ac:dyDescent="0.2">
      <c r="A222" t="s">
        <v>65</v>
      </c>
      <c r="C222" t="s">
        <v>58</v>
      </c>
      <c r="D222" s="171">
        <v>105.29374175205136</v>
      </c>
      <c r="E222" s="171">
        <v>110.71838671253073</v>
      </c>
      <c r="F222" s="171">
        <v>129.18795259297889</v>
      </c>
      <c r="G222" s="171">
        <v>134.68746298336305</v>
      </c>
      <c r="H222" s="171">
        <v>112.13939129260559</v>
      </c>
      <c r="I222" s="171">
        <v>111.09064770680747</v>
      </c>
      <c r="J222" s="171">
        <v>111.26901101474911</v>
      </c>
      <c r="K222" s="171">
        <v>120.90878959280921</v>
      </c>
      <c r="L222">
        <v>142.23645902630506</v>
      </c>
      <c r="M222">
        <v>98.032641093073408</v>
      </c>
      <c r="N222">
        <v>107.64718407149377</v>
      </c>
      <c r="O222">
        <v>105.51971006870922</v>
      </c>
      <c r="P222" t="str">
        <f t="shared" si="6"/>
        <v>NRRec tons</v>
      </c>
      <c r="Q222">
        <f t="shared" si="7"/>
        <v>1388.7313779074768</v>
      </c>
    </row>
    <row r="223" spans="1:17" x14ac:dyDescent="0.2">
      <c r="A223" t="s">
        <v>65</v>
      </c>
      <c r="C223" t="s">
        <v>59</v>
      </c>
      <c r="D223" s="171">
        <v>327.54057602754551</v>
      </c>
      <c r="E223" s="171">
        <v>177.59380341703292</v>
      </c>
      <c r="F223" s="171">
        <v>170.42694432024632</v>
      </c>
      <c r="G223" s="171">
        <v>150.98366486277965</v>
      </c>
      <c r="H223" s="171">
        <v>76.171065800711787</v>
      </c>
      <c r="I223" s="171">
        <v>74.113191216339956</v>
      </c>
      <c r="J223" s="171">
        <v>64.662666992842986</v>
      </c>
      <c r="K223" s="171">
        <v>20.150626455503858</v>
      </c>
      <c r="L223">
        <v>21.256055673110524</v>
      </c>
      <c r="M223">
        <v>22.01296077026139</v>
      </c>
      <c r="N223">
        <v>31.29011983280877</v>
      </c>
      <c r="O223">
        <v>98.751071417516243</v>
      </c>
      <c r="P223" t="str">
        <f t="shared" si="6"/>
        <v xml:space="preserve">NRYW tons </v>
      </c>
      <c r="Q223">
        <f t="shared" si="7"/>
        <v>1234.9527467866997</v>
      </c>
    </row>
    <row r="224" spans="1:17" x14ac:dyDescent="0.2">
      <c r="A224" t="s">
        <v>65</v>
      </c>
      <c r="C224" t="s">
        <v>60</v>
      </c>
      <c r="D224" s="171">
        <v>305.1438462300236</v>
      </c>
      <c r="E224" s="171">
        <v>283.76584335168207</v>
      </c>
      <c r="F224" s="171">
        <v>318.28789933418409</v>
      </c>
      <c r="G224" s="171">
        <v>290.75183607839892</v>
      </c>
      <c r="H224" s="171">
        <v>257.18298088984955</v>
      </c>
      <c r="I224" s="171">
        <v>295.32372776824155</v>
      </c>
      <c r="J224" s="171">
        <v>260.29260393397789</v>
      </c>
      <c r="K224" s="171">
        <v>278.39176831890734</v>
      </c>
      <c r="L224">
        <v>300.25289643180383</v>
      </c>
      <c r="M224">
        <v>222.00948748767104</v>
      </c>
      <c r="N224">
        <v>254.52025472457828</v>
      </c>
      <c r="O224">
        <v>275.77853516458038</v>
      </c>
      <c r="P224" t="str">
        <f t="shared" si="6"/>
        <v>NRMSW tons</v>
      </c>
      <c r="Q224">
        <f t="shared" si="7"/>
        <v>3341.7016797138981</v>
      </c>
    </row>
    <row r="225" spans="1:17" x14ac:dyDescent="0.2">
      <c r="A225" t="s">
        <v>65</v>
      </c>
      <c r="B225" t="s">
        <v>70</v>
      </c>
      <c r="C225" t="s">
        <v>56</v>
      </c>
      <c r="D225" s="170">
        <v>22772</v>
      </c>
      <c r="E225" s="170">
        <v>22647</v>
      </c>
      <c r="F225" s="170">
        <v>22688</v>
      </c>
      <c r="G225" s="170">
        <v>22965</v>
      </c>
      <c r="H225" s="170">
        <v>22844</v>
      </c>
      <c r="I225" s="170">
        <v>22841</v>
      </c>
      <c r="J225" s="170">
        <v>22957</v>
      </c>
      <c r="K225" s="170">
        <v>22891</v>
      </c>
      <c r="L225" s="170">
        <v>22913</v>
      </c>
      <c r="M225" s="170">
        <v>23164</v>
      </c>
      <c r="N225" s="170">
        <v>23085</v>
      </c>
      <c r="O225" s="170">
        <v>23109</v>
      </c>
      <c r="P225" t="str">
        <f t="shared" si="6"/>
        <v>NRREC cust</v>
      </c>
      <c r="Q225">
        <f t="shared" si="7"/>
        <v>274876</v>
      </c>
    </row>
    <row r="226" spans="1:17" x14ac:dyDescent="0.2">
      <c r="A226" t="s">
        <v>65</v>
      </c>
      <c r="C226" t="s">
        <v>57</v>
      </c>
      <c r="D226" s="170">
        <v>21849</v>
      </c>
      <c r="E226" s="170">
        <v>21725</v>
      </c>
      <c r="F226" s="170">
        <v>21764</v>
      </c>
      <c r="G226" s="170">
        <v>22013</v>
      </c>
      <c r="H226" s="170">
        <v>21923</v>
      </c>
      <c r="I226" s="170">
        <v>22096</v>
      </c>
      <c r="J226" s="170">
        <v>22205</v>
      </c>
      <c r="K226" s="170">
        <v>22145</v>
      </c>
      <c r="L226" s="170">
        <v>22126</v>
      </c>
      <c r="M226" s="170">
        <v>22354</v>
      </c>
      <c r="N226" s="170">
        <v>22279</v>
      </c>
      <c r="O226" s="170">
        <v>22322</v>
      </c>
      <c r="P226" t="str">
        <f t="shared" si="6"/>
        <v>NRYW cust</v>
      </c>
      <c r="Q226">
        <f t="shared" si="7"/>
        <v>264801</v>
      </c>
    </row>
    <row r="227" spans="1:17" x14ac:dyDescent="0.2">
      <c r="A227" t="s">
        <v>65</v>
      </c>
      <c r="D227" s="170"/>
      <c r="E227" s="170"/>
      <c r="F227" s="170"/>
      <c r="G227" s="170"/>
      <c r="H227" s="170"/>
      <c r="I227" s="170"/>
      <c r="J227" s="170"/>
      <c r="K227" s="170"/>
      <c r="L227" s="170"/>
      <c r="M227" s="170"/>
      <c r="N227" s="170"/>
      <c r="O227" s="170"/>
      <c r="P227" t="str">
        <f t="shared" si="6"/>
        <v>NR</v>
      </c>
      <c r="Q227">
        <f t="shared" si="7"/>
        <v>0</v>
      </c>
    </row>
    <row r="228" spans="1:17" x14ac:dyDescent="0.2">
      <c r="A228" t="s">
        <v>65</v>
      </c>
      <c r="C228" t="s">
        <v>58</v>
      </c>
      <c r="D228" s="171">
        <v>583.80580121069352</v>
      </c>
      <c r="E228" s="171">
        <v>533.099793316567</v>
      </c>
      <c r="F228" s="171">
        <v>571.79444659611625</v>
      </c>
      <c r="G228" s="171">
        <v>610.67817575633819</v>
      </c>
      <c r="H228" s="171">
        <v>528.52241314277546</v>
      </c>
      <c r="I228" s="171">
        <v>635.6626640625135</v>
      </c>
      <c r="J228" s="171">
        <v>663.50138099741002</v>
      </c>
      <c r="K228" s="171">
        <v>614.92601439200405</v>
      </c>
      <c r="L228" s="171">
        <v>637.51787087528305</v>
      </c>
      <c r="M228" s="171">
        <v>487.45522693319867</v>
      </c>
      <c r="N228" s="171">
        <v>534.6655467945767</v>
      </c>
      <c r="O228" s="171">
        <v>567.83827683567893</v>
      </c>
      <c r="P228" t="str">
        <f t="shared" si="6"/>
        <v>NRRec tons</v>
      </c>
      <c r="Q228">
        <f t="shared" si="7"/>
        <v>6969.4676109131542</v>
      </c>
    </row>
    <row r="229" spans="1:17" x14ac:dyDescent="0.2">
      <c r="A229" t="s">
        <v>65</v>
      </c>
      <c r="C229" t="s">
        <v>59</v>
      </c>
      <c r="D229" s="171">
        <v>1512.3598110086643</v>
      </c>
      <c r="E229" s="171">
        <v>1350.6127340925177</v>
      </c>
      <c r="F229" s="171">
        <v>1218.3154975559078</v>
      </c>
      <c r="G229" s="171">
        <v>933.39192271790648</v>
      </c>
      <c r="H229" s="171">
        <v>614.98818967191153</v>
      </c>
      <c r="I229" s="171">
        <v>608.14095004372848</v>
      </c>
      <c r="J229" s="171">
        <v>1021.7624657170012</v>
      </c>
      <c r="K229" s="171">
        <v>563.99333026163686</v>
      </c>
      <c r="L229" s="171">
        <v>469.48007986070058</v>
      </c>
      <c r="M229" s="171">
        <v>434.4600439654356</v>
      </c>
      <c r="N229" s="171">
        <v>693.45966596763822</v>
      </c>
      <c r="O229" s="171">
        <v>1346.3197961047347</v>
      </c>
      <c r="P229" t="str">
        <f t="shared" si="6"/>
        <v xml:space="preserve">NRYW tons </v>
      </c>
      <c r="Q229">
        <f t="shared" si="7"/>
        <v>10767.284486967785</v>
      </c>
    </row>
    <row r="230" spans="1:17" x14ac:dyDescent="0.2">
      <c r="A230" t="s">
        <v>65</v>
      </c>
      <c r="C230" t="s">
        <v>60</v>
      </c>
      <c r="D230" s="171">
        <v>1130.1459886498901</v>
      </c>
      <c r="E230" s="171">
        <v>1069.5557413151389</v>
      </c>
      <c r="F230" s="171">
        <v>1091.4707289782514</v>
      </c>
      <c r="G230" s="171">
        <v>1185.4967303229421</v>
      </c>
      <c r="H230" s="171">
        <v>978.83986080829163</v>
      </c>
      <c r="I230" s="171">
        <v>1126.2047292290397</v>
      </c>
      <c r="J230" s="171">
        <v>1194.2266745407576</v>
      </c>
      <c r="K230" s="171">
        <v>1045.4101243459902</v>
      </c>
      <c r="L230" s="171">
        <v>1158.9954249767275</v>
      </c>
      <c r="M230" s="171">
        <v>972.05872402788543</v>
      </c>
      <c r="N230" s="171">
        <v>1024.6480935071654</v>
      </c>
      <c r="O230" s="171">
        <v>1166.3266900274123</v>
      </c>
      <c r="P230" t="str">
        <f t="shared" si="6"/>
        <v>NRMSW tons</v>
      </c>
      <c r="Q230">
        <f t="shared" si="7"/>
        <v>13143.379510729492</v>
      </c>
    </row>
    <row r="231" spans="1:17" x14ac:dyDescent="0.2">
      <c r="A231" t="s">
        <v>65</v>
      </c>
      <c r="B231" t="s">
        <v>71</v>
      </c>
      <c r="C231" t="s">
        <v>56</v>
      </c>
      <c r="D231" s="170">
        <v>0</v>
      </c>
      <c r="E231" s="170">
        <v>468</v>
      </c>
      <c r="F231" s="170">
        <v>468</v>
      </c>
      <c r="G231" s="170">
        <v>466</v>
      </c>
      <c r="H231" s="170">
        <v>470</v>
      </c>
      <c r="I231" s="170">
        <v>477</v>
      </c>
      <c r="J231" s="170">
        <v>477</v>
      </c>
      <c r="K231" s="170">
        <v>476</v>
      </c>
      <c r="P231" t="str">
        <f t="shared" si="6"/>
        <v>NRREC cust</v>
      </c>
      <c r="Q231">
        <f t="shared" si="7"/>
        <v>3302</v>
      </c>
    </row>
    <row r="232" spans="1:17" x14ac:dyDescent="0.2">
      <c r="A232" t="s">
        <v>65</v>
      </c>
      <c r="C232" t="s">
        <v>57</v>
      </c>
      <c r="D232" s="170">
        <v>0</v>
      </c>
      <c r="E232" s="170">
        <v>327</v>
      </c>
      <c r="F232" s="170">
        <v>332</v>
      </c>
      <c r="G232" s="170">
        <v>334</v>
      </c>
      <c r="H232" s="170">
        <v>335</v>
      </c>
      <c r="I232" s="170">
        <v>337</v>
      </c>
      <c r="J232" s="170">
        <v>323</v>
      </c>
      <c r="K232" s="170">
        <v>0</v>
      </c>
      <c r="P232" t="str">
        <f t="shared" si="6"/>
        <v>NRYW cust</v>
      </c>
      <c r="Q232">
        <f t="shared" si="7"/>
        <v>1988</v>
      </c>
    </row>
    <row r="233" spans="1:17" x14ac:dyDescent="0.2">
      <c r="A233" t="s">
        <v>65</v>
      </c>
      <c r="D233" s="170"/>
      <c r="E233" s="170"/>
      <c r="F233" s="170"/>
      <c r="G233" s="170"/>
      <c r="H233" s="170"/>
      <c r="I233" s="170"/>
      <c r="J233" s="170"/>
      <c r="K233" s="170"/>
      <c r="P233" t="str">
        <f t="shared" si="6"/>
        <v>NR</v>
      </c>
      <c r="Q233">
        <f t="shared" si="7"/>
        <v>0</v>
      </c>
    </row>
    <row r="234" spans="1:17" x14ac:dyDescent="0.2">
      <c r="A234" t="s">
        <v>65</v>
      </c>
      <c r="C234" t="s">
        <v>58</v>
      </c>
      <c r="D234" s="171">
        <v>0</v>
      </c>
      <c r="E234" s="171">
        <v>14.767631237843414</v>
      </c>
      <c r="F234" s="171">
        <v>13.311419271433131</v>
      </c>
      <c r="G234" s="171">
        <v>13.339115124753638</v>
      </c>
      <c r="H234" s="171">
        <v>6.8635216128341083</v>
      </c>
      <c r="I234" s="171">
        <v>21.108422940172368</v>
      </c>
      <c r="J234" s="171">
        <v>16.679357096218659</v>
      </c>
      <c r="K234" s="171">
        <v>13.084971389643419</v>
      </c>
      <c r="P234" t="str">
        <f t="shared" si="6"/>
        <v>NRRec tons</v>
      </c>
      <c r="Q234">
        <f t="shared" si="7"/>
        <v>99.154438672898721</v>
      </c>
    </row>
    <row r="235" spans="1:17" x14ac:dyDescent="0.2">
      <c r="A235" t="s">
        <v>65</v>
      </c>
      <c r="C235" t="s">
        <v>59</v>
      </c>
      <c r="D235" s="171">
        <v>0</v>
      </c>
      <c r="E235" s="171">
        <v>25.00119374117045</v>
      </c>
      <c r="F235" s="171">
        <v>22.224135778949758</v>
      </c>
      <c r="G235" s="171">
        <v>15.231840492587947</v>
      </c>
      <c r="H235" s="171">
        <v>14.74474537843126</v>
      </c>
      <c r="I235" s="171">
        <v>11.989433507729355</v>
      </c>
      <c r="J235" s="171">
        <v>16.344880384701963</v>
      </c>
      <c r="K235" s="171">
        <v>13.530839064191014</v>
      </c>
      <c r="P235" t="str">
        <f t="shared" si="6"/>
        <v xml:space="preserve">NRYW tons </v>
      </c>
      <c r="Q235">
        <f t="shared" si="7"/>
        <v>119.06706834776176</v>
      </c>
    </row>
    <row r="236" spans="1:17" x14ac:dyDescent="0.2">
      <c r="A236" t="s">
        <v>65</v>
      </c>
      <c r="C236" t="s">
        <v>60</v>
      </c>
      <c r="D236" s="171">
        <v>0</v>
      </c>
      <c r="E236" s="171">
        <v>30.961877370395154</v>
      </c>
      <c r="F236" s="171">
        <v>27.842074829277305</v>
      </c>
      <c r="G236" s="171">
        <v>29.72736067205749</v>
      </c>
      <c r="H236" s="171">
        <v>23.332970350012541</v>
      </c>
      <c r="I236" s="171">
        <v>36.665112610985524</v>
      </c>
      <c r="J236" s="171">
        <v>26.096282507483796</v>
      </c>
      <c r="K236" s="171">
        <v>25.68717259153533</v>
      </c>
      <c r="P236" t="str">
        <f t="shared" si="6"/>
        <v>NRMSW tons</v>
      </c>
      <c r="Q236">
        <f t="shared" si="7"/>
        <v>200.31285093174716</v>
      </c>
    </row>
    <row r="237" spans="1:17" x14ac:dyDescent="0.2">
      <c r="A237" t="s">
        <v>65</v>
      </c>
      <c r="B237" t="s">
        <v>64</v>
      </c>
      <c r="C237" t="s">
        <v>56</v>
      </c>
      <c r="D237" s="170">
        <v>2361</v>
      </c>
      <c r="E237" s="170">
        <v>2373</v>
      </c>
      <c r="F237" s="170">
        <v>2379</v>
      </c>
      <c r="G237" s="170">
        <v>2392</v>
      </c>
      <c r="H237" s="170">
        <v>2412</v>
      </c>
      <c r="I237" s="170">
        <v>2433</v>
      </c>
      <c r="J237" s="170">
        <v>2450</v>
      </c>
      <c r="K237" s="170">
        <v>2454</v>
      </c>
      <c r="L237" s="170">
        <v>2462</v>
      </c>
      <c r="M237" s="170">
        <v>2465</v>
      </c>
      <c r="N237" s="170">
        <v>2475</v>
      </c>
      <c r="O237" s="170">
        <v>2488</v>
      </c>
      <c r="P237" t="str">
        <f t="shared" si="6"/>
        <v>NRREC cust</v>
      </c>
      <c r="Q237">
        <f t="shared" si="7"/>
        <v>29144</v>
      </c>
    </row>
    <row r="238" spans="1:17" x14ac:dyDescent="0.2">
      <c r="A238" t="s">
        <v>65</v>
      </c>
      <c r="C238" t="s">
        <v>57</v>
      </c>
      <c r="D238" s="170">
        <v>1272</v>
      </c>
      <c r="E238" s="170">
        <v>1294</v>
      </c>
      <c r="F238" s="170">
        <v>1309</v>
      </c>
      <c r="G238" s="170">
        <v>1321</v>
      </c>
      <c r="H238" s="170">
        <v>1324</v>
      </c>
      <c r="I238" s="170">
        <v>1314</v>
      </c>
      <c r="J238" s="170">
        <v>1304</v>
      </c>
      <c r="K238" s="170">
        <v>1284</v>
      </c>
      <c r="L238" s="170">
        <v>1277</v>
      </c>
      <c r="M238" s="170">
        <v>1272</v>
      </c>
      <c r="N238" s="170">
        <v>1299</v>
      </c>
      <c r="O238" s="170">
        <v>1341</v>
      </c>
      <c r="P238" t="str">
        <f t="shared" si="6"/>
        <v>NRYW cust</v>
      </c>
      <c r="Q238">
        <f t="shared" si="7"/>
        <v>15611</v>
      </c>
    </row>
    <row r="239" spans="1:17" x14ac:dyDescent="0.2">
      <c r="A239" t="s">
        <v>65</v>
      </c>
      <c r="D239" s="171"/>
      <c r="E239" s="171"/>
      <c r="F239" s="171"/>
      <c r="G239" s="171"/>
      <c r="H239" s="171"/>
      <c r="I239" s="171"/>
      <c r="J239" s="171"/>
      <c r="K239" s="171"/>
      <c r="L239" s="171"/>
      <c r="M239" s="171"/>
      <c r="N239" s="171"/>
      <c r="O239" s="171"/>
      <c r="P239" t="str">
        <f t="shared" si="6"/>
        <v>NR</v>
      </c>
      <c r="Q239">
        <f t="shared" si="7"/>
        <v>0</v>
      </c>
    </row>
    <row r="240" spans="1:17" x14ac:dyDescent="0.2">
      <c r="A240" t="s">
        <v>65</v>
      </c>
      <c r="C240" t="s">
        <v>58</v>
      </c>
      <c r="D240" s="171">
        <v>55.393944766438509</v>
      </c>
      <c r="E240" s="171">
        <v>57.641278397388795</v>
      </c>
      <c r="F240" s="171">
        <v>67.846261372750092</v>
      </c>
      <c r="G240" s="171">
        <v>70.326308563578309</v>
      </c>
      <c r="H240" s="171">
        <v>58.79360479986466</v>
      </c>
      <c r="I240" s="171">
        <v>46.572448017245598</v>
      </c>
      <c r="J240" s="171">
        <v>67.21427109758568</v>
      </c>
      <c r="K240" s="171">
        <v>74.4352063485305</v>
      </c>
      <c r="L240" s="171">
        <v>81.877738498037871</v>
      </c>
      <c r="M240" s="171">
        <v>59.821164023814362</v>
      </c>
      <c r="N240" s="171">
        <v>62.851643194607377</v>
      </c>
      <c r="O240" s="171">
        <v>62.672484697675813</v>
      </c>
      <c r="P240" t="str">
        <f t="shared" si="6"/>
        <v>NRRec tons</v>
      </c>
      <c r="Q240">
        <f t="shared" si="7"/>
        <v>765.44635377751763</v>
      </c>
    </row>
    <row r="241" spans="1:17" x14ac:dyDescent="0.2">
      <c r="A241" t="s">
        <v>65</v>
      </c>
      <c r="C241" t="s">
        <v>59</v>
      </c>
      <c r="D241" s="171">
        <v>131.95191617118178</v>
      </c>
      <c r="E241" s="171">
        <v>106.51525909756749</v>
      </c>
      <c r="F241" s="171">
        <v>100.80683306651643</v>
      </c>
      <c r="G241" s="171">
        <v>49.094838770880258</v>
      </c>
      <c r="H241" s="171">
        <v>39.224661713456641</v>
      </c>
      <c r="I241" s="171">
        <v>65.368533542742824</v>
      </c>
      <c r="J241" s="171">
        <v>113.7004980924078</v>
      </c>
      <c r="K241" s="171">
        <v>45.735179766531743</v>
      </c>
      <c r="L241" s="171">
        <v>35.919575972857089</v>
      </c>
      <c r="M241" s="171">
        <v>28.649655073179897</v>
      </c>
      <c r="N241" s="171">
        <v>45.452495963949993</v>
      </c>
      <c r="O241" s="171">
        <v>116.78001813617652</v>
      </c>
      <c r="P241" t="str">
        <f t="shared" si="6"/>
        <v xml:space="preserve">NRYW tons </v>
      </c>
      <c r="Q241">
        <f t="shared" si="7"/>
        <v>879.1994653674484</v>
      </c>
    </row>
    <row r="242" spans="1:17" x14ac:dyDescent="0.2">
      <c r="A242" t="s">
        <v>65</v>
      </c>
      <c r="C242" t="s">
        <v>60</v>
      </c>
      <c r="D242" s="171">
        <v>162.55220611920439</v>
      </c>
      <c r="E242" s="171">
        <v>148.83501994163603</v>
      </c>
      <c r="F242" s="171">
        <v>147.57196990271112</v>
      </c>
      <c r="G242" s="171">
        <v>151.88897484169306</v>
      </c>
      <c r="H242" s="171">
        <v>126.58984361647545</v>
      </c>
      <c r="I242" s="171">
        <v>145.70571746456295</v>
      </c>
      <c r="J242" s="171">
        <v>165.27532847478341</v>
      </c>
      <c r="K242" s="171">
        <v>123.51717748595061</v>
      </c>
      <c r="L242" s="171">
        <v>152.39306716777</v>
      </c>
      <c r="M242" s="171">
        <v>116.73365501023753</v>
      </c>
      <c r="N242" s="171">
        <v>127.9035167874727</v>
      </c>
      <c r="O242" s="171">
        <v>137.75674469951289</v>
      </c>
      <c r="P242" t="str">
        <f t="shared" si="6"/>
        <v>NRMSW tons</v>
      </c>
      <c r="Q242">
        <f t="shared" si="7"/>
        <v>1706.7232215120102</v>
      </c>
    </row>
    <row r="243" spans="1:17" x14ac:dyDescent="0.2">
      <c r="A243" t="s">
        <v>55</v>
      </c>
      <c r="B243" t="s">
        <v>72</v>
      </c>
      <c r="C243" t="s">
        <v>56</v>
      </c>
      <c r="D243" s="172">
        <v>155</v>
      </c>
      <c r="E243" s="172">
        <v>157</v>
      </c>
      <c r="F243" s="172">
        <v>157</v>
      </c>
      <c r="G243" s="172">
        <v>156</v>
      </c>
      <c r="H243" s="172">
        <v>156</v>
      </c>
      <c r="I243" s="172">
        <v>156</v>
      </c>
      <c r="J243" s="172">
        <v>157</v>
      </c>
      <c r="K243" s="172">
        <v>154</v>
      </c>
      <c r="L243" s="170">
        <v>155</v>
      </c>
      <c r="M243" s="170">
        <v>155</v>
      </c>
      <c r="N243" s="172">
        <v>156</v>
      </c>
      <c r="O243" s="172">
        <v>154</v>
      </c>
      <c r="P243" t="str">
        <f t="shared" si="6"/>
        <v>RREC cust</v>
      </c>
      <c r="Q243">
        <f t="shared" si="7"/>
        <v>1868</v>
      </c>
    </row>
    <row r="244" spans="1:17" x14ac:dyDescent="0.2">
      <c r="A244" t="s">
        <v>55</v>
      </c>
      <c r="C244" t="s">
        <v>57</v>
      </c>
      <c r="D244" s="172">
        <v>93</v>
      </c>
      <c r="E244" s="172">
        <v>92</v>
      </c>
      <c r="F244" s="172">
        <v>92</v>
      </c>
      <c r="G244" s="172">
        <v>89</v>
      </c>
      <c r="H244" s="172">
        <v>89</v>
      </c>
      <c r="I244" s="172">
        <v>90</v>
      </c>
      <c r="J244" s="172">
        <v>90</v>
      </c>
      <c r="K244" s="172">
        <v>89</v>
      </c>
      <c r="L244" s="170">
        <v>89</v>
      </c>
      <c r="M244" s="170">
        <v>89</v>
      </c>
      <c r="N244" s="172">
        <v>89</v>
      </c>
      <c r="O244" s="172">
        <v>89</v>
      </c>
      <c r="P244" t="str">
        <f t="shared" si="6"/>
        <v>RYW cust</v>
      </c>
      <c r="Q244">
        <f t="shared" si="7"/>
        <v>1080</v>
      </c>
    </row>
    <row r="245" spans="1:17" x14ac:dyDescent="0.2">
      <c r="A245" t="s">
        <v>55</v>
      </c>
      <c r="D245" s="170"/>
      <c r="E245" s="172"/>
      <c r="F245" s="172"/>
      <c r="G245" s="172"/>
      <c r="H245" s="170"/>
      <c r="I245" s="172"/>
      <c r="J245" s="172"/>
      <c r="K245" s="172"/>
      <c r="L245" s="172"/>
      <c r="M245" s="172"/>
      <c r="N245" s="170"/>
      <c r="O245" s="172"/>
      <c r="P245" t="str">
        <f t="shared" si="6"/>
        <v>R</v>
      </c>
      <c r="Q245">
        <f t="shared" si="7"/>
        <v>0</v>
      </c>
    </row>
    <row r="246" spans="1:17" x14ac:dyDescent="0.2">
      <c r="A246" t="s">
        <v>55</v>
      </c>
      <c r="C246" t="s">
        <v>58</v>
      </c>
      <c r="D246" s="171">
        <v>5.9944248240069662</v>
      </c>
      <c r="E246" s="171">
        <v>6.1860404162875593</v>
      </c>
      <c r="F246" s="171">
        <v>5.56</v>
      </c>
      <c r="G246" s="171">
        <v>8.3451179376903433</v>
      </c>
      <c r="H246" s="171">
        <v>6.8669393588611438</v>
      </c>
      <c r="I246" s="171">
        <v>6.2506656899236104</v>
      </c>
      <c r="J246" s="171">
        <v>7.1288270258993887</v>
      </c>
      <c r="K246" s="171">
        <v>7.5689120803494072</v>
      </c>
      <c r="L246" s="171">
        <v>8.9379677663764934</v>
      </c>
      <c r="M246" s="171">
        <v>5.3675716961796143</v>
      </c>
      <c r="N246" s="101">
        <v>5.8334900801637346</v>
      </c>
      <c r="O246" s="101">
        <v>5.6297809821486648</v>
      </c>
      <c r="P246" t="str">
        <f t="shared" si="6"/>
        <v>RRec tons</v>
      </c>
      <c r="Q246">
        <f t="shared" si="7"/>
        <v>79.669737857886915</v>
      </c>
    </row>
    <row r="247" spans="1:17" x14ac:dyDescent="0.2">
      <c r="A247" t="s">
        <v>55</v>
      </c>
      <c r="C247" t="s">
        <v>59</v>
      </c>
      <c r="D247" s="171">
        <v>16.998526473541965</v>
      </c>
      <c r="E247" s="171">
        <v>11.419682133479334</v>
      </c>
      <c r="F247" s="171">
        <v>11.13</v>
      </c>
      <c r="G247" s="171">
        <v>7.3985900007748313</v>
      </c>
      <c r="H247" s="171">
        <v>6.9691795561493155</v>
      </c>
      <c r="I247" s="171">
        <v>6.8403037490821799</v>
      </c>
      <c r="J247" s="171">
        <v>18.741461457351207</v>
      </c>
      <c r="K247" s="171">
        <v>7.5671287761156139</v>
      </c>
      <c r="L247" s="171">
        <v>6.7272090010693137</v>
      </c>
      <c r="M247" s="171">
        <v>6.1472190683727703</v>
      </c>
      <c r="N247" s="101">
        <v>6.4562845982678914</v>
      </c>
      <c r="O247" s="101">
        <v>8.1265059377347981</v>
      </c>
      <c r="P247" t="str">
        <f t="shared" si="6"/>
        <v xml:space="preserve">RYW tons </v>
      </c>
      <c r="Q247">
        <f t="shared" si="7"/>
        <v>114.5220907519392</v>
      </c>
    </row>
    <row r="248" spans="1:17" x14ac:dyDescent="0.2">
      <c r="A248" t="s">
        <v>55</v>
      </c>
      <c r="C248" t="s">
        <v>60</v>
      </c>
      <c r="D248" s="171">
        <v>11.92258484657949</v>
      </c>
      <c r="E248" s="171">
        <v>10.417100270801093</v>
      </c>
      <c r="F248" s="171">
        <v>10.47</v>
      </c>
      <c r="G248" s="171">
        <v>13.443114187243555</v>
      </c>
      <c r="H248" s="171">
        <v>10.56935215088787</v>
      </c>
      <c r="I248" s="171">
        <v>9.3053232353297624</v>
      </c>
      <c r="J248" s="171">
        <v>13.162119935237875</v>
      </c>
      <c r="K248" s="171">
        <v>10.126498093199647</v>
      </c>
      <c r="L248" s="171">
        <v>12.151211383135795</v>
      </c>
      <c r="M248" s="171">
        <v>8.8854135126021703</v>
      </c>
      <c r="N248" s="101">
        <v>9.1350756314803991</v>
      </c>
      <c r="O248" s="101">
        <v>8.9158534189357681</v>
      </c>
      <c r="P248" t="str">
        <f t="shared" si="6"/>
        <v>RMSW tons</v>
      </c>
      <c r="Q248">
        <f t="shared" si="7"/>
        <v>128.50364666543342</v>
      </c>
    </row>
    <row r="249" spans="1:17" x14ac:dyDescent="0.2">
      <c r="A249" t="s">
        <v>55</v>
      </c>
      <c r="B249" t="s">
        <v>73</v>
      </c>
      <c r="C249" t="s">
        <v>56</v>
      </c>
      <c r="D249" s="172">
        <v>100</v>
      </c>
      <c r="E249" s="172">
        <v>98</v>
      </c>
      <c r="F249" s="172">
        <v>103</v>
      </c>
      <c r="G249" s="172">
        <v>102</v>
      </c>
      <c r="H249" s="172">
        <v>104</v>
      </c>
      <c r="I249" s="172">
        <v>104</v>
      </c>
      <c r="J249" s="172">
        <v>104</v>
      </c>
      <c r="K249" s="172">
        <v>105</v>
      </c>
      <c r="L249" s="170">
        <v>105</v>
      </c>
      <c r="M249" s="170">
        <v>105</v>
      </c>
      <c r="N249" s="172">
        <v>105</v>
      </c>
      <c r="O249" s="172">
        <v>106</v>
      </c>
      <c r="P249" t="str">
        <f t="shared" si="6"/>
        <v>RREC cust</v>
      </c>
      <c r="Q249">
        <f t="shared" si="7"/>
        <v>1241</v>
      </c>
    </row>
    <row r="250" spans="1:17" x14ac:dyDescent="0.2">
      <c r="A250" t="s">
        <v>55</v>
      </c>
      <c r="C250" t="s">
        <v>57</v>
      </c>
      <c r="D250" s="172">
        <v>93</v>
      </c>
      <c r="E250" s="172">
        <v>91</v>
      </c>
      <c r="F250" s="172">
        <v>92</v>
      </c>
      <c r="G250" s="172">
        <v>92</v>
      </c>
      <c r="H250" s="172">
        <v>93</v>
      </c>
      <c r="I250" s="172">
        <v>94</v>
      </c>
      <c r="J250" s="172">
        <v>94</v>
      </c>
      <c r="K250" s="172">
        <v>94</v>
      </c>
      <c r="L250" s="170">
        <v>95</v>
      </c>
      <c r="M250" s="170">
        <v>94</v>
      </c>
      <c r="N250" s="172">
        <v>94</v>
      </c>
      <c r="O250" s="172">
        <v>95</v>
      </c>
      <c r="P250" t="str">
        <f t="shared" si="6"/>
        <v>RYW cust</v>
      </c>
      <c r="Q250">
        <f t="shared" si="7"/>
        <v>1121</v>
      </c>
    </row>
    <row r="251" spans="1:17" x14ac:dyDescent="0.2">
      <c r="A251" t="s">
        <v>55</v>
      </c>
      <c r="D251" s="170"/>
      <c r="E251" s="172"/>
      <c r="F251" s="172"/>
      <c r="G251" s="172"/>
      <c r="H251" s="170"/>
      <c r="I251" s="172"/>
      <c r="J251" s="172"/>
      <c r="K251" s="172"/>
      <c r="L251" s="170"/>
      <c r="M251" s="172"/>
      <c r="N251" s="170"/>
      <c r="O251" s="172"/>
      <c r="P251" t="str">
        <f t="shared" si="6"/>
        <v>R</v>
      </c>
      <c r="Q251">
        <f t="shared" si="7"/>
        <v>0</v>
      </c>
    </row>
    <row r="252" spans="1:17" x14ac:dyDescent="0.2">
      <c r="A252" t="s">
        <v>55</v>
      </c>
      <c r="C252" t="s">
        <v>58</v>
      </c>
      <c r="D252" s="171">
        <v>4.3289254464618612</v>
      </c>
      <c r="E252" s="171">
        <v>3.3821863503535443</v>
      </c>
      <c r="F252" s="171">
        <v>3.4657060986206996</v>
      </c>
      <c r="G252" s="171">
        <v>4.3177577887721421</v>
      </c>
      <c r="H252" s="171">
        <v>3.7343244165931955</v>
      </c>
      <c r="I252" s="171">
        <v>4.4193334191773381</v>
      </c>
      <c r="J252" s="171">
        <v>5.1585479857125129</v>
      </c>
      <c r="K252" s="171">
        <v>4.8224577869068472</v>
      </c>
      <c r="L252" s="171">
        <v>4.8464979377452222</v>
      </c>
      <c r="M252" s="171">
        <v>3.8968418852132491</v>
      </c>
      <c r="N252" s="101">
        <v>4.1209733079203641</v>
      </c>
      <c r="O252" s="101">
        <v>4.2325317479661928</v>
      </c>
      <c r="P252" t="str">
        <f t="shared" si="6"/>
        <v>RRec tons</v>
      </c>
      <c r="Q252">
        <f t="shared" si="7"/>
        <v>50.726084171443169</v>
      </c>
    </row>
    <row r="253" spans="1:17" x14ac:dyDescent="0.2">
      <c r="A253" t="s">
        <v>55</v>
      </c>
      <c r="C253" t="s">
        <v>59</v>
      </c>
      <c r="D253" s="171">
        <v>8.6297024082197158</v>
      </c>
      <c r="E253" s="171">
        <v>6.7878541105392225</v>
      </c>
      <c r="F253" s="171">
        <v>6.0387314770448004</v>
      </c>
      <c r="G253" s="171">
        <v>5.5185921347770766</v>
      </c>
      <c r="H253" s="171">
        <v>4.035169576702768</v>
      </c>
      <c r="I253" s="171">
        <v>6.2129101349791211</v>
      </c>
      <c r="J253" s="171">
        <v>8.1138645127562778</v>
      </c>
      <c r="K253" s="171">
        <v>5.2486815925548278</v>
      </c>
      <c r="L253" s="171">
        <v>4.1227648176232803</v>
      </c>
      <c r="M253" s="171">
        <v>3.3892524547228504</v>
      </c>
      <c r="N253" s="101">
        <v>5.2458064741535946</v>
      </c>
      <c r="O253" s="101">
        <v>5.0427223927183897</v>
      </c>
      <c r="P253" t="str">
        <f t="shared" si="6"/>
        <v xml:space="preserve">RYW tons </v>
      </c>
      <c r="Q253">
        <f t="shared" si="7"/>
        <v>68.386052086791921</v>
      </c>
    </row>
    <row r="254" spans="1:17" x14ac:dyDescent="0.2">
      <c r="A254" t="s">
        <v>55</v>
      </c>
      <c r="C254" t="s">
        <v>60</v>
      </c>
      <c r="D254" s="171">
        <v>5.702718887215978</v>
      </c>
      <c r="E254" s="171">
        <v>4.5319558756679363</v>
      </c>
      <c r="F254" s="171">
        <v>4.520200096595568</v>
      </c>
      <c r="G254" s="171">
        <v>5.8569743027461216</v>
      </c>
      <c r="H254" s="171">
        <v>4.7871870859905146</v>
      </c>
      <c r="I254" s="171">
        <v>5.181408012759694</v>
      </c>
      <c r="J254" s="171">
        <v>4.556886087134874</v>
      </c>
      <c r="K254" s="171">
        <v>4.5039625713238358</v>
      </c>
      <c r="L254" s="171">
        <v>5.7235589205453214</v>
      </c>
      <c r="M254" s="171">
        <v>4.1687101306984813</v>
      </c>
      <c r="N254" s="101">
        <v>4.2405973561297898</v>
      </c>
      <c r="O254" s="101">
        <v>4.2371261917586489</v>
      </c>
      <c r="P254" t="str">
        <f t="shared" si="6"/>
        <v>RMSW tons</v>
      </c>
      <c r="Q254">
        <f t="shared" si="7"/>
        <v>58.011285518566758</v>
      </c>
    </row>
    <row r="255" spans="1:17" x14ac:dyDescent="0.2">
      <c r="A255" t="s">
        <v>65</v>
      </c>
      <c r="B255" t="s">
        <v>74</v>
      </c>
      <c r="C255" t="s">
        <v>56</v>
      </c>
      <c r="D255" s="172">
        <v>3898</v>
      </c>
      <c r="E255" s="172">
        <v>3894</v>
      </c>
      <c r="F255" s="172">
        <v>3901</v>
      </c>
      <c r="G255" s="172">
        <v>3910</v>
      </c>
      <c r="H255" s="172">
        <v>3904</v>
      </c>
      <c r="I255" s="172">
        <v>3909</v>
      </c>
      <c r="J255" s="172">
        <v>3915</v>
      </c>
      <c r="K255" s="172">
        <v>3908</v>
      </c>
      <c r="L255" s="170">
        <v>3913</v>
      </c>
      <c r="M255" s="170">
        <v>3910</v>
      </c>
      <c r="N255" s="172">
        <v>3925</v>
      </c>
      <c r="O255" s="172">
        <v>3931</v>
      </c>
      <c r="P255" t="str">
        <f t="shared" si="6"/>
        <v>NRREC cust</v>
      </c>
      <c r="Q255">
        <f t="shared" si="7"/>
        <v>46918</v>
      </c>
    </row>
    <row r="256" spans="1:17" x14ac:dyDescent="0.2">
      <c r="A256" t="s">
        <v>65</v>
      </c>
      <c r="C256" t="s">
        <v>57</v>
      </c>
      <c r="D256" s="172">
        <v>3558</v>
      </c>
      <c r="E256" s="172">
        <v>3565</v>
      </c>
      <c r="F256" s="172">
        <v>3572</v>
      </c>
      <c r="G256" s="172">
        <v>3587</v>
      </c>
      <c r="H256" s="172">
        <v>3607</v>
      </c>
      <c r="I256" s="172">
        <v>3613</v>
      </c>
      <c r="J256" s="172">
        <v>3619</v>
      </c>
      <c r="K256" s="172">
        <v>3615</v>
      </c>
      <c r="L256" s="170">
        <v>3621</v>
      </c>
      <c r="M256" s="170">
        <v>3621</v>
      </c>
      <c r="N256" s="172">
        <v>3638</v>
      </c>
      <c r="O256" s="172">
        <v>3649</v>
      </c>
      <c r="P256" t="str">
        <f t="shared" si="6"/>
        <v>NRYW cust</v>
      </c>
      <c r="Q256">
        <f t="shared" si="7"/>
        <v>43265</v>
      </c>
    </row>
    <row r="257" spans="1:17" x14ac:dyDescent="0.2">
      <c r="A257" t="s">
        <v>65</v>
      </c>
      <c r="D257" s="170"/>
      <c r="E257" s="172"/>
      <c r="F257" s="172"/>
      <c r="G257" s="172"/>
      <c r="H257" s="170"/>
      <c r="I257" s="172"/>
      <c r="J257" s="172"/>
      <c r="K257" s="172"/>
      <c r="L257" s="170"/>
      <c r="M257" s="172"/>
      <c r="N257" s="170"/>
      <c r="O257" s="172"/>
      <c r="P257" t="str">
        <f t="shared" si="6"/>
        <v>NR</v>
      </c>
      <c r="Q257">
        <f t="shared" si="7"/>
        <v>0</v>
      </c>
    </row>
    <row r="258" spans="1:17" x14ac:dyDescent="0.2">
      <c r="A258" t="s">
        <v>65</v>
      </c>
      <c r="C258" t="s">
        <v>58</v>
      </c>
      <c r="D258" s="171">
        <v>143.4118436723214</v>
      </c>
      <c r="E258" s="171">
        <v>135.62141214517263</v>
      </c>
      <c r="F258" s="171">
        <v>143.74</v>
      </c>
      <c r="G258" s="171">
        <v>139.9155672088753</v>
      </c>
      <c r="H258" s="171">
        <v>129.5835897094737</v>
      </c>
      <c r="I258" s="171">
        <v>137.98810330683517</v>
      </c>
      <c r="J258" s="171">
        <v>163.10298263203052</v>
      </c>
      <c r="K258" s="171">
        <v>146.59229017579554</v>
      </c>
      <c r="L258" s="171">
        <v>158.48765352331631</v>
      </c>
      <c r="M258" s="171">
        <v>119.79908558973756</v>
      </c>
      <c r="N258" s="171">
        <v>136.85336493484235</v>
      </c>
      <c r="O258" s="171">
        <v>132.37902514750664</v>
      </c>
      <c r="P258" t="str">
        <f t="shared" si="6"/>
        <v>NRRec tons</v>
      </c>
      <c r="Q258">
        <f t="shared" si="7"/>
        <v>1687.4749180459073</v>
      </c>
    </row>
    <row r="259" spans="1:17" x14ac:dyDescent="0.2">
      <c r="A259" t="s">
        <v>65</v>
      </c>
      <c r="C259" t="s">
        <v>59</v>
      </c>
      <c r="D259" s="171">
        <v>336.5679169922746</v>
      </c>
      <c r="E259" s="171">
        <v>294.71844292007438</v>
      </c>
      <c r="F259" s="171">
        <v>276.12</v>
      </c>
      <c r="G259" s="171">
        <v>229.37871624239918</v>
      </c>
      <c r="H259" s="171">
        <v>181.61986891477576</v>
      </c>
      <c r="I259" s="171">
        <v>182.59634720915727</v>
      </c>
      <c r="J259" s="171">
        <v>323.93188907750147</v>
      </c>
      <c r="K259" s="171">
        <v>171.22201928768607</v>
      </c>
      <c r="L259" s="171">
        <v>132.22505389251771</v>
      </c>
      <c r="M259" s="171">
        <v>120.11439654249865</v>
      </c>
      <c r="N259" s="171">
        <v>198.50539653252468</v>
      </c>
      <c r="O259" s="171">
        <v>274.56358129094161</v>
      </c>
      <c r="P259" t="str">
        <f t="shared" si="6"/>
        <v xml:space="preserve">NRYW tons </v>
      </c>
      <c r="Q259">
        <f t="shared" si="7"/>
        <v>2721.5636289023514</v>
      </c>
    </row>
    <row r="260" spans="1:17" x14ac:dyDescent="0.2">
      <c r="A260" t="s">
        <v>65</v>
      </c>
      <c r="C260" t="s">
        <v>60</v>
      </c>
      <c r="D260" s="171">
        <v>178.75775484524991</v>
      </c>
      <c r="E260" s="171">
        <v>179.30036644928151</v>
      </c>
      <c r="F260" s="171">
        <v>178.67</v>
      </c>
      <c r="G260" s="171">
        <v>195.31444464230552</v>
      </c>
      <c r="H260" s="171">
        <v>161.61135925204925</v>
      </c>
      <c r="I260" s="171">
        <v>171.97668245787244</v>
      </c>
      <c r="J260" s="171">
        <v>183.71484427750977</v>
      </c>
      <c r="K260" s="171">
        <v>166.71971909975258</v>
      </c>
      <c r="L260" s="171">
        <v>178.49154999177392</v>
      </c>
      <c r="M260" s="171">
        <v>147.79811325774605</v>
      </c>
      <c r="N260" s="171">
        <v>164.005005228149</v>
      </c>
      <c r="O260" s="171">
        <v>167.3822528435978</v>
      </c>
      <c r="P260" t="str">
        <f t="shared" ref="P260:P320" si="8">CONCATENATE(A260,C260)</f>
        <v>NRMSW tons</v>
      </c>
      <c r="Q260">
        <f t="shared" ref="Q260:Q320" si="9">SUM(D260:O260)</f>
        <v>2073.7420923452873</v>
      </c>
    </row>
    <row r="261" spans="1:17" x14ac:dyDescent="0.2">
      <c r="A261" t="s">
        <v>65</v>
      </c>
      <c r="B261" t="s">
        <v>75</v>
      </c>
      <c r="C261" t="s">
        <v>56</v>
      </c>
      <c r="D261" s="172">
        <v>27312</v>
      </c>
      <c r="E261" s="172">
        <v>28898</v>
      </c>
      <c r="F261" s="172">
        <v>28890</v>
      </c>
      <c r="G261" s="172">
        <v>28893</v>
      </c>
      <c r="H261" s="172">
        <v>28966</v>
      </c>
      <c r="I261" s="172">
        <v>29021</v>
      </c>
      <c r="J261" s="172">
        <v>28999</v>
      </c>
      <c r="K261" s="172">
        <v>28924</v>
      </c>
      <c r="L261" s="170">
        <v>28928</v>
      </c>
      <c r="M261" s="170">
        <v>28947</v>
      </c>
      <c r="N261" s="172">
        <v>29039</v>
      </c>
      <c r="O261" s="172">
        <v>29141</v>
      </c>
      <c r="P261" t="str">
        <f t="shared" si="8"/>
        <v>NRREC cust</v>
      </c>
      <c r="Q261">
        <f t="shared" si="9"/>
        <v>345958</v>
      </c>
    </row>
    <row r="262" spans="1:17" x14ac:dyDescent="0.2">
      <c r="A262" t="s">
        <v>65</v>
      </c>
      <c r="C262" t="s">
        <v>57</v>
      </c>
      <c r="D262" s="172">
        <v>25009</v>
      </c>
      <c r="E262" s="172">
        <v>26030</v>
      </c>
      <c r="F262" s="172">
        <v>26052</v>
      </c>
      <c r="G262" s="172">
        <v>26063</v>
      </c>
      <c r="H262" s="172">
        <v>26148</v>
      </c>
      <c r="I262" s="172">
        <v>26201</v>
      </c>
      <c r="J262" s="172">
        <v>26166</v>
      </c>
      <c r="K262" s="172">
        <v>26091</v>
      </c>
      <c r="L262" s="170">
        <v>26101</v>
      </c>
      <c r="M262" s="170">
        <v>26116</v>
      </c>
      <c r="N262" s="172">
        <v>26215</v>
      </c>
      <c r="O262" s="172">
        <v>26336</v>
      </c>
      <c r="P262" t="str">
        <f t="shared" si="8"/>
        <v>NRYW cust</v>
      </c>
      <c r="Q262">
        <f t="shared" si="9"/>
        <v>312528</v>
      </c>
    </row>
    <row r="263" spans="1:17" x14ac:dyDescent="0.2">
      <c r="A263" t="s">
        <v>65</v>
      </c>
      <c r="D263" s="170"/>
      <c r="E263" s="172"/>
      <c r="F263" s="172"/>
      <c r="G263" s="172"/>
      <c r="H263" s="170"/>
      <c r="I263" s="172"/>
      <c r="J263" s="172"/>
      <c r="K263" s="172"/>
      <c r="L263" s="172"/>
      <c r="M263" s="172"/>
      <c r="N263" s="170"/>
      <c r="O263" s="172"/>
      <c r="P263" t="str">
        <f t="shared" si="8"/>
        <v>NR</v>
      </c>
      <c r="Q263">
        <f t="shared" si="9"/>
        <v>0</v>
      </c>
    </row>
    <row r="264" spans="1:17" x14ac:dyDescent="0.2">
      <c r="A264" t="s">
        <v>65</v>
      </c>
      <c r="C264" t="s">
        <v>58</v>
      </c>
      <c r="D264" s="171">
        <v>1003.4936615451162</v>
      </c>
      <c r="E264" s="171">
        <v>974.08687049327045</v>
      </c>
      <c r="F264" s="171">
        <v>1017.3012530309485</v>
      </c>
      <c r="G264" s="171">
        <v>1046.4211273789679</v>
      </c>
      <c r="H264" s="171">
        <v>963.22355836736608</v>
      </c>
      <c r="I264" s="171">
        <v>1109.7626305803908</v>
      </c>
      <c r="J264" s="171">
        <v>1178.0994261023654</v>
      </c>
      <c r="K264" s="171">
        <v>1110.7384006527286</v>
      </c>
      <c r="L264" s="171">
        <v>1114.5327283281274</v>
      </c>
      <c r="M264" s="171">
        <v>868.67099278471039</v>
      </c>
      <c r="N264" s="101">
        <v>940.18107757177086</v>
      </c>
      <c r="O264" s="101">
        <v>1021.4774163357215</v>
      </c>
      <c r="P264" t="str">
        <f t="shared" si="8"/>
        <v>NRRec tons</v>
      </c>
      <c r="Q264">
        <f t="shared" si="9"/>
        <v>12347.989143171484</v>
      </c>
    </row>
    <row r="265" spans="1:17" x14ac:dyDescent="0.2">
      <c r="A265" t="s">
        <v>65</v>
      </c>
      <c r="C265" t="s">
        <v>59</v>
      </c>
      <c r="D265" s="171">
        <v>2645.5070628319199</v>
      </c>
      <c r="E265" s="171">
        <v>2355.814308931052</v>
      </c>
      <c r="F265" s="171">
        <v>2243.3328989201591</v>
      </c>
      <c r="G265" s="171">
        <v>1625.7611503879002</v>
      </c>
      <c r="H265" s="171">
        <v>1284.695843946399</v>
      </c>
      <c r="I265" s="171">
        <v>1614.6042852277828</v>
      </c>
      <c r="J265" s="171">
        <v>2669.2991529803544</v>
      </c>
      <c r="K265" s="171">
        <v>1328.860175945299</v>
      </c>
      <c r="L265" s="171">
        <v>940.52360644637656</v>
      </c>
      <c r="M265" s="171">
        <v>992.23196896854131</v>
      </c>
      <c r="N265" s="101">
        <v>1628.4272894694493</v>
      </c>
      <c r="O265" s="101">
        <v>2165.1583786126921</v>
      </c>
      <c r="P265" t="str">
        <f t="shared" si="8"/>
        <v xml:space="preserve">NRYW tons </v>
      </c>
      <c r="Q265">
        <f t="shared" si="9"/>
        <v>21494.216122667924</v>
      </c>
    </row>
    <row r="266" spans="1:17" x14ac:dyDescent="0.2">
      <c r="A266" t="s">
        <v>65</v>
      </c>
      <c r="C266" t="s">
        <v>60</v>
      </c>
      <c r="D266" s="171">
        <v>1312.2800626633837</v>
      </c>
      <c r="E266" s="171">
        <v>1318.412847888143</v>
      </c>
      <c r="F266" s="171">
        <v>1410.1372342101106</v>
      </c>
      <c r="G266" s="171">
        <v>1432.7636447131592</v>
      </c>
      <c r="H266" s="171">
        <v>1245.6756216441056</v>
      </c>
      <c r="I266" s="171">
        <v>1349.5301364919676</v>
      </c>
      <c r="J266" s="171">
        <v>1368.6998083542219</v>
      </c>
      <c r="K266" s="171">
        <v>1274.22</v>
      </c>
      <c r="L266" s="171">
        <v>1371.1825594102204</v>
      </c>
      <c r="M266" s="171">
        <v>1118.0602464925448</v>
      </c>
      <c r="N266" s="101">
        <v>1186.051882774181</v>
      </c>
      <c r="O266" s="101">
        <v>1295.6145672791465</v>
      </c>
      <c r="P266" t="str">
        <f t="shared" si="8"/>
        <v>NRMSW tons</v>
      </c>
      <c r="Q266">
        <f t="shared" si="9"/>
        <v>15682.628611921184</v>
      </c>
    </row>
    <row r="267" spans="1:17" x14ac:dyDescent="0.2">
      <c r="A267" t="s">
        <v>65</v>
      </c>
      <c r="B267" t="s">
        <v>76</v>
      </c>
      <c r="C267" t="s">
        <v>56</v>
      </c>
      <c r="D267" s="172">
        <v>1011</v>
      </c>
      <c r="E267" s="172">
        <v>999</v>
      </c>
      <c r="F267" s="172">
        <v>1005</v>
      </c>
      <c r="G267" s="172">
        <v>1006</v>
      </c>
      <c r="H267" s="172">
        <v>1004</v>
      </c>
      <c r="I267" s="172">
        <v>999</v>
      </c>
      <c r="J267" s="172">
        <v>998</v>
      </c>
      <c r="K267" s="172">
        <v>993</v>
      </c>
      <c r="L267" s="170">
        <v>985</v>
      </c>
      <c r="M267" s="170">
        <v>986</v>
      </c>
      <c r="N267" s="172">
        <v>990</v>
      </c>
      <c r="O267" s="172">
        <v>994</v>
      </c>
      <c r="P267" t="str">
        <f t="shared" si="8"/>
        <v>NRREC cust</v>
      </c>
      <c r="Q267">
        <f t="shared" si="9"/>
        <v>11970</v>
      </c>
    </row>
    <row r="268" spans="1:17" x14ac:dyDescent="0.2">
      <c r="A268" t="s">
        <v>65</v>
      </c>
      <c r="C268" t="s">
        <v>57</v>
      </c>
      <c r="D268" s="172">
        <v>770</v>
      </c>
      <c r="E268" s="172">
        <v>768</v>
      </c>
      <c r="F268" s="172">
        <v>773</v>
      </c>
      <c r="G268" s="172">
        <v>778</v>
      </c>
      <c r="H268" s="172">
        <v>772</v>
      </c>
      <c r="I268" s="172">
        <v>768</v>
      </c>
      <c r="J268" s="172">
        <v>766</v>
      </c>
      <c r="K268" s="172">
        <v>760</v>
      </c>
      <c r="L268" s="170">
        <v>755</v>
      </c>
      <c r="M268" s="170">
        <v>757</v>
      </c>
      <c r="N268" s="172">
        <v>762</v>
      </c>
      <c r="O268" s="172">
        <v>771</v>
      </c>
      <c r="P268" t="str">
        <f t="shared" si="8"/>
        <v>NRYW cust</v>
      </c>
      <c r="Q268">
        <f t="shared" si="9"/>
        <v>9200</v>
      </c>
    </row>
    <row r="269" spans="1:17" x14ac:dyDescent="0.2">
      <c r="A269" t="s">
        <v>65</v>
      </c>
      <c r="D269" s="170"/>
      <c r="E269" s="172"/>
      <c r="F269" s="172"/>
      <c r="G269" s="172"/>
      <c r="H269" s="170"/>
      <c r="I269" s="172"/>
      <c r="J269" s="172"/>
      <c r="K269" s="172"/>
      <c r="L269" s="172"/>
      <c r="M269" s="172"/>
      <c r="N269" s="170"/>
      <c r="O269" s="172"/>
      <c r="P269" t="str">
        <f t="shared" si="8"/>
        <v>NR</v>
      </c>
      <c r="Q269">
        <f t="shared" si="9"/>
        <v>0</v>
      </c>
    </row>
    <row r="270" spans="1:17" x14ac:dyDescent="0.2">
      <c r="A270" t="s">
        <v>65</v>
      </c>
      <c r="C270" t="s">
        <v>58</v>
      </c>
      <c r="D270" s="171">
        <v>37.494394289252767</v>
      </c>
      <c r="E270" s="171">
        <v>40.292939898659853</v>
      </c>
      <c r="F270" s="171">
        <v>35.256505153975532</v>
      </c>
      <c r="G270" s="171">
        <v>38.218613381364605</v>
      </c>
      <c r="H270" s="171">
        <v>40.362397019401257</v>
      </c>
      <c r="I270" s="171">
        <v>42.315854802120519</v>
      </c>
      <c r="J270" s="171">
        <v>50.147027979657658</v>
      </c>
      <c r="K270" s="171">
        <v>44.327376990603064</v>
      </c>
      <c r="L270" s="171">
        <v>32.842055879700588</v>
      </c>
      <c r="M270" s="171">
        <v>32.191770452777199</v>
      </c>
      <c r="N270" s="101">
        <v>42.219289326214138</v>
      </c>
      <c r="O270" s="101">
        <v>37.242021667452072</v>
      </c>
      <c r="P270" t="str">
        <f t="shared" si="8"/>
        <v>NRRec tons</v>
      </c>
      <c r="Q270">
        <f t="shared" si="9"/>
        <v>472.91024684117929</v>
      </c>
    </row>
    <row r="271" spans="1:17" x14ac:dyDescent="0.2">
      <c r="A271" t="s">
        <v>65</v>
      </c>
      <c r="C271" t="s">
        <v>59</v>
      </c>
      <c r="D271" s="171">
        <v>86.796657596736296</v>
      </c>
      <c r="E271" s="171">
        <v>112.44859198393674</v>
      </c>
      <c r="F271" s="171">
        <v>90.876768849225471</v>
      </c>
      <c r="G271" s="171">
        <v>63.232432820257372</v>
      </c>
      <c r="H271" s="171">
        <v>44.80233535829592</v>
      </c>
      <c r="I271" s="171">
        <v>60.016857092871085</v>
      </c>
      <c r="J271" s="171">
        <v>126.13873283864359</v>
      </c>
      <c r="K271" s="171">
        <v>47.837210591506292</v>
      </c>
      <c r="L271" s="171">
        <v>34.393917198116391</v>
      </c>
      <c r="M271" s="171">
        <v>32.575177874154292</v>
      </c>
      <c r="N271" s="101">
        <v>68.649764209320935</v>
      </c>
      <c r="O271" s="101">
        <v>75.289371928169402</v>
      </c>
      <c r="P271" t="str">
        <f t="shared" si="8"/>
        <v xml:space="preserve">NRYW tons </v>
      </c>
      <c r="Q271">
        <f t="shared" si="9"/>
        <v>843.05781834123366</v>
      </c>
    </row>
    <row r="272" spans="1:17" x14ac:dyDescent="0.2">
      <c r="A272" t="s">
        <v>65</v>
      </c>
      <c r="C272" t="s">
        <v>60</v>
      </c>
      <c r="D272" s="171">
        <v>56.577160203130319</v>
      </c>
      <c r="E272" s="171">
        <v>70.397185135288041</v>
      </c>
      <c r="F272" s="171">
        <v>54.524991217242992</v>
      </c>
      <c r="G272" s="171">
        <v>71.906071926251855</v>
      </c>
      <c r="H272" s="171">
        <v>56.530228713594845</v>
      </c>
      <c r="I272" s="171">
        <v>52.128682183426605</v>
      </c>
      <c r="J272" s="171">
        <v>73.473562600674299</v>
      </c>
      <c r="K272" s="171">
        <v>54.290387141371347</v>
      </c>
      <c r="L272" s="171">
        <v>56.643191121618251</v>
      </c>
      <c r="M272" s="171">
        <v>47.661861170886503</v>
      </c>
      <c r="N272" s="101">
        <v>61.70435183999097</v>
      </c>
      <c r="O272" s="101">
        <v>51.636710649331675</v>
      </c>
      <c r="P272" t="str">
        <f t="shared" si="8"/>
        <v>NRMSW tons</v>
      </c>
      <c r="Q272">
        <f t="shared" si="9"/>
        <v>707.47438390280774</v>
      </c>
    </row>
    <row r="273" spans="1:17" x14ac:dyDescent="0.2">
      <c r="A273" t="s">
        <v>55</v>
      </c>
      <c r="B273" t="s">
        <v>77</v>
      </c>
      <c r="C273" t="s">
        <v>56</v>
      </c>
      <c r="D273" s="172">
        <v>1037</v>
      </c>
      <c r="E273" s="172">
        <v>1039</v>
      </c>
      <c r="F273" s="172">
        <v>1034</v>
      </c>
      <c r="G273" s="172">
        <v>1040</v>
      </c>
      <c r="H273" s="172">
        <v>1034</v>
      </c>
      <c r="I273" s="172">
        <v>1040</v>
      </c>
      <c r="J273" s="172">
        <v>1035</v>
      </c>
      <c r="K273" s="172">
        <v>1029</v>
      </c>
      <c r="L273" s="170">
        <v>1020</v>
      </c>
      <c r="M273" s="170">
        <v>1017</v>
      </c>
      <c r="N273" s="172">
        <v>1015</v>
      </c>
      <c r="O273" s="172">
        <v>1016</v>
      </c>
      <c r="P273" t="str">
        <f t="shared" si="8"/>
        <v>RREC cust</v>
      </c>
      <c r="Q273">
        <f t="shared" si="9"/>
        <v>12356</v>
      </c>
    </row>
    <row r="274" spans="1:17" x14ac:dyDescent="0.2">
      <c r="A274" t="s">
        <v>55</v>
      </c>
      <c r="C274" t="s">
        <v>57</v>
      </c>
      <c r="D274" s="172">
        <v>721</v>
      </c>
      <c r="E274" s="172">
        <v>726</v>
      </c>
      <c r="F274" s="172">
        <v>724</v>
      </c>
      <c r="G274" s="172">
        <v>727</v>
      </c>
      <c r="H274" s="172">
        <v>724</v>
      </c>
      <c r="I274" s="172">
        <v>725</v>
      </c>
      <c r="J274" s="172">
        <v>714</v>
      </c>
      <c r="K274" s="172">
        <v>702</v>
      </c>
      <c r="L274" s="170">
        <v>695</v>
      </c>
      <c r="M274" s="170">
        <v>694</v>
      </c>
      <c r="N274" s="172">
        <v>700</v>
      </c>
      <c r="O274" s="172">
        <v>709</v>
      </c>
      <c r="P274" t="str">
        <f t="shared" si="8"/>
        <v>RYW cust</v>
      </c>
      <c r="Q274">
        <f t="shared" si="9"/>
        <v>8561</v>
      </c>
    </row>
    <row r="275" spans="1:17" x14ac:dyDescent="0.2">
      <c r="A275" t="s">
        <v>55</v>
      </c>
      <c r="D275" s="170"/>
      <c r="E275" s="172"/>
      <c r="F275" s="172"/>
      <c r="G275" s="172"/>
      <c r="H275" s="170"/>
      <c r="I275" s="172"/>
      <c r="J275" s="172"/>
      <c r="K275" s="172"/>
      <c r="L275" s="170"/>
      <c r="M275" s="172"/>
      <c r="N275" s="170"/>
      <c r="O275" s="172"/>
      <c r="P275" t="str">
        <f t="shared" si="8"/>
        <v>R</v>
      </c>
      <c r="Q275">
        <f t="shared" si="9"/>
        <v>0</v>
      </c>
    </row>
    <row r="276" spans="1:17" x14ac:dyDescent="0.2">
      <c r="A276" t="s">
        <v>55</v>
      </c>
      <c r="C276" t="s">
        <v>58</v>
      </c>
      <c r="D276" s="171">
        <v>28.072521553451189</v>
      </c>
      <c r="E276" s="171">
        <v>41.139554369914791</v>
      </c>
      <c r="F276" s="171">
        <v>28.77</v>
      </c>
      <c r="G276" s="171">
        <v>45.075626642001239</v>
      </c>
      <c r="H276" s="171">
        <v>34.954967711154438</v>
      </c>
      <c r="I276" s="171">
        <v>33.363092411375526</v>
      </c>
      <c r="J276" s="171">
        <v>43.44165645335346</v>
      </c>
      <c r="K276" s="171">
        <v>39.177205853169099</v>
      </c>
      <c r="L276" s="171">
        <v>47.010832157452192</v>
      </c>
      <c r="M276" s="171">
        <v>30.787988187773255</v>
      </c>
      <c r="N276" s="101">
        <v>33.036484797280067</v>
      </c>
      <c r="O276" s="101">
        <v>30.173714819709918</v>
      </c>
      <c r="P276" t="str">
        <f t="shared" si="8"/>
        <v>RRec tons</v>
      </c>
      <c r="Q276">
        <f t="shared" si="9"/>
        <v>435.00364495663513</v>
      </c>
    </row>
    <row r="277" spans="1:17" x14ac:dyDescent="0.2">
      <c r="A277" t="s">
        <v>55</v>
      </c>
      <c r="C277" t="s">
        <v>59</v>
      </c>
      <c r="D277" s="171">
        <v>107.63176445199335</v>
      </c>
      <c r="E277" s="171">
        <v>89.438021293159082</v>
      </c>
      <c r="F277" s="171">
        <v>72.989999999999995</v>
      </c>
      <c r="G277" s="171">
        <v>57.300136047928284</v>
      </c>
      <c r="H277" s="171">
        <v>53.791168027680747</v>
      </c>
      <c r="I277" s="171">
        <v>48.612444412926926</v>
      </c>
      <c r="J277" s="171">
        <v>136.61788440967712</v>
      </c>
      <c r="K277" s="171">
        <v>57.30267068991931</v>
      </c>
      <c r="L277" s="171">
        <v>42.975122692628631</v>
      </c>
      <c r="M277" s="171">
        <v>38.632661758461147</v>
      </c>
      <c r="N277" s="101">
        <v>51.230635461087694</v>
      </c>
      <c r="O277" s="101">
        <v>77.523069383327538</v>
      </c>
      <c r="P277" t="str">
        <f t="shared" si="8"/>
        <v xml:space="preserve">RYW tons </v>
      </c>
      <c r="Q277">
        <f t="shared" si="9"/>
        <v>834.04557862878983</v>
      </c>
    </row>
    <row r="278" spans="1:17" x14ac:dyDescent="0.2">
      <c r="A278" t="s">
        <v>55</v>
      </c>
      <c r="C278" t="s">
        <v>60</v>
      </c>
      <c r="D278" s="171">
        <v>64.767571003065186</v>
      </c>
      <c r="E278" s="171">
        <v>63.324881930755765</v>
      </c>
      <c r="F278" s="171">
        <v>58.7</v>
      </c>
      <c r="G278" s="171">
        <v>73.19999948775839</v>
      </c>
      <c r="H278" s="171">
        <v>58.123629114769216</v>
      </c>
      <c r="I278" s="171">
        <v>51.789886706061836</v>
      </c>
      <c r="J278" s="171">
        <v>72.6438170016187</v>
      </c>
      <c r="K278" s="171">
        <v>55.409995720502359</v>
      </c>
      <c r="L278" s="171">
        <v>66.50611038619823</v>
      </c>
      <c r="M278" s="171">
        <v>49.045359459600434</v>
      </c>
      <c r="N278" s="101">
        <v>53.48881780651795</v>
      </c>
      <c r="O278" s="101">
        <v>49.283061989695959</v>
      </c>
      <c r="P278" t="str">
        <f t="shared" si="8"/>
        <v>RMSW tons</v>
      </c>
      <c r="Q278">
        <f t="shared" si="9"/>
        <v>716.28313060654398</v>
      </c>
    </row>
    <row r="279" spans="1:17" x14ac:dyDescent="0.2">
      <c r="A279" t="s">
        <v>55</v>
      </c>
      <c r="B279" t="s">
        <v>78</v>
      </c>
      <c r="C279" t="s">
        <v>56</v>
      </c>
      <c r="D279" s="172">
        <v>366</v>
      </c>
      <c r="E279" s="172">
        <v>368</v>
      </c>
      <c r="F279" s="172">
        <v>367</v>
      </c>
      <c r="G279" s="172">
        <v>368</v>
      </c>
      <c r="H279" s="172">
        <v>368</v>
      </c>
      <c r="I279" s="172">
        <v>367</v>
      </c>
      <c r="J279" s="172">
        <v>370</v>
      </c>
      <c r="K279" s="172">
        <v>363</v>
      </c>
      <c r="L279" s="170">
        <v>362</v>
      </c>
      <c r="M279" s="170">
        <v>364</v>
      </c>
      <c r="N279" s="172">
        <v>366</v>
      </c>
      <c r="O279" s="172">
        <v>367</v>
      </c>
      <c r="P279" t="str">
        <f t="shared" si="8"/>
        <v>RREC cust</v>
      </c>
      <c r="Q279">
        <f t="shared" si="9"/>
        <v>4396</v>
      </c>
    </row>
    <row r="280" spans="1:17" x14ac:dyDescent="0.2">
      <c r="A280" t="s">
        <v>55</v>
      </c>
      <c r="C280" t="s">
        <v>57</v>
      </c>
      <c r="D280" s="172">
        <v>286</v>
      </c>
      <c r="E280" s="172">
        <v>290</v>
      </c>
      <c r="F280" s="172">
        <v>291</v>
      </c>
      <c r="G280" s="172">
        <v>289</v>
      </c>
      <c r="H280" s="172">
        <v>290</v>
      </c>
      <c r="I280" s="172">
        <v>287</v>
      </c>
      <c r="J280" s="172">
        <v>289</v>
      </c>
      <c r="K280" s="172">
        <v>282</v>
      </c>
      <c r="L280" s="170">
        <v>283</v>
      </c>
      <c r="M280" s="170">
        <v>283</v>
      </c>
      <c r="N280" s="172">
        <v>286</v>
      </c>
      <c r="O280" s="172">
        <v>286</v>
      </c>
      <c r="P280" t="str">
        <f t="shared" si="8"/>
        <v>RYW cust</v>
      </c>
      <c r="Q280">
        <f t="shared" si="9"/>
        <v>3442</v>
      </c>
    </row>
    <row r="281" spans="1:17" x14ac:dyDescent="0.2">
      <c r="A281" t="s">
        <v>55</v>
      </c>
      <c r="D281" s="170"/>
      <c r="E281" s="170"/>
      <c r="F281" s="170"/>
      <c r="G281" s="170"/>
      <c r="H281" s="170"/>
      <c r="I281" s="172"/>
      <c r="J281" s="172"/>
      <c r="K281" s="172"/>
      <c r="L281" s="170"/>
      <c r="M281" s="172"/>
      <c r="N281" s="170"/>
      <c r="O281" s="172"/>
      <c r="P281" t="str">
        <f t="shared" si="8"/>
        <v>R</v>
      </c>
      <c r="Q281">
        <f t="shared" si="9"/>
        <v>0</v>
      </c>
    </row>
    <row r="282" spans="1:17" x14ac:dyDescent="0.2">
      <c r="A282" t="s">
        <v>55</v>
      </c>
      <c r="C282" t="s">
        <v>58</v>
      </c>
      <c r="D282" s="171">
        <v>20.485329048513723</v>
      </c>
      <c r="E282" s="171">
        <v>10.488970031210474</v>
      </c>
      <c r="F282" s="171">
        <v>12.88</v>
      </c>
      <c r="G282" s="171">
        <v>13.131313722667029</v>
      </c>
      <c r="H282" s="171">
        <v>14.825932155260039</v>
      </c>
      <c r="I282" s="171">
        <v>13.460764747147232</v>
      </c>
      <c r="J282" s="171">
        <v>20.288004338583107</v>
      </c>
      <c r="K282" s="171">
        <v>15.246824955520779</v>
      </c>
      <c r="L282" s="171">
        <v>12.129289694610687</v>
      </c>
      <c r="M282" s="171">
        <v>10.338457786779863</v>
      </c>
      <c r="N282" s="171">
        <v>11.24531416003369</v>
      </c>
      <c r="O282" s="171">
        <v>14.02200079700761</v>
      </c>
      <c r="P282" t="str">
        <f t="shared" si="8"/>
        <v>RRec tons</v>
      </c>
      <c r="Q282">
        <f t="shared" si="9"/>
        <v>168.54220143733426</v>
      </c>
    </row>
    <row r="283" spans="1:17" x14ac:dyDescent="0.2">
      <c r="A283" t="s">
        <v>55</v>
      </c>
      <c r="C283" t="s">
        <v>59</v>
      </c>
      <c r="D283" s="171">
        <v>43.612584846519987</v>
      </c>
      <c r="E283" s="171">
        <v>21.990811140544231</v>
      </c>
      <c r="F283" s="171">
        <v>16.579999999999998</v>
      </c>
      <c r="G283" s="171">
        <v>21.560215621971516</v>
      </c>
      <c r="H283" s="171">
        <v>20.768563929774924</v>
      </c>
      <c r="I283" s="171">
        <v>12.082701649667243</v>
      </c>
      <c r="J283" s="171">
        <v>36.472264842238474</v>
      </c>
      <c r="K283" s="171">
        <v>17.627719498558459</v>
      </c>
      <c r="L283" s="171">
        <v>11.019505874110425</v>
      </c>
      <c r="M283" s="171">
        <v>13.134463252311155</v>
      </c>
      <c r="N283" s="171">
        <v>14.314996574182214</v>
      </c>
      <c r="O283" s="171">
        <v>15.399754617873185</v>
      </c>
      <c r="P283" t="str">
        <f t="shared" si="8"/>
        <v xml:space="preserve">RYW tons </v>
      </c>
      <c r="Q283">
        <f t="shared" si="9"/>
        <v>244.56358184775178</v>
      </c>
    </row>
    <row r="284" spans="1:17" x14ac:dyDescent="0.2">
      <c r="A284" t="s">
        <v>55</v>
      </c>
      <c r="C284" t="s">
        <v>60</v>
      </c>
      <c r="D284" s="171">
        <v>23.09845434587854</v>
      </c>
      <c r="E284" s="171">
        <v>20.682748797650255</v>
      </c>
      <c r="F284" s="171">
        <v>20.32</v>
      </c>
      <c r="G284" s="171">
        <v>24.405519976383459</v>
      </c>
      <c r="H284" s="171">
        <v>19.76138136880256</v>
      </c>
      <c r="I284" s="171">
        <v>19.56803740277039</v>
      </c>
      <c r="J284" s="171">
        <v>26.915136640471776</v>
      </c>
      <c r="K284" s="171">
        <v>19.653811956527576</v>
      </c>
      <c r="L284" s="171">
        <v>22.745782459487401</v>
      </c>
      <c r="M284" s="171">
        <v>17.159764094210221</v>
      </c>
      <c r="N284" s="171">
        <v>19.095823465284756</v>
      </c>
      <c r="O284" s="171">
        <v>17.253897434964625</v>
      </c>
      <c r="P284" t="str">
        <f t="shared" si="8"/>
        <v>RMSW tons</v>
      </c>
      <c r="Q284">
        <f t="shared" si="9"/>
        <v>250.66035794243157</v>
      </c>
    </row>
    <row r="285" spans="1:17" x14ac:dyDescent="0.2">
      <c r="A285" t="s">
        <v>65</v>
      </c>
      <c r="B285" t="s">
        <v>79</v>
      </c>
      <c r="C285" t="s">
        <v>56</v>
      </c>
      <c r="D285" s="172">
        <v>921</v>
      </c>
      <c r="E285" s="172">
        <v>930</v>
      </c>
      <c r="F285" s="172">
        <v>931</v>
      </c>
      <c r="G285" s="172">
        <v>925</v>
      </c>
      <c r="H285" s="172">
        <v>927</v>
      </c>
      <c r="I285" s="172">
        <v>931</v>
      </c>
      <c r="J285" s="172">
        <v>923</v>
      </c>
      <c r="K285" s="172">
        <v>924</v>
      </c>
      <c r="L285" s="170">
        <v>924</v>
      </c>
      <c r="M285" s="170">
        <v>919</v>
      </c>
      <c r="N285" s="172">
        <v>928</v>
      </c>
      <c r="O285" s="172">
        <v>931</v>
      </c>
      <c r="P285" t="str">
        <f t="shared" si="8"/>
        <v>NRREC cust</v>
      </c>
      <c r="Q285">
        <f t="shared" si="9"/>
        <v>11114</v>
      </c>
    </row>
    <row r="286" spans="1:17" x14ac:dyDescent="0.2">
      <c r="A286" t="s">
        <v>65</v>
      </c>
      <c r="C286" t="s">
        <v>57</v>
      </c>
      <c r="D286" s="172">
        <v>741</v>
      </c>
      <c r="E286" s="172">
        <v>749</v>
      </c>
      <c r="F286" s="172">
        <v>759</v>
      </c>
      <c r="G286" s="172">
        <v>756</v>
      </c>
      <c r="H286" s="172">
        <v>752</v>
      </c>
      <c r="I286" s="172">
        <v>749</v>
      </c>
      <c r="J286" s="172">
        <v>747</v>
      </c>
      <c r="K286" s="172">
        <v>744</v>
      </c>
      <c r="L286" s="170">
        <v>738</v>
      </c>
      <c r="M286" s="170">
        <v>730</v>
      </c>
      <c r="N286" s="172">
        <v>741</v>
      </c>
      <c r="O286" s="172">
        <v>741</v>
      </c>
      <c r="P286" t="str">
        <f t="shared" si="8"/>
        <v>NRYW cust</v>
      </c>
      <c r="Q286">
        <f t="shared" si="9"/>
        <v>8947</v>
      </c>
    </row>
    <row r="287" spans="1:17" x14ac:dyDescent="0.2">
      <c r="A287" t="s">
        <v>65</v>
      </c>
      <c r="D287" s="170"/>
      <c r="E287" s="170"/>
      <c r="F287" s="170"/>
      <c r="G287" s="170"/>
      <c r="H287" s="170"/>
      <c r="I287" s="172"/>
      <c r="J287" s="172"/>
      <c r="K287" s="172"/>
      <c r="L287" s="172"/>
      <c r="M287" s="172"/>
      <c r="N287" s="170"/>
      <c r="O287" s="172"/>
      <c r="P287" t="str">
        <f t="shared" si="8"/>
        <v>NR</v>
      </c>
      <c r="Q287">
        <f t="shared" si="9"/>
        <v>0</v>
      </c>
    </row>
    <row r="288" spans="1:17" x14ac:dyDescent="0.2">
      <c r="A288" t="s">
        <v>65</v>
      </c>
      <c r="C288" t="s">
        <v>58</v>
      </c>
      <c r="D288" s="171">
        <v>39.462852793399641</v>
      </c>
      <c r="E288" s="171">
        <v>41.30266536164757</v>
      </c>
      <c r="F288" s="171">
        <v>36.08</v>
      </c>
      <c r="G288" s="171">
        <v>33.755402599095632</v>
      </c>
      <c r="H288" s="171">
        <v>32.573728972581542</v>
      </c>
      <c r="I288" s="171">
        <v>42.352122074973664</v>
      </c>
      <c r="J288" s="171">
        <v>37.563846573355008</v>
      </c>
      <c r="K288" s="171">
        <v>38.31322883420976</v>
      </c>
      <c r="L288" s="171">
        <v>49.16425464736475</v>
      </c>
      <c r="M288" s="171">
        <v>31.161128086356786</v>
      </c>
      <c r="N288" s="101">
        <v>31.08567494010709</v>
      </c>
      <c r="O288" s="101">
        <v>35.651539141155261</v>
      </c>
      <c r="P288" t="str">
        <f t="shared" si="8"/>
        <v>NRRec tons</v>
      </c>
      <c r="Q288">
        <f t="shared" si="9"/>
        <v>448.4664440242467</v>
      </c>
    </row>
    <row r="289" spans="1:17" x14ac:dyDescent="0.2">
      <c r="A289" t="s">
        <v>65</v>
      </c>
      <c r="C289" t="s">
        <v>59</v>
      </c>
      <c r="D289" s="171">
        <v>99.614731940855265</v>
      </c>
      <c r="E289" s="171">
        <v>74.862255694494436</v>
      </c>
      <c r="F289" s="171">
        <v>80.349999999999994</v>
      </c>
      <c r="G289" s="171">
        <v>47.577187123137421</v>
      </c>
      <c r="H289" s="171">
        <v>39.687137653155801</v>
      </c>
      <c r="I289" s="171">
        <v>59.286736392085274</v>
      </c>
      <c r="J289" s="171">
        <v>93.135022043392453</v>
      </c>
      <c r="K289" s="171">
        <v>32.491338927098482</v>
      </c>
      <c r="L289" s="171">
        <v>28.575309538987522</v>
      </c>
      <c r="M289" s="171">
        <v>23.794248654896119</v>
      </c>
      <c r="N289" s="101">
        <v>48.794826615609857</v>
      </c>
      <c r="O289" s="101">
        <v>75.289641476120352</v>
      </c>
      <c r="P289" t="str">
        <f t="shared" si="8"/>
        <v xml:space="preserve">NRYW tons </v>
      </c>
      <c r="Q289">
        <f t="shared" si="9"/>
        <v>703.45843605983293</v>
      </c>
    </row>
    <row r="290" spans="1:17" x14ac:dyDescent="0.2">
      <c r="A290" t="s">
        <v>65</v>
      </c>
      <c r="C290" t="s">
        <v>60</v>
      </c>
      <c r="D290" s="171">
        <v>54.283551844387262</v>
      </c>
      <c r="E290" s="171">
        <v>46.811376201647739</v>
      </c>
      <c r="F290" s="171">
        <v>56.8</v>
      </c>
      <c r="G290" s="171">
        <v>47.457182993872728</v>
      </c>
      <c r="H290" s="171">
        <v>48.610891552265528</v>
      </c>
      <c r="I290" s="171">
        <v>51.569087452674083</v>
      </c>
      <c r="J290" s="171">
        <v>43.649243939533143</v>
      </c>
      <c r="K290" s="171">
        <v>44.313572368267607</v>
      </c>
      <c r="L290" s="171">
        <v>51.801857057867934</v>
      </c>
      <c r="M290" s="171">
        <v>37.185623672271845</v>
      </c>
      <c r="N290" s="101">
        <v>40.816934348395556</v>
      </c>
      <c r="O290" s="101">
        <v>49.522378766882589</v>
      </c>
      <c r="P290" t="str">
        <f t="shared" si="8"/>
        <v>NRMSW tons</v>
      </c>
      <c r="Q290">
        <f t="shared" si="9"/>
        <v>572.82170019806608</v>
      </c>
    </row>
    <row r="291" spans="1:17" x14ac:dyDescent="0.2">
      <c r="A291" t="s">
        <v>55</v>
      </c>
      <c r="B291" t="s">
        <v>80</v>
      </c>
      <c r="C291" t="s">
        <v>56</v>
      </c>
      <c r="D291" s="172">
        <v>5432</v>
      </c>
      <c r="E291" s="172">
        <v>5435</v>
      </c>
      <c r="F291" s="172">
        <v>5443</v>
      </c>
      <c r="G291" s="172">
        <v>5452</v>
      </c>
      <c r="H291" s="172">
        <v>5461</v>
      </c>
      <c r="I291" s="172">
        <v>5471</v>
      </c>
      <c r="J291" s="172">
        <v>5476</v>
      </c>
      <c r="K291" s="172">
        <v>5476</v>
      </c>
      <c r="L291" s="170">
        <v>5477</v>
      </c>
      <c r="M291" s="170">
        <v>5480</v>
      </c>
      <c r="N291" s="172">
        <v>5502</v>
      </c>
      <c r="O291" s="172">
        <v>5527</v>
      </c>
      <c r="P291" t="str">
        <f t="shared" si="8"/>
        <v>RREC cust</v>
      </c>
      <c r="Q291">
        <f t="shared" si="9"/>
        <v>65632</v>
      </c>
    </row>
    <row r="292" spans="1:17" x14ac:dyDescent="0.2">
      <c r="A292" t="s">
        <v>55</v>
      </c>
      <c r="C292" t="s">
        <v>57</v>
      </c>
      <c r="D292" s="172">
        <v>3405</v>
      </c>
      <c r="E292" s="172">
        <v>3427</v>
      </c>
      <c r="F292" s="172">
        <v>3448</v>
      </c>
      <c r="G292" s="172">
        <v>3452</v>
      </c>
      <c r="H292" s="172">
        <v>3438</v>
      </c>
      <c r="I292" s="172">
        <v>3423</v>
      </c>
      <c r="J292" s="172">
        <v>3407</v>
      </c>
      <c r="K292" s="172">
        <v>3373</v>
      </c>
      <c r="L292" s="170">
        <v>3338</v>
      </c>
      <c r="M292" s="170">
        <v>3335</v>
      </c>
      <c r="N292" s="172">
        <v>3381</v>
      </c>
      <c r="O292" s="172">
        <v>3440</v>
      </c>
      <c r="P292" t="str">
        <f t="shared" si="8"/>
        <v>RYW cust</v>
      </c>
      <c r="Q292">
        <f t="shared" si="9"/>
        <v>40867</v>
      </c>
    </row>
    <row r="293" spans="1:17" x14ac:dyDescent="0.2">
      <c r="A293" t="s">
        <v>55</v>
      </c>
      <c r="D293" s="170"/>
      <c r="E293" s="172"/>
      <c r="F293" s="172"/>
      <c r="G293" s="172"/>
      <c r="H293" s="170"/>
      <c r="I293" s="172"/>
      <c r="J293" s="172"/>
      <c r="K293" s="172"/>
      <c r="L293" s="170"/>
      <c r="M293" s="172"/>
      <c r="N293" s="170"/>
      <c r="O293" s="172"/>
      <c r="P293" t="str">
        <f t="shared" si="8"/>
        <v>R</v>
      </c>
      <c r="Q293">
        <f t="shared" si="9"/>
        <v>0</v>
      </c>
    </row>
    <row r="294" spans="1:17" x14ac:dyDescent="0.2">
      <c r="A294" t="s">
        <v>55</v>
      </c>
      <c r="C294" t="s">
        <v>58</v>
      </c>
      <c r="D294" s="171">
        <v>189.73780382939196</v>
      </c>
      <c r="E294" s="171">
        <v>162.79772805400447</v>
      </c>
      <c r="F294" s="171">
        <v>152.52000000000001</v>
      </c>
      <c r="G294" s="171">
        <v>172.71965175032159</v>
      </c>
      <c r="H294" s="171">
        <v>161.4670818489096</v>
      </c>
      <c r="I294" s="171">
        <v>207.76119713229613</v>
      </c>
      <c r="J294" s="171">
        <v>191.06597317385896</v>
      </c>
      <c r="K294" s="171">
        <v>185.99299650822542</v>
      </c>
      <c r="L294" s="171">
        <v>204.41602517353226</v>
      </c>
      <c r="M294" s="171">
        <v>156.0873349391579</v>
      </c>
      <c r="N294" s="101">
        <v>160.31069633849918</v>
      </c>
      <c r="O294" s="101">
        <v>184.2792560758493</v>
      </c>
      <c r="P294" t="str">
        <f t="shared" si="8"/>
        <v>RRec tons</v>
      </c>
      <c r="Q294">
        <f t="shared" si="9"/>
        <v>2129.1557448240465</v>
      </c>
    </row>
    <row r="295" spans="1:17" x14ac:dyDescent="0.2">
      <c r="A295" t="s">
        <v>55</v>
      </c>
      <c r="C295" t="s">
        <v>59</v>
      </c>
      <c r="D295" s="171">
        <v>417.07766419413025</v>
      </c>
      <c r="E295" s="171">
        <v>330.05512878705491</v>
      </c>
      <c r="F295" s="171">
        <v>329.78</v>
      </c>
      <c r="G295" s="171">
        <v>210.99261829794131</v>
      </c>
      <c r="H295" s="171">
        <v>155.80079058430533</v>
      </c>
      <c r="I295" s="171">
        <v>165.2168238962949</v>
      </c>
      <c r="J295" s="171">
        <v>301.5675301666094</v>
      </c>
      <c r="K295" s="171">
        <v>202.23145417277294</v>
      </c>
      <c r="L295" s="171">
        <v>116.39959445756364</v>
      </c>
      <c r="M295" s="171">
        <v>109.53288531969125</v>
      </c>
      <c r="N295" s="101">
        <v>180.08715168225243</v>
      </c>
      <c r="O295" s="101">
        <v>258.20624958376777</v>
      </c>
      <c r="P295" t="str">
        <f t="shared" si="8"/>
        <v xml:space="preserve">RYW tons </v>
      </c>
      <c r="Q295">
        <f t="shared" si="9"/>
        <v>2776.9478911423844</v>
      </c>
    </row>
    <row r="296" spans="1:17" x14ac:dyDescent="0.2">
      <c r="A296" t="s">
        <v>55</v>
      </c>
      <c r="C296" t="s">
        <v>60</v>
      </c>
      <c r="D296" s="171">
        <v>321.00728427837174</v>
      </c>
      <c r="E296" s="171">
        <v>295.77753283933311</v>
      </c>
      <c r="F296" s="171">
        <v>323.8</v>
      </c>
      <c r="G296" s="171">
        <v>318.17181449907758</v>
      </c>
      <c r="H296" s="171">
        <v>278.84534508789028</v>
      </c>
      <c r="I296" s="171">
        <v>305.71745576693473</v>
      </c>
      <c r="J296" s="171">
        <v>308.01687586095022</v>
      </c>
      <c r="K296" s="171">
        <v>284.0185495692985</v>
      </c>
      <c r="L296" s="171">
        <v>314.08680797186395</v>
      </c>
      <c r="M296" s="171">
        <v>256.26013608490132</v>
      </c>
      <c r="N296" s="101">
        <v>266.77584601496983</v>
      </c>
      <c r="O296" s="101">
        <v>300.17960115203596</v>
      </c>
      <c r="P296" t="str">
        <f t="shared" si="8"/>
        <v>RMSW tons</v>
      </c>
      <c r="Q296">
        <f t="shared" si="9"/>
        <v>3572.657249125627</v>
      </c>
    </row>
    <row r="297" spans="1:17" x14ac:dyDescent="0.2">
      <c r="A297" t="s">
        <v>65</v>
      </c>
      <c r="B297" t="s">
        <v>81</v>
      </c>
      <c r="C297" t="s">
        <v>56</v>
      </c>
      <c r="D297" s="172">
        <v>6406</v>
      </c>
      <c r="E297" s="172">
        <v>6441</v>
      </c>
      <c r="F297" s="172">
        <v>6376</v>
      </c>
      <c r="G297" s="172">
        <v>6443</v>
      </c>
      <c r="H297" s="172">
        <v>6457</v>
      </c>
      <c r="I297" s="172">
        <v>6391</v>
      </c>
      <c r="J297" s="172">
        <v>6424</v>
      </c>
      <c r="K297" s="172">
        <v>6432</v>
      </c>
      <c r="L297" s="170">
        <v>6359</v>
      </c>
      <c r="M297" s="170">
        <v>6399</v>
      </c>
      <c r="N297" s="172">
        <v>6429</v>
      </c>
      <c r="O297" s="172">
        <v>6406</v>
      </c>
      <c r="P297" t="str">
        <f t="shared" si="8"/>
        <v>NRREC cust</v>
      </c>
      <c r="Q297">
        <f t="shared" si="9"/>
        <v>76963</v>
      </c>
    </row>
    <row r="298" spans="1:17" x14ac:dyDescent="0.2">
      <c r="A298" t="s">
        <v>65</v>
      </c>
      <c r="C298" t="s">
        <v>57</v>
      </c>
      <c r="D298" s="172">
        <v>6140</v>
      </c>
      <c r="E298" s="172">
        <v>6169</v>
      </c>
      <c r="F298" s="172">
        <v>6104</v>
      </c>
      <c r="G298" s="172">
        <v>6172</v>
      </c>
      <c r="H298" s="172">
        <v>6189</v>
      </c>
      <c r="I298" s="172">
        <v>6125</v>
      </c>
      <c r="J298" s="172">
        <v>6156</v>
      </c>
      <c r="K298" s="172">
        <v>6158</v>
      </c>
      <c r="L298" s="170">
        <v>6091</v>
      </c>
      <c r="M298" s="170">
        <v>6133</v>
      </c>
      <c r="N298" s="172">
        <v>6166</v>
      </c>
      <c r="O298" s="172">
        <v>6145</v>
      </c>
      <c r="P298" t="str">
        <f t="shared" si="8"/>
        <v>NRYW cust</v>
      </c>
      <c r="Q298">
        <f t="shared" si="9"/>
        <v>73748</v>
      </c>
    </row>
    <row r="299" spans="1:17" x14ac:dyDescent="0.2">
      <c r="A299" t="s">
        <v>65</v>
      </c>
      <c r="D299" s="170"/>
      <c r="E299" s="172"/>
      <c r="F299" s="172"/>
      <c r="G299" s="172"/>
      <c r="H299" s="170"/>
      <c r="I299" s="172"/>
      <c r="J299" s="172"/>
      <c r="K299" s="172"/>
      <c r="L299" s="172"/>
      <c r="M299" s="172"/>
      <c r="N299" s="170"/>
      <c r="O299" s="172"/>
      <c r="P299" t="str">
        <f t="shared" si="8"/>
        <v>NR</v>
      </c>
      <c r="Q299">
        <f t="shared" si="9"/>
        <v>0</v>
      </c>
    </row>
    <row r="300" spans="1:17" x14ac:dyDescent="0.2">
      <c r="A300" t="s">
        <v>65</v>
      </c>
      <c r="C300" t="s">
        <v>58</v>
      </c>
      <c r="D300" s="171">
        <v>257.58806871403755</v>
      </c>
      <c r="E300" s="171">
        <v>228.75312066946168</v>
      </c>
      <c r="F300" s="171">
        <v>237.98</v>
      </c>
      <c r="G300" s="171">
        <v>265.76393134523647</v>
      </c>
      <c r="H300" s="171">
        <v>232.39715529650394</v>
      </c>
      <c r="I300" s="171">
        <v>249.25997409642906</v>
      </c>
      <c r="J300" s="171">
        <v>271.09325284242811</v>
      </c>
      <c r="K300" s="171">
        <v>258.79365773279972</v>
      </c>
      <c r="L300" s="171">
        <v>278.31909720352047</v>
      </c>
      <c r="M300" s="171">
        <v>201.66518082235478</v>
      </c>
      <c r="N300" s="101">
        <v>225.40779048421555</v>
      </c>
      <c r="O300" s="101">
        <v>237.25986215162555</v>
      </c>
      <c r="P300" t="str">
        <f t="shared" si="8"/>
        <v>NRRec tons</v>
      </c>
      <c r="Q300">
        <f t="shared" si="9"/>
        <v>2944.2810913586127</v>
      </c>
    </row>
    <row r="301" spans="1:17" x14ac:dyDescent="0.2">
      <c r="A301" t="s">
        <v>65</v>
      </c>
      <c r="C301" t="s">
        <v>59</v>
      </c>
      <c r="D301" s="171">
        <v>664.09915704003231</v>
      </c>
      <c r="E301" s="171">
        <v>574.02721686992516</v>
      </c>
      <c r="F301" s="171">
        <v>520.58000000000004</v>
      </c>
      <c r="G301" s="171">
        <v>408.21802110730533</v>
      </c>
      <c r="H301" s="171">
        <v>330.94496633498568</v>
      </c>
      <c r="I301" s="171">
        <v>437.1486233710861</v>
      </c>
      <c r="J301" s="171">
        <v>753.76230672795691</v>
      </c>
      <c r="K301" s="171">
        <v>457.88427834913927</v>
      </c>
      <c r="L301" s="171">
        <v>284.32259949451139</v>
      </c>
      <c r="M301" s="171">
        <v>261.28554875150354</v>
      </c>
      <c r="N301" s="101">
        <v>367.74468187821782</v>
      </c>
      <c r="O301" s="101">
        <v>493.66296278661116</v>
      </c>
      <c r="P301" t="str">
        <f t="shared" si="8"/>
        <v xml:space="preserve">NRYW tons </v>
      </c>
      <c r="Q301">
        <f t="shared" si="9"/>
        <v>5553.6803627112758</v>
      </c>
    </row>
    <row r="302" spans="1:17" x14ac:dyDescent="0.2">
      <c r="A302" t="s">
        <v>65</v>
      </c>
      <c r="C302" t="s">
        <v>60</v>
      </c>
      <c r="D302" s="171">
        <v>345.20227902205124</v>
      </c>
      <c r="E302" s="171">
        <v>327.80558966543714</v>
      </c>
      <c r="F302" s="171">
        <v>342.87</v>
      </c>
      <c r="G302" s="171">
        <v>361.93529228518463</v>
      </c>
      <c r="H302" s="171">
        <v>304.73135887547545</v>
      </c>
      <c r="I302" s="171">
        <v>321.58424704743516</v>
      </c>
      <c r="J302" s="171">
        <v>333.99705482767655</v>
      </c>
      <c r="K302" s="171">
        <v>308.78731254982415</v>
      </c>
      <c r="L302" s="171">
        <v>342.90721201972593</v>
      </c>
      <c r="M302" s="171">
        <v>269.7883958684846</v>
      </c>
      <c r="N302" s="101">
        <v>292.85672149096547</v>
      </c>
      <c r="O302" s="101">
        <v>306.24352165652567</v>
      </c>
      <c r="P302" t="str">
        <f t="shared" si="8"/>
        <v>NRMSW tons</v>
      </c>
      <c r="Q302">
        <f t="shared" si="9"/>
        <v>3858.7089853087864</v>
      </c>
    </row>
    <row r="303" spans="1:17" x14ac:dyDescent="0.2">
      <c r="A303" t="s">
        <v>55</v>
      </c>
      <c r="B303" t="s">
        <v>61</v>
      </c>
      <c r="C303" t="s">
        <v>56</v>
      </c>
      <c r="D303" s="172">
        <v>3161</v>
      </c>
      <c r="E303" s="172">
        <v>3146</v>
      </c>
      <c r="F303" s="172">
        <v>3160</v>
      </c>
      <c r="G303" s="172">
        <v>3153</v>
      </c>
      <c r="H303" s="172">
        <v>3164</v>
      </c>
      <c r="I303" s="172">
        <v>3172</v>
      </c>
      <c r="J303" s="172">
        <v>3185</v>
      </c>
      <c r="K303" s="172">
        <v>3178</v>
      </c>
      <c r="L303" s="170">
        <v>3174</v>
      </c>
      <c r="M303" s="170">
        <v>3199</v>
      </c>
      <c r="N303" s="172">
        <v>3190</v>
      </c>
      <c r="O303" s="172">
        <v>3196</v>
      </c>
      <c r="P303" t="str">
        <f t="shared" si="8"/>
        <v>RREC cust</v>
      </c>
      <c r="Q303">
        <f t="shared" si="9"/>
        <v>38078</v>
      </c>
    </row>
    <row r="304" spans="1:17" x14ac:dyDescent="0.2">
      <c r="A304" t="s">
        <v>55</v>
      </c>
      <c r="C304" t="s">
        <v>57</v>
      </c>
      <c r="D304" s="172">
        <v>2098</v>
      </c>
      <c r="E304" s="172">
        <v>2112</v>
      </c>
      <c r="F304" s="172">
        <v>2116</v>
      </c>
      <c r="G304" s="172">
        <v>2115</v>
      </c>
      <c r="H304" s="172">
        <v>2126</v>
      </c>
      <c r="I304" s="172">
        <v>2117</v>
      </c>
      <c r="J304" s="172">
        <v>2088</v>
      </c>
      <c r="K304" s="172">
        <v>2054</v>
      </c>
      <c r="L304" s="170">
        <v>2033</v>
      </c>
      <c r="M304" s="170">
        <v>2029</v>
      </c>
      <c r="N304" s="172">
        <v>2059</v>
      </c>
      <c r="O304" s="172">
        <v>2096</v>
      </c>
      <c r="P304" t="str">
        <f t="shared" si="8"/>
        <v>RYW cust</v>
      </c>
      <c r="Q304">
        <f t="shared" si="9"/>
        <v>25043</v>
      </c>
    </row>
    <row r="305" spans="1:17" x14ac:dyDescent="0.2">
      <c r="A305" t="s">
        <v>55</v>
      </c>
      <c r="D305" s="170"/>
      <c r="E305" s="172"/>
      <c r="F305" s="172"/>
      <c r="G305" s="172"/>
      <c r="H305" s="170"/>
      <c r="I305" s="172"/>
      <c r="J305" s="172"/>
      <c r="K305" s="172"/>
      <c r="L305" s="172"/>
      <c r="M305" s="170"/>
      <c r="N305" s="172"/>
      <c r="O305" s="172"/>
      <c r="P305" t="str">
        <f t="shared" si="8"/>
        <v>R</v>
      </c>
      <c r="Q305">
        <f t="shared" si="9"/>
        <v>0</v>
      </c>
    </row>
    <row r="306" spans="1:17" x14ac:dyDescent="0.2">
      <c r="A306" t="s">
        <v>55</v>
      </c>
      <c r="C306" t="s">
        <v>58</v>
      </c>
      <c r="D306" s="171">
        <v>117.3869694385164</v>
      </c>
      <c r="E306" s="171">
        <v>96.986964259524115</v>
      </c>
      <c r="F306" s="171">
        <v>91.77</v>
      </c>
      <c r="G306" s="171">
        <v>105.99436928560303</v>
      </c>
      <c r="H306" s="171">
        <v>96.494336115067895</v>
      </c>
      <c r="I306" s="171">
        <v>96.731787380458456</v>
      </c>
      <c r="J306" s="171">
        <v>134.53180796797528</v>
      </c>
      <c r="K306" s="171">
        <v>115.64589421933462</v>
      </c>
      <c r="L306" s="171">
        <v>116.67304474563892</v>
      </c>
      <c r="M306" s="171">
        <v>87.219006505627434</v>
      </c>
      <c r="N306" s="101">
        <v>85.77</v>
      </c>
      <c r="O306" s="101">
        <v>91.995022121328375</v>
      </c>
      <c r="P306" t="str">
        <f t="shared" si="8"/>
        <v>RRec tons</v>
      </c>
      <c r="Q306">
        <f t="shared" si="9"/>
        <v>1237.1992020390746</v>
      </c>
    </row>
    <row r="307" spans="1:17" x14ac:dyDescent="0.2">
      <c r="A307" t="s">
        <v>55</v>
      </c>
      <c r="C307" t="s">
        <v>59</v>
      </c>
      <c r="D307" s="171">
        <v>247.15527409719621</v>
      </c>
      <c r="E307" s="171">
        <v>181.86134066355322</v>
      </c>
      <c r="F307" s="171">
        <v>159.69999999999999</v>
      </c>
      <c r="G307" s="171">
        <v>129.56515745295093</v>
      </c>
      <c r="H307" s="171">
        <v>90.867721984036208</v>
      </c>
      <c r="I307" s="171">
        <v>122.48281754085075</v>
      </c>
      <c r="J307" s="171">
        <v>229.33133202212917</v>
      </c>
      <c r="K307" s="171">
        <v>67.817713104337031</v>
      </c>
      <c r="L307" s="171">
        <v>60.04928591278243</v>
      </c>
      <c r="M307" s="171">
        <v>54.601869555814588</v>
      </c>
      <c r="N307" s="101">
        <v>112.33</v>
      </c>
      <c r="O307" s="101">
        <v>152.88175564522879</v>
      </c>
      <c r="P307" t="str">
        <f t="shared" si="8"/>
        <v xml:space="preserve">RYW tons </v>
      </c>
      <c r="Q307">
        <f t="shared" si="9"/>
        <v>1608.6442679788793</v>
      </c>
    </row>
    <row r="308" spans="1:17" x14ac:dyDescent="0.2">
      <c r="A308" t="s">
        <v>55</v>
      </c>
      <c r="C308" t="s">
        <v>60</v>
      </c>
      <c r="D308" s="171">
        <v>163.39789976818344</v>
      </c>
      <c r="E308" s="171">
        <v>147.11359383366559</v>
      </c>
      <c r="F308" s="171">
        <v>146.13</v>
      </c>
      <c r="G308" s="171">
        <v>176.97214813889693</v>
      </c>
      <c r="H308" s="171">
        <v>143.17383323885048</v>
      </c>
      <c r="I308" s="171">
        <v>144.63018214369407</v>
      </c>
      <c r="J308" s="171">
        <v>178.0253756032557</v>
      </c>
      <c r="K308" s="171">
        <v>145.66999999999999</v>
      </c>
      <c r="L308" s="171">
        <v>173.07887800490735</v>
      </c>
      <c r="M308" s="171">
        <v>131.11000000000001</v>
      </c>
      <c r="N308" s="101">
        <v>138.44999999999999</v>
      </c>
      <c r="O308" s="101">
        <v>135.80765885947758</v>
      </c>
      <c r="P308" t="str">
        <f t="shared" si="8"/>
        <v>RMSW tons</v>
      </c>
      <c r="Q308">
        <f t="shared" si="9"/>
        <v>1823.5595695909317</v>
      </c>
    </row>
    <row r="309" spans="1:17" x14ac:dyDescent="0.2">
      <c r="A309" t="s">
        <v>65</v>
      </c>
      <c r="B309" t="s">
        <v>82</v>
      </c>
      <c r="C309" t="s">
        <v>56</v>
      </c>
      <c r="D309" s="172">
        <v>8129</v>
      </c>
      <c r="E309" s="172">
        <v>8151</v>
      </c>
      <c r="F309" s="172">
        <v>8182</v>
      </c>
      <c r="G309" s="172">
        <v>8235</v>
      </c>
      <c r="H309" s="172">
        <v>8268</v>
      </c>
      <c r="I309" s="172">
        <v>8285</v>
      </c>
      <c r="J309" s="172">
        <v>8268</v>
      </c>
      <c r="K309" s="172">
        <v>8278</v>
      </c>
      <c r="L309" s="170">
        <v>8313</v>
      </c>
      <c r="M309" s="170">
        <v>8332</v>
      </c>
      <c r="N309" s="172">
        <v>8358</v>
      </c>
      <c r="O309" s="172">
        <v>8396</v>
      </c>
      <c r="P309" t="str">
        <f t="shared" si="8"/>
        <v>NRREC cust</v>
      </c>
      <c r="Q309">
        <f t="shared" si="9"/>
        <v>99195</v>
      </c>
    </row>
    <row r="310" spans="1:17" x14ac:dyDescent="0.2">
      <c r="A310" t="s">
        <v>65</v>
      </c>
      <c r="C310" t="s">
        <v>57</v>
      </c>
      <c r="D310" s="172">
        <v>4778</v>
      </c>
      <c r="E310" s="172">
        <v>4819</v>
      </c>
      <c r="F310" s="172">
        <v>4861</v>
      </c>
      <c r="G310" s="172">
        <v>4876</v>
      </c>
      <c r="H310" s="172">
        <v>4880</v>
      </c>
      <c r="I310" s="172">
        <v>4849</v>
      </c>
      <c r="J310" s="172">
        <v>4790</v>
      </c>
      <c r="K310" s="172">
        <v>4710</v>
      </c>
      <c r="L310" s="170">
        <v>4683</v>
      </c>
      <c r="M310" s="170">
        <v>4686</v>
      </c>
      <c r="N310" s="172">
        <v>4756</v>
      </c>
      <c r="O310" s="172">
        <v>4847</v>
      </c>
      <c r="P310" t="str">
        <f t="shared" si="8"/>
        <v>NRYW cust</v>
      </c>
      <c r="Q310">
        <f t="shared" si="9"/>
        <v>57535</v>
      </c>
    </row>
    <row r="311" spans="1:17" x14ac:dyDescent="0.2">
      <c r="A311" t="s">
        <v>65</v>
      </c>
      <c r="D311" s="170"/>
      <c r="E311" s="172"/>
      <c r="F311" s="172"/>
      <c r="G311" s="172"/>
      <c r="H311" s="170"/>
      <c r="I311" s="172"/>
      <c r="J311" s="172"/>
      <c r="K311" s="172"/>
      <c r="L311" s="172"/>
      <c r="M311" s="172"/>
      <c r="N311" s="170"/>
      <c r="O311" s="172"/>
      <c r="P311" t="str">
        <f t="shared" si="8"/>
        <v>NR</v>
      </c>
      <c r="Q311">
        <f t="shared" si="9"/>
        <v>0</v>
      </c>
    </row>
    <row r="312" spans="1:17" x14ac:dyDescent="0.2">
      <c r="A312" t="s">
        <v>65</v>
      </c>
      <c r="C312" t="s">
        <v>58</v>
      </c>
      <c r="D312" s="171">
        <v>297.81228876643883</v>
      </c>
      <c r="E312" s="171">
        <v>294.9776141290302</v>
      </c>
      <c r="F312" s="171">
        <v>276.93</v>
      </c>
      <c r="G312" s="171">
        <v>287.92782560971835</v>
      </c>
      <c r="H312" s="171">
        <v>270.96584891004773</v>
      </c>
      <c r="I312" s="171">
        <v>311.90761441221787</v>
      </c>
      <c r="J312" s="171">
        <v>336.32980782203032</v>
      </c>
      <c r="K312" s="171">
        <v>303.3127966553767</v>
      </c>
      <c r="L312" s="171">
        <v>340.69234436324928</v>
      </c>
      <c r="M312" s="171">
        <v>233.99822496742823</v>
      </c>
      <c r="N312" s="101">
        <v>262.30690720053127</v>
      </c>
      <c r="O312" s="101">
        <v>296.79003594548533</v>
      </c>
      <c r="P312" t="str">
        <f t="shared" si="8"/>
        <v>NRRec tons</v>
      </c>
      <c r="Q312">
        <f t="shared" si="9"/>
        <v>3513.951308781554</v>
      </c>
    </row>
    <row r="313" spans="1:17" x14ac:dyDescent="0.2">
      <c r="A313" t="s">
        <v>65</v>
      </c>
      <c r="C313" t="s">
        <v>59</v>
      </c>
      <c r="D313" s="171">
        <v>581.74462327775018</v>
      </c>
      <c r="E313" s="171">
        <v>525.64044127189527</v>
      </c>
      <c r="F313" s="171">
        <v>475.01</v>
      </c>
      <c r="G313" s="171">
        <v>330.3634032027972</v>
      </c>
      <c r="H313" s="171">
        <v>256.16654748212574</v>
      </c>
      <c r="I313" s="171">
        <v>351.52567593641288</v>
      </c>
      <c r="J313" s="171">
        <v>588.65773516634476</v>
      </c>
      <c r="K313" s="171">
        <v>195.48563158566949</v>
      </c>
      <c r="L313" s="171">
        <v>158.90095998255606</v>
      </c>
      <c r="M313" s="171">
        <v>135.05496982268656</v>
      </c>
      <c r="N313" s="101">
        <v>329.21004954411035</v>
      </c>
      <c r="O313" s="101">
        <v>485.60660544546317</v>
      </c>
      <c r="P313" t="str">
        <f t="shared" si="8"/>
        <v xml:space="preserve">NRYW tons </v>
      </c>
      <c r="Q313">
        <f t="shared" si="9"/>
        <v>4413.3666427178114</v>
      </c>
    </row>
    <row r="314" spans="1:17" x14ac:dyDescent="0.2">
      <c r="A314" t="s">
        <v>65</v>
      </c>
      <c r="C314" t="s">
        <v>60</v>
      </c>
      <c r="D314" s="171">
        <v>445.47234962561708</v>
      </c>
      <c r="E314" s="171">
        <v>442.6251129596244</v>
      </c>
      <c r="F314" s="171">
        <v>472.29</v>
      </c>
      <c r="G314" s="171">
        <v>470.55809986896082</v>
      </c>
      <c r="H314" s="171">
        <v>417.12120186679317</v>
      </c>
      <c r="I314" s="171">
        <v>464.04354077268101</v>
      </c>
      <c r="J314" s="171">
        <v>476.65484603775047</v>
      </c>
      <c r="K314" s="171">
        <v>434.01796631926516</v>
      </c>
      <c r="L314" s="171">
        <v>475.57553983837585</v>
      </c>
      <c r="M314" s="171">
        <v>379.69440220130008</v>
      </c>
      <c r="N314" s="101">
        <v>407.1706968433503</v>
      </c>
      <c r="O314" s="101">
        <v>446.79114685373838</v>
      </c>
      <c r="P314" t="str">
        <f t="shared" si="8"/>
        <v>NRMSW tons</v>
      </c>
      <c r="Q314">
        <f t="shared" si="9"/>
        <v>5332.0149031874571</v>
      </c>
    </row>
    <row r="315" spans="1:17" x14ac:dyDescent="0.2">
      <c r="A315" t="s">
        <v>65</v>
      </c>
      <c r="B315" t="s">
        <v>83</v>
      </c>
      <c r="C315" t="s">
        <v>56</v>
      </c>
      <c r="D315" s="172">
        <v>1087</v>
      </c>
      <c r="E315" s="172">
        <v>1332</v>
      </c>
      <c r="F315" s="172">
        <v>1340</v>
      </c>
      <c r="G315" s="172">
        <v>1359</v>
      </c>
      <c r="H315" s="172">
        <v>1367</v>
      </c>
      <c r="I315" s="172">
        <v>1373</v>
      </c>
      <c r="J315" s="172">
        <v>1454</v>
      </c>
      <c r="K315" s="172">
        <v>1464</v>
      </c>
      <c r="L315" s="170">
        <v>1468</v>
      </c>
      <c r="M315" s="170">
        <v>1465</v>
      </c>
      <c r="N315" s="172">
        <v>1469</v>
      </c>
      <c r="O315" s="172">
        <v>1477</v>
      </c>
      <c r="P315" t="str">
        <f t="shared" si="8"/>
        <v>NRREC cust</v>
      </c>
      <c r="Q315">
        <f t="shared" si="9"/>
        <v>16655</v>
      </c>
    </row>
    <row r="316" spans="1:17" x14ac:dyDescent="0.2">
      <c r="A316" t="s">
        <v>65</v>
      </c>
      <c r="C316" t="s">
        <v>57</v>
      </c>
      <c r="D316" s="172">
        <v>572</v>
      </c>
      <c r="E316" s="172">
        <v>863</v>
      </c>
      <c r="F316" s="172">
        <v>901</v>
      </c>
      <c r="G316" s="172">
        <v>927</v>
      </c>
      <c r="H316" s="172">
        <v>951</v>
      </c>
      <c r="I316" s="172">
        <v>962</v>
      </c>
      <c r="J316" s="172">
        <v>995</v>
      </c>
      <c r="K316" s="172">
        <v>1014</v>
      </c>
      <c r="L316" s="170">
        <v>1029</v>
      </c>
      <c r="M316" s="170">
        <v>1038</v>
      </c>
      <c r="N316" s="172">
        <v>1072</v>
      </c>
      <c r="O316" s="172">
        <v>1082</v>
      </c>
      <c r="P316" t="str">
        <f t="shared" si="8"/>
        <v>NRYW cust</v>
      </c>
      <c r="Q316">
        <f t="shared" si="9"/>
        <v>11406</v>
      </c>
    </row>
    <row r="317" spans="1:17" x14ac:dyDescent="0.2">
      <c r="A317" t="s">
        <v>65</v>
      </c>
      <c r="D317" s="170"/>
      <c r="E317" s="172"/>
      <c r="F317" s="172"/>
      <c r="G317" s="172"/>
      <c r="H317" s="170"/>
      <c r="I317" s="172"/>
      <c r="J317" s="172"/>
      <c r="K317" s="172"/>
      <c r="L317" s="172"/>
      <c r="M317" s="172"/>
      <c r="N317" s="170"/>
      <c r="O317" s="172"/>
      <c r="P317" t="str">
        <f t="shared" si="8"/>
        <v>NR</v>
      </c>
      <c r="Q317">
        <f t="shared" si="9"/>
        <v>0</v>
      </c>
    </row>
    <row r="318" spans="1:17" x14ac:dyDescent="0.2">
      <c r="A318" t="s">
        <v>65</v>
      </c>
      <c r="C318" t="s">
        <v>58</v>
      </c>
      <c r="D318" s="171">
        <v>33.666168234585776</v>
      </c>
      <c r="E318" s="171">
        <v>42.900904824363053</v>
      </c>
      <c r="F318" s="171">
        <v>49.81</v>
      </c>
      <c r="G318" s="171">
        <v>42.065875887450304</v>
      </c>
      <c r="H318" s="171">
        <v>46.938709604795513</v>
      </c>
      <c r="I318" s="171">
        <v>62.256714031504167</v>
      </c>
      <c r="J318" s="171">
        <v>50.956263562855824</v>
      </c>
      <c r="K318" s="171">
        <v>54.653598166491037</v>
      </c>
      <c r="L318" s="171">
        <v>49.340013356033836</v>
      </c>
      <c r="M318" s="171">
        <v>41.340718857003289</v>
      </c>
      <c r="N318" s="101">
        <v>48.121735784899968</v>
      </c>
      <c r="O318" s="101">
        <v>45.974261559809229</v>
      </c>
      <c r="P318" t="str">
        <f t="shared" si="8"/>
        <v>NRRec tons</v>
      </c>
      <c r="Q318">
        <f t="shared" si="9"/>
        <v>568.02496386979203</v>
      </c>
    </row>
    <row r="319" spans="1:17" x14ac:dyDescent="0.2">
      <c r="A319" t="s">
        <v>65</v>
      </c>
      <c r="C319" t="s">
        <v>59</v>
      </c>
      <c r="D319" s="171">
        <v>44.772736389912907</v>
      </c>
      <c r="E319" s="171">
        <v>68.48238981460706</v>
      </c>
      <c r="F319" s="171">
        <v>96.87</v>
      </c>
      <c r="G319" s="171">
        <v>47.1996415420994</v>
      </c>
      <c r="H319" s="171">
        <v>42.527296395418723</v>
      </c>
      <c r="I319" s="171">
        <v>44.980088406614854</v>
      </c>
      <c r="J319" s="171">
        <v>66.991741327385867</v>
      </c>
      <c r="K319" s="171">
        <v>42.527590652314437</v>
      </c>
      <c r="L319" s="171">
        <v>20.080492777393093</v>
      </c>
      <c r="M319" s="171">
        <v>27.674657483397453</v>
      </c>
      <c r="N319" s="101">
        <v>50.166113569440952</v>
      </c>
      <c r="O319" s="101">
        <v>64.675353586915065</v>
      </c>
      <c r="P319" t="str">
        <f t="shared" si="8"/>
        <v xml:space="preserve">NRYW tons </v>
      </c>
      <c r="Q319">
        <f t="shared" si="9"/>
        <v>616.94810194549984</v>
      </c>
    </row>
    <row r="320" spans="1:17" x14ac:dyDescent="0.2">
      <c r="A320" t="s">
        <v>65</v>
      </c>
      <c r="C320" t="s">
        <v>60</v>
      </c>
      <c r="D320" s="171">
        <v>61.198684964803192</v>
      </c>
      <c r="E320" s="171">
        <v>79.52367429955325</v>
      </c>
      <c r="F320" s="171">
        <v>89.33</v>
      </c>
      <c r="G320" s="171">
        <v>71.024685982937115</v>
      </c>
      <c r="H320" s="171">
        <v>70.20199095426446</v>
      </c>
      <c r="I320" s="171">
        <v>77.73516872154633</v>
      </c>
      <c r="J320" s="171">
        <v>76.478590815100333</v>
      </c>
      <c r="K320" s="171">
        <v>74.957872654586296</v>
      </c>
      <c r="L320" s="171">
        <v>79.198382566082145</v>
      </c>
      <c r="M320" s="171">
        <v>66.549493086035923</v>
      </c>
      <c r="N320" s="101">
        <v>75.076877195587841</v>
      </c>
      <c r="O320" s="101">
        <v>84.399899779148598</v>
      </c>
      <c r="P320" t="str">
        <f t="shared" si="8"/>
        <v>NRMSW tons</v>
      </c>
      <c r="Q320">
        <f t="shared" si="9"/>
        <v>905.67532101964548</v>
      </c>
    </row>
    <row r="321" spans="4:11" x14ac:dyDescent="0.2">
      <c r="D321" s="172"/>
      <c r="E321" s="172"/>
      <c r="F321" s="172"/>
      <c r="G321" s="172"/>
      <c r="H321" s="172"/>
      <c r="I321" s="172"/>
      <c r="J321" s="172"/>
      <c r="K321" s="172"/>
    </row>
    <row r="322" spans="4:11" x14ac:dyDescent="0.2">
      <c r="D322" s="172"/>
      <c r="E322" s="172"/>
      <c r="F322" s="172"/>
      <c r="G322" s="172"/>
      <c r="H322" s="172"/>
      <c r="I322" s="172"/>
      <c r="J322" s="172"/>
      <c r="K322" s="172"/>
    </row>
    <row r="323" spans="4:11" x14ac:dyDescent="0.2">
      <c r="D323" s="170"/>
      <c r="E323" s="172"/>
      <c r="F323" s="172"/>
      <c r="G323" s="172"/>
      <c r="H323" s="170"/>
      <c r="I323" s="172"/>
      <c r="J323" s="172"/>
      <c r="K323" s="172"/>
    </row>
    <row r="324" spans="4:11" x14ac:dyDescent="0.2">
      <c r="D324" s="173"/>
      <c r="E324" s="173"/>
      <c r="F324" s="173"/>
      <c r="G324" s="173"/>
      <c r="H324" s="173"/>
      <c r="I324" s="173"/>
      <c r="J324" s="173"/>
      <c r="K324" s="173"/>
    </row>
    <row r="325" spans="4:11" x14ac:dyDescent="0.2">
      <c r="D325" s="173"/>
      <c r="E325" s="173"/>
      <c r="F325" s="173"/>
      <c r="G325" s="173"/>
      <c r="H325" s="173"/>
      <c r="I325" s="173"/>
      <c r="J325" s="173"/>
      <c r="K325" s="173"/>
    </row>
    <row r="326" spans="4:11" x14ac:dyDescent="0.2">
      <c r="D326" s="173"/>
      <c r="E326" s="173"/>
      <c r="F326" s="173"/>
      <c r="G326" s="173"/>
      <c r="H326" s="173"/>
      <c r="I326" s="173"/>
      <c r="J326" s="173"/>
      <c r="K326" s="173"/>
    </row>
  </sheetData>
  <mergeCells count="4">
    <mergeCell ref="R1:T1"/>
    <mergeCell ref="A39:B39"/>
    <mergeCell ref="H162:K162"/>
    <mergeCell ref="A200:B20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59"/>
  <sheetViews>
    <sheetView workbookViewId="0">
      <selection activeCell="L36" sqref="L36"/>
    </sheetView>
  </sheetViews>
  <sheetFormatPr defaultRowHeight="12.75" x14ac:dyDescent="0.2"/>
  <cols>
    <col min="16" max="16" width="12.7109375" bestFit="1" customWidth="1"/>
  </cols>
  <sheetData>
    <row r="1" spans="1:19" x14ac:dyDescent="0.2">
      <c r="H1" t="s">
        <v>141</v>
      </c>
    </row>
    <row r="2" spans="1:19" x14ac:dyDescent="0.2"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</row>
    <row r="3" spans="1:19" x14ac:dyDescent="0.2">
      <c r="A3" t="s">
        <v>65</v>
      </c>
      <c r="B3" t="s">
        <v>54</v>
      </c>
      <c r="C3" t="s">
        <v>56</v>
      </c>
      <c r="D3" s="170">
        <v>833</v>
      </c>
      <c r="E3" s="170">
        <v>832</v>
      </c>
      <c r="F3" s="170">
        <v>827</v>
      </c>
      <c r="G3" s="170">
        <v>834</v>
      </c>
      <c r="H3" s="170">
        <v>832</v>
      </c>
      <c r="I3" s="170">
        <v>829</v>
      </c>
      <c r="J3" s="170">
        <v>837</v>
      </c>
      <c r="K3" s="170">
        <v>843</v>
      </c>
      <c r="P3" t="str">
        <f>CONCATENATE(A3,C3)</f>
        <v>NRREC cust</v>
      </c>
      <c r="Q3" s="174">
        <f>SUM(D3:O3)</f>
        <v>6667</v>
      </c>
    </row>
    <row r="4" spans="1:19" x14ac:dyDescent="0.2">
      <c r="A4" t="s">
        <v>65</v>
      </c>
      <c r="C4" t="s">
        <v>57</v>
      </c>
      <c r="D4" s="170">
        <v>497</v>
      </c>
      <c r="E4" s="170">
        <v>494</v>
      </c>
      <c r="F4" s="170">
        <v>494</v>
      </c>
      <c r="G4" s="170">
        <v>494</v>
      </c>
      <c r="H4" s="170">
        <v>492</v>
      </c>
      <c r="I4" s="170">
        <v>492</v>
      </c>
      <c r="J4" s="170">
        <v>495</v>
      </c>
      <c r="K4" s="170">
        <v>495</v>
      </c>
      <c r="P4" t="str">
        <f t="shared" ref="P4:P67" si="0">CONCATENATE(A4,C4)</f>
        <v>NRYW cust</v>
      </c>
      <c r="Q4" s="174">
        <f t="shared" ref="Q4:Q67" si="1">SUM(D4:O4)</f>
        <v>3953</v>
      </c>
    </row>
    <row r="5" spans="1:19" x14ac:dyDescent="0.2">
      <c r="A5" t="s">
        <v>65</v>
      </c>
      <c r="D5" s="170"/>
      <c r="E5" s="170"/>
      <c r="F5" s="170"/>
      <c r="G5" s="170"/>
      <c r="H5" s="170"/>
      <c r="I5" s="170"/>
      <c r="J5" s="170"/>
      <c r="K5" s="170"/>
      <c r="P5" t="str">
        <f t="shared" si="0"/>
        <v>NR</v>
      </c>
      <c r="Q5" s="174">
        <f t="shared" si="1"/>
        <v>0</v>
      </c>
      <c r="S5" t="s">
        <v>142</v>
      </c>
    </row>
    <row r="6" spans="1:19" x14ac:dyDescent="0.2">
      <c r="A6" t="s">
        <v>65</v>
      </c>
      <c r="C6" t="s">
        <v>60</v>
      </c>
      <c r="D6" s="171">
        <v>64.666313919535426</v>
      </c>
      <c r="E6" s="171">
        <v>36.32400897309882</v>
      </c>
      <c r="F6" s="171">
        <v>52.96309987076792</v>
      </c>
      <c r="G6" s="171">
        <v>37.488654431341978</v>
      </c>
      <c r="H6" s="171">
        <v>45.120840805279379</v>
      </c>
      <c r="I6" s="171">
        <v>55.269952729499899</v>
      </c>
      <c r="J6" s="171">
        <v>45.46527426896612</v>
      </c>
      <c r="K6" s="171">
        <v>42.209302950571214</v>
      </c>
      <c r="P6" t="str">
        <f t="shared" si="0"/>
        <v>NRMSW tons</v>
      </c>
      <c r="Q6" s="174">
        <f t="shared" si="1"/>
        <v>379.5074479490608</v>
      </c>
      <c r="S6" s="111">
        <f>SUM(Q14,Q20,Q49,Q55,Q87,Q93,Q117,Q123,Q135,Q147)</f>
        <v>12434.358237913162</v>
      </c>
    </row>
    <row r="7" spans="1:19" x14ac:dyDescent="0.2">
      <c r="A7" t="s">
        <v>65</v>
      </c>
      <c r="C7" t="s">
        <v>58</v>
      </c>
      <c r="D7" s="171">
        <v>26.952751146898489</v>
      </c>
      <c r="E7" s="171">
        <v>22.873804409511841</v>
      </c>
      <c r="F7" s="171">
        <v>38.825498449111087</v>
      </c>
      <c r="G7" s="171">
        <v>23.476021020571622</v>
      </c>
      <c r="H7" s="171">
        <v>23.173591907008884</v>
      </c>
      <c r="I7" s="171">
        <v>22.955044287933376</v>
      </c>
      <c r="J7" s="171">
        <v>22.861311398528002</v>
      </c>
      <c r="K7" s="171">
        <v>27.13159160787367</v>
      </c>
      <c r="P7" t="str">
        <f t="shared" si="0"/>
        <v>NRRec tons</v>
      </c>
      <c r="Q7" s="174">
        <f t="shared" si="1"/>
        <v>208.24961422743698</v>
      </c>
    </row>
    <row r="8" spans="1:19" x14ac:dyDescent="0.2">
      <c r="A8" t="s">
        <v>65</v>
      </c>
      <c r="C8" t="s">
        <v>59</v>
      </c>
      <c r="D8" s="171">
        <v>58.337369779619266</v>
      </c>
      <c r="E8" s="171">
        <v>29.393476406616674</v>
      </c>
      <c r="F8" s="171">
        <v>24.473215003766711</v>
      </c>
      <c r="G8" s="171">
        <v>23.491359212689389</v>
      </c>
      <c r="H8" s="171">
        <v>20.330110068703089</v>
      </c>
      <c r="I8" s="171">
        <v>35.933745948651016</v>
      </c>
      <c r="J8" s="171">
        <v>24.847268349442242</v>
      </c>
      <c r="K8" s="171">
        <v>11.076530632856572</v>
      </c>
      <c r="P8" t="str">
        <f t="shared" si="0"/>
        <v xml:space="preserve">NRYW tons </v>
      </c>
      <c r="Q8" s="174">
        <f t="shared" si="1"/>
        <v>227.88307540234493</v>
      </c>
      <c r="S8" t="s">
        <v>60</v>
      </c>
    </row>
    <row r="9" spans="1:19" x14ac:dyDescent="0.2">
      <c r="A9" t="s">
        <v>55</v>
      </c>
      <c r="B9" t="s">
        <v>61</v>
      </c>
      <c r="C9" t="s">
        <v>56</v>
      </c>
      <c r="D9" s="170">
        <v>2832</v>
      </c>
      <c r="E9" s="170">
        <v>2823</v>
      </c>
      <c r="F9" s="170">
        <v>2801</v>
      </c>
      <c r="G9" s="170">
        <v>2876</v>
      </c>
      <c r="H9" s="170">
        <v>2869</v>
      </c>
      <c r="I9" s="170">
        <v>2844</v>
      </c>
      <c r="J9" s="170">
        <v>2818</v>
      </c>
      <c r="K9" s="170">
        <v>2873</v>
      </c>
      <c r="L9" s="170">
        <v>2841</v>
      </c>
      <c r="M9" s="170">
        <v>2863</v>
      </c>
      <c r="N9" s="170">
        <v>2897</v>
      </c>
      <c r="O9" s="170">
        <v>2913</v>
      </c>
      <c r="P9" t="str">
        <f t="shared" si="0"/>
        <v>RREC cust</v>
      </c>
      <c r="Q9" s="174">
        <f t="shared" si="1"/>
        <v>34250</v>
      </c>
      <c r="S9" s="174">
        <f>SUM(Q12,Q18,Q51,Q57,Q85,Q91,Q115,Q121,Q133,Q145)</f>
        <v>24490.922273643188</v>
      </c>
    </row>
    <row r="10" spans="1:19" x14ac:dyDescent="0.2">
      <c r="A10" t="s">
        <v>55</v>
      </c>
      <c r="C10" t="s">
        <v>57</v>
      </c>
      <c r="D10" s="170">
        <v>1379</v>
      </c>
      <c r="E10" s="170">
        <v>1394</v>
      </c>
      <c r="F10" s="170">
        <v>1402</v>
      </c>
      <c r="G10" s="170">
        <v>1431</v>
      </c>
      <c r="H10" s="170">
        <v>1424</v>
      </c>
      <c r="I10" s="170">
        <v>1403</v>
      </c>
      <c r="J10" s="170">
        <v>1382</v>
      </c>
      <c r="K10" s="170">
        <v>1394</v>
      </c>
      <c r="L10" s="170">
        <v>1371</v>
      </c>
      <c r="M10" s="170">
        <v>1379</v>
      </c>
      <c r="N10" s="170">
        <v>1406</v>
      </c>
      <c r="O10" s="170">
        <v>1424</v>
      </c>
      <c r="P10" t="str">
        <f t="shared" si="0"/>
        <v>RYW cust</v>
      </c>
      <c r="Q10" s="174">
        <f t="shared" si="1"/>
        <v>16789</v>
      </c>
    </row>
    <row r="11" spans="1:19" x14ac:dyDescent="0.2">
      <c r="A11" t="s">
        <v>55</v>
      </c>
      <c r="D11" s="170"/>
      <c r="E11" s="170"/>
      <c r="F11" s="170"/>
      <c r="G11" s="170"/>
      <c r="H11" s="170"/>
      <c r="I11" s="170"/>
      <c r="J11" s="170"/>
      <c r="K11" s="170"/>
      <c r="L11" s="171"/>
      <c r="M11" s="171"/>
      <c r="N11" s="171"/>
      <c r="O11" s="171"/>
      <c r="P11" t="str">
        <f t="shared" si="0"/>
        <v>R</v>
      </c>
      <c r="Q11" s="174">
        <f t="shared" si="1"/>
        <v>0</v>
      </c>
      <c r="S11" t="s">
        <v>143</v>
      </c>
    </row>
    <row r="12" spans="1:19" x14ac:dyDescent="0.2">
      <c r="A12" t="s">
        <v>55</v>
      </c>
      <c r="C12" t="s">
        <v>60</v>
      </c>
      <c r="D12" s="171">
        <v>183.22493432016637</v>
      </c>
      <c r="E12" s="171">
        <v>165.36163619859823</v>
      </c>
      <c r="F12" s="171">
        <v>200.1868107892696</v>
      </c>
      <c r="G12" s="171">
        <v>167.12942921955118</v>
      </c>
      <c r="H12" s="171">
        <v>163.44730816643343</v>
      </c>
      <c r="I12" s="171">
        <v>238.74330624527161</v>
      </c>
      <c r="J12" s="171">
        <v>167.93175589184912</v>
      </c>
      <c r="K12" s="171">
        <v>160.01770149396876</v>
      </c>
      <c r="L12">
        <v>179.34309138691202</v>
      </c>
      <c r="M12">
        <v>153.37666845684157</v>
      </c>
      <c r="N12">
        <v>147.93041155675792</v>
      </c>
      <c r="O12">
        <v>193.61207095192691</v>
      </c>
      <c r="P12" t="str">
        <f t="shared" si="0"/>
        <v>RMSW tons</v>
      </c>
      <c r="Q12" s="174">
        <f t="shared" si="1"/>
        <v>2120.3051246775472</v>
      </c>
      <c r="S12" s="174">
        <f>SUM(Q13,Q19,Q50,Q56,Q86,Q92,Q116,Q122,Q134,Q146,)</f>
        <v>13531.98796969853</v>
      </c>
    </row>
    <row r="13" spans="1:19" x14ac:dyDescent="0.2">
      <c r="A13" t="s">
        <v>55</v>
      </c>
      <c r="C13" t="s">
        <v>59</v>
      </c>
      <c r="D13" s="171">
        <v>161.71840334349645</v>
      </c>
      <c r="E13" s="171">
        <v>131.25036414510134</v>
      </c>
      <c r="F13" s="171">
        <v>77.939321573764801</v>
      </c>
      <c r="G13" s="171">
        <v>63.637425020254781</v>
      </c>
      <c r="H13" s="171">
        <v>86.067354339132081</v>
      </c>
      <c r="I13" s="171">
        <v>103.72185261158874</v>
      </c>
      <c r="J13" s="171">
        <v>76.487278912571455</v>
      </c>
      <c r="K13" s="171">
        <v>45.565473925314777</v>
      </c>
      <c r="L13">
        <v>36.147986207662406</v>
      </c>
      <c r="M13">
        <v>46.901813568090688</v>
      </c>
      <c r="N13">
        <v>65.872097428201258</v>
      </c>
      <c r="O13">
        <v>137.35894054182708</v>
      </c>
      <c r="P13" t="str">
        <f t="shared" si="0"/>
        <v xml:space="preserve">RYW tons </v>
      </c>
      <c r="Q13" s="174">
        <f t="shared" si="1"/>
        <v>1032.6683116170059</v>
      </c>
    </row>
    <row r="14" spans="1:19" x14ac:dyDescent="0.2">
      <c r="A14" t="s">
        <v>55</v>
      </c>
      <c r="C14" t="s">
        <v>58</v>
      </c>
      <c r="D14" s="171">
        <v>69.642205343728747</v>
      </c>
      <c r="E14" s="171">
        <v>68.056441708797365</v>
      </c>
      <c r="F14" s="171">
        <v>99.112054946220013</v>
      </c>
      <c r="G14" s="171">
        <v>73.729679765851301</v>
      </c>
      <c r="H14" s="171">
        <v>66.191224112393826</v>
      </c>
      <c r="I14" s="171">
        <v>58.027421864686048</v>
      </c>
      <c r="J14" s="171">
        <v>48.390702456035406</v>
      </c>
      <c r="K14" s="171">
        <v>97.34563426399464</v>
      </c>
      <c r="L14" s="171">
        <v>80.668303835100517</v>
      </c>
      <c r="M14" s="171">
        <v>54.481030615268047</v>
      </c>
      <c r="N14" s="171">
        <v>66.615040763238042</v>
      </c>
      <c r="O14" s="171">
        <v>59.627523868400317</v>
      </c>
      <c r="P14" t="str">
        <f t="shared" si="0"/>
        <v>RRec tons</v>
      </c>
      <c r="Q14" s="174">
        <f t="shared" si="1"/>
        <v>841.88726354371431</v>
      </c>
    </row>
    <row r="15" spans="1:19" x14ac:dyDescent="0.2">
      <c r="A15" t="s">
        <v>55</v>
      </c>
      <c r="B15" t="s">
        <v>62</v>
      </c>
      <c r="C15" t="s">
        <v>56</v>
      </c>
      <c r="D15">
        <v>1842</v>
      </c>
      <c r="E15">
        <v>1845</v>
      </c>
      <c r="F15">
        <v>1809</v>
      </c>
      <c r="G15">
        <v>1846</v>
      </c>
      <c r="H15">
        <v>1849</v>
      </c>
      <c r="I15">
        <v>1825</v>
      </c>
      <c r="J15">
        <v>1841</v>
      </c>
      <c r="K15">
        <v>1850</v>
      </c>
      <c r="L15" s="170">
        <v>1830</v>
      </c>
      <c r="M15">
        <v>1852</v>
      </c>
      <c r="N15" s="170">
        <v>1862</v>
      </c>
      <c r="O15" s="170">
        <v>1867</v>
      </c>
      <c r="P15" t="str">
        <f t="shared" si="0"/>
        <v>RREC cust</v>
      </c>
      <c r="Q15" s="174">
        <f t="shared" si="1"/>
        <v>22118</v>
      </c>
    </row>
    <row r="16" spans="1:19" x14ac:dyDescent="0.2">
      <c r="A16" t="s">
        <v>55</v>
      </c>
      <c r="C16" t="s">
        <v>57</v>
      </c>
      <c r="D16">
        <v>1155</v>
      </c>
      <c r="E16">
        <v>1162</v>
      </c>
      <c r="F16">
        <v>1152</v>
      </c>
      <c r="G16">
        <v>1170</v>
      </c>
      <c r="H16">
        <v>1166</v>
      </c>
      <c r="I16">
        <v>1137</v>
      </c>
      <c r="J16">
        <v>1146</v>
      </c>
      <c r="K16">
        <v>1150</v>
      </c>
      <c r="L16" s="170">
        <v>1120</v>
      </c>
      <c r="M16">
        <v>1131</v>
      </c>
      <c r="N16" s="170">
        <v>1153</v>
      </c>
      <c r="O16" s="170">
        <v>1166</v>
      </c>
      <c r="P16" t="str">
        <f t="shared" si="0"/>
        <v>RYW cust</v>
      </c>
      <c r="Q16" s="174">
        <f t="shared" si="1"/>
        <v>13808</v>
      </c>
    </row>
    <row r="17" spans="1:17" x14ac:dyDescent="0.2">
      <c r="A17" t="s">
        <v>55</v>
      </c>
      <c r="P17" t="str">
        <f t="shared" si="0"/>
        <v>R</v>
      </c>
      <c r="Q17" s="174">
        <f t="shared" si="1"/>
        <v>0</v>
      </c>
    </row>
    <row r="18" spans="1:17" x14ac:dyDescent="0.2">
      <c r="A18" t="s">
        <v>55</v>
      </c>
      <c r="C18" t="s">
        <v>60</v>
      </c>
      <c r="D18">
        <v>106.50304123815378</v>
      </c>
      <c r="E18">
        <v>103.40904255674457</v>
      </c>
      <c r="F18">
        <v>84.990462494155381</v>
      </c>
      <c r="G18">
        <v>88.091940211471297</v>
      </c>
      <c r="H18">
        <v>113.41662144182156</v>
      </c>
      <c r="I18">
        <v>78.831520376638011</v>
      </c>
      <c r="J18">
        <v>86.046310065412939</v>
      </c>
      <c r="K18">
        <v>130.13624015761025</v>
      </c>
      <c r="L18">
        <v>89.689829310374847</v>
      </c>
      <c r="M18">
        <v>74.854846736668264</v>
      </c>
      <c r="N18">
        <v>98.759299597449029</v>
      </c>
      <c r="O18">
        <v>91.016045489988855</v>
      </c>
      <c r="P18" t="str">
        <f t="shared" si="0"/>
        <v>RMSW tons</v>
      </c>
      <c r="Q18" s="174">
        <f t="shared" si="1"/>
        <v>1145.7451996764887</v>
      </c>
    </row>
    <row r="19" spans="1:17" x14ac:dyDescent="0.2">
      <c r="A19" t="s">
        <v>55</v>
      </c>
      <c r="C19" t="s">
        <v>59</v>
      </c>
      <c r="D19">
        <v>127.06464710266494</v>
      </c>
      <c r="E19">
        <v>102.87027750923654</v>
      </c>
      <c r="F19">
        <v>90.819460277590252</v>
      </c>
      <c r="G19">
        <v>67.523932938205505</v>
      </c>
      <c r="H19">
        <v>79.4932228723262</v>
      </c>
      <c r="I19">
        <v>80.086510347151645</v>
      </c>
      <c r="J19">
        <v>90.664708378070358</v>
      </c>
      <c r="K19">
        <v>48.712515975935965</v>
      </c>
      <c r="L19" s="171">
        <v>14.273169527147505</v>
      </c>
      <c r="M19" s="171">
        <v>32.570180885014842</v>
      </c>
      <c r="N19" s="171">
        <v>78.769567933083863</v>
      </c>
      <c r="O19" s="171">
        <v>98.412882704527277</v>
      </c>
      <c r="P19" t="str">
        <f t="shared" si="0"/>
        <v xml:space="preserve">RYW tons </v>
      </c>
      <c r="Q19" s="174">
        <f t="shared" si="1"/>
        <v>911.26107645095487</v>
      </c>
    </row>
    <row r="20" spans="1:17" x14ac:dyDescent="0.2">
      <c r="A20" t="s">
        <v>55</v>
      </c>
      <c r="C20" t="s">
        <v>58</v>
      </c>
      <c r="D20">
        <v>49.265547041243011</v>
      </c>
      <c r="E20">
        <v>88.54156674753321</v>
      </c>
      <c r="F20">
        <v>48.688468322390165</v>
      </c>
      <c r="G20">
        <v>44.736859886786007</v>
      </c>
      <c r="H20">
        <v>32.178393019015303</v>
      </c>
      <c r="I20">
        <v>42.013096582634979</v>
      </c>
      <c r="J20">
        <v>40.669445802537147</v>
      </c>
      <c r="K20">
        <v>75.400455510796775</v>
      </c>
      <c r="L20" s="171">
        <v>44.828345006343305</v>
      </c>
      <c r="M20" s="171">
        <v>38.335369894418797</v>
      </c>
      <c r="N20" s="171">
        <v>48.425226247235734</v>
      </c>
      <c r="O20" s="171">
        <v>44.617681339652144</v>
      </c>
      <c r="P20" t="str">
        <f t="shared" si="0"/>
        <v>RRec tons</v>
      </c>
      <c r="Q20" s="174">
        <f t="shared" si="1"/>
        <v>597.70045540058663</v>
      </c>
    </row>
    <row r="21" spans="1:17" x14ac:dyDescent="0.2">
      <c r="A21" t="s">
        <v>65</v>
      </c>
      <c r="B21" t="s">
        <v>63</v>
      </c>
      <c r="C21" t="s">
        <v>56</v>
      </c>
      <c r="D21">
        <v>1939</v>
      </c>
      <c r="E21">
        <v>1948</v>
      </c>
      <c r="F21">
        <v>1932</v>
      </c>
      <c r="G21">
        <v>1940</v>
      </c>
      <c r="H21">
        <v>1949</v>
      </c>
      <c r="I21">
        <v>1940</v>
      </c>
      <c r="J21">
        <v>1941</v>
      </c>
      <c r="K21">
        <v>1948</v>
      </c>
      <c r="P21" t="str">
        <f t="shared" si="0"/>
        <v>NRREC cust</v>
      </c>
      <c r="Q21" s="174">
        <f t="shared" si="1"/>
        <v>15537</v>
      </c>
    </row>
    <row r="22" spans="1:17" x14ac:dyDescent="0.2">
      <c r="A22" t="s">
        <v>65</v>
      </c>
      <c r="C22" t="s">
        <v>57</v>
      </c>
      <c r="D22">
        <v>1223</v>
      </c>
      <c r="E22">
        <v>1235</v>
      </c>
      <c r="F22">
        <v>1237</v>
      </c>
      <c r="G22">
        <v>1245</v>
      </c>
      <c r="H22">
        <v>1249</v>
      </c>
      <c r="I22">
        <v>1249</v>
      </c>
      <c r="J22">
        <v>1239</v>
      </c>
      <c r="K22">
        <v>1231</v>
      </c>
      <c r="P22" t="str">
        <f t="shared" si="0"/>
        <v>NRYW cust</v>
      </c>
      <c r="Q22" s="174">
        <f t="shared" si="1"/>
        <v>9908</v>
      </c>
    </row>
    <row r="23" spans="1:17" x14ac:dyDescent="0.2">
      <c r="A23" t="s">
        <v>65</v>
      </c>
      <c r="P23" t="str">
        <f t="shared" si="0"/>
        <v>NR</v>
      </c>
      <c r="Q23" s="174">
        <f t="shared" si="1"/>
        <v>0</v>
      </c>
    </row>
    <row r="24" spans="1:17" x14ac:dyDescent="0.2">
      <c r="A24" t="s">
        <v>65</v>
      </c>
      <c r="C24" t="s">
        <v>60</v>
      </c>
      <c r="D24">
        <v>68.863458560665634</v>
      </c>
      <c r="E24">
        <v>85.298742535212909</v>
      </c>
      <c r="F24">
        <v>121.09917826935811</v>
      </c>
      <c r="G24">
        <v>103.52032661098464</v>
      </c>
      <c r="H24">
        <v>123.9445167816526</v>
      </c>
      <c r="I24">
        <v>93.253672809953031</v>
      </c>
      <c r="J24">
        <v>95.27036198735675</v>
      </c>
      <c r="K24">
        <v>124.96867215772519</v>
      </c>
      <c r="P24" t="str">
        <f t="shared" si="0"/>
        <v>NRMSW tons</v>
      </c>
      <c r="Q24" s="174">
        <f t="shared" si="1"/>
        <v>816.2189297129089</v>
      </c>
    </row>
    <row r="25" spans="1:17" x14ac:dyDescent="0.2">
      <c r="A25" t="s">
        <v>65</v>
      </c>
      <c r="C25" t="s">
        <v>58</v>
      </c>
      <c r="D25">
        <v>54.29950421920789</v>
      </c>
      <c r="E25">
        <v>67.734967967321026</v>
      </c>
      <c r="F25">
        <v>76.57726099476865</v>
      </c>
      <c r="G25">
        <v>52.219427282895907</v>
      </c>
      <c r="H25">
        <v>56.539780309521824</v>
      </c>
      <c r="I25">
        <v>50.513397809546646</v>
      </c>
      <c r="J25">
        <v>52.8210251796283</v>
      </c>
      <c r="K25">
        <v>90.468797545254901</v>
      </c>
      <c r="P25" t="str">
        <f t="shared" si="0"/>
        <v>NRRec tons</v>
      </c>
      <c r="Q25" s="174">
        <f t="shared" si="1"/>
        <v>501.17416130814513</v>
      </c>
    </row>
    <row r="26" spans="1:17" x14ac:dyDescent="0.2">
      <c r="A26" t="s">
        <v>65</v>
      </c>
      <c r="C26" t="s">
        <v>59</v>
      </c>
      <c r="D26">
        <v>101.60597562290978</v>
      </c>
      <c r="E26">
        <v>109.74777034098527</v>
      </c>
      <c r="F26">
        <v>89.021871727749115</v>
      </c>
      <c r="G26">
        <v>71.362386932106176</v>
      </c>
      <c r="H26">
        <v>115.30292731557181</v>
      </c>
      <c r="I26">
        <v>94.187866165740687</v>
      </c>
      <c r="J26">
        <v>110.98096169598718</v>
      </c>
      <c r="K26">
        <v>75.411706981568599</v>
      </c>
      <c r="P26" t="str">
        <f t="shared" si="0"/>
        <v xml:space="preserve">NRYW tons </v>
      </c>
      <c r="Q26" s="174">
        <f t="shared" si="1"/>
        <v>767.62146678261865</v>
      </c>
    </row>
    <row r="27" spans="1:17" x14ac:dyDescent="0.2">
      <c r="A27" t="s">
        <v>65</v>
      </c>
      <c r="B27" t="s">
        <v>64</v>
      </c>
      <c r="C27" t="s">
        <v>56</v>
      </c>
      <c r="D27">
        <v>1808</v>
      </c>
      <c r="E27">
        <v>1822</v>
      </c>
      <c r="F27">
        <v>1799</v>
      </c>
      <c r="G27">
        <v>1822</v>
      </c>
      <c r="H27">
        <v>1815</v>
      </c>
      <c r="I27">
        <v>1802</v>
      </c>
      <c r="J27">
        <v>1814</v>
      </c>
      <c r="K27">
        <v>1821</v>
      </c>
      <c r="P27" t="str">
        <f t="shared" si="0"/>
        <v>NRREC cust</v>
      </c>
      <c r="Q27" s="174">
        <f t="shared" si="1"/>
        <v>14503</v>
      </c>
    </row>
    <row r="28" spans="1:17" x14ac:dyDescent="0.2">
      <c r="A28" t="s">
        <v>65</v>
      </c>
      <c r="C28" t="s">
        <v>57</v>
      </c>
      <c r="D28">
        <v>888</v>
      </c>
      <c r="E28">
        <v>899</v>
      </c>
      <c r="F28">
        <v>896</v>
      </c>
      <c r="G28">
        <v>904</v>
      </c>
      <c r="H28">
        <v>905</v>
      </c>
      <c r="I28">
        <v>886</v>
      </c>
      <c r="J28">
        <v>887</v>
      </c>
      <c r="K28">
        <v>882</v>
      </c>
      <c r="P28" t="str">
        <f t="shared" si="0"/>
        <v>NRYW cust</v>
      </c>
      <c r="Q28" s="174">
        <f t="shared" si="1"/>
        <v>7147</v>
      </c>
    </row>
    <row r="29" spans="1:17" x14ac:dyDescent="0.2">
      <c r="A29" t="s">
        <v>65</v>
      </c>
      <c r="P29" t="str">
        <f t="shared" si="0"/>
        <v>NR</v>
      </c>
      <c r="Q29" s="174">
        <f t="shared" si="1"/>
        <v>0</v>
      </c>
    </row>
    <row r="30" spans="1:17" x14ac:dyDescent="0.2">
      <c r="A30" t="s">
        <v>65</v>
      </c>
      <c r="C30" t="s">
        <v>60</v>
      </c>
      <c r="D30">
        <v>128.43543341236662</v>
      </c>
      <c r="E30">
        <v>99.714894196122358</v>
      </c>
      <c r="F30">
        <v>95.102737331793975</v>
      </c>
      <c r="G30">
        <v>113.0210338029698</v>
      </c>
      <c r="H30">
        <v>98.485304333625379</v>
      </c>
      <c r="I30">
        <v>105.34028837665721</v>
      </c>
      <c r="J30">
        <v>95.125611175124362</v>
      </c>
      <c r="K30">
        <v>99.993290619135834</v>
      </c>
      <c r="P30" t="str">
        <f t="shared" si="0"/>
        <v>NRMSW tons</v>
      </c>
      <c r="Q30" s="174">
        <f t="shared" si="1"/>
        <v>835.21859324779541</v>
      </c>
    </row>
    <row r="31" spans="1:17" x14ac:dyDescent="0.2">
      <c r="A31" t="s">
        <v>65</v>
      </c>
      <c r="C31" t="s">
        <v>58</v>
      </c>
      <c r="D31">
        <v>53.485943696825665</v>
      </c>
      <c r="E31">
        <v>60.743709398883389</v>
      </c>
      <c r="F31">
        <v>30.366660725190737</v>
      </c>
      <c r="G31">
        <v>54.183057805231876</v>
      </c>
      <c r="H31">
        <v>39.661149112899466</v>
      </c>
      <c r="I31">
        <v>42.022769579580775</v>
      </c>
      <c r="J31">
        <v>39.301567884280601</v>
      </c>
      <c r="K31">
        <v>45.734765528186365</v>
      </c>
      <c r="P31" t="str">
        <f t="shared" si="0"/>
        <v>NRRec tons</v>
      </c>
      <c r="Q31" s="174">
        <f t="shared" si="1"/>
        <v>365.49962373107883</v>
      </c>
    </row>
    <row r="32" spans="1:17" x14ac:dyDescent="0.2">
      <c r="A32" t="s">
        <v>65</v>
      </c>
      <c r="C32" t="s">
        <v>59</v>
      </c>
      <c r="D32">
        <v>136.38146903389767</v>
      </c>
      <c r="E32">
        <v>76.667019169378833</v>
      </c>
      <c r="F32">
        <v>61.225154896571325</v>
      </c>
      <c r="G32">
        <v>54.715364371109814</v>
      </c>
      <c r="H32">
        <v>43.185963203526143</v>
      </c>
      <c r="I32">
        <v>61.356189287335319</v>
      </c>
      <c r="J32">
        <v>55.20184112309002</v>
      </c>
      <c r="K32">
        <v>17.701859850920037</v>
      </c>
      <c r="P32" t="str">
        <f t="shared" si="0"/>
        <v xml:space="preserve">NRYW tons </v>
      </c>
      <c r="Q32" s="174">
        <f t="shared" si="1"/>
        <v>506.43486093582914</v>
      </c>
    </row>
    <row r="33" spans="1:17" x14ac:dyDescent="0.2">
      <c r="A33" t="s">
        <v>65</v>
      </c>
      <c r="B33" t="s">
        <v>66</v>
      </c>
      <c r="C33" t="s">
        <v>56</v>
      </c>
      <c r="D33" s="170">
        <v>3987</v>
      </c>
      <c r="E33" s="170">
        <v>0</v>
      </c>
      <c r="F33" s="170">
        <v>0</v>
      </c>
      <c r="G33" s="170">
        <v>0</v>
      </c>
      <c r="H33" s="170">
        <v>0</v>
      </c>
      <c r="I33" s="170">
        <v>0</v>
      </c>
      <c r="J33" s="170">
        <v>0</v>
      </c>
      <c r="K33" s="170">
        <v>0</v>
      </c>
      <c r="P33" t="str">
        <f t="shared" si="0"/>
        <v>NRREC cust</v>
      </c>
      <c r="Q33" s="174">
        <f t="shared" si="1"/>
        <v>3987</v>
      </c>
    </row>
    <row r="34" spans="1:17" x14ac:dyDescent="0.2">
      <c r="A34" t="s">
        <v>65</v>
      </c>
      <c r="C34" t="s">
        <v>57</v>
      </c>
      <c r="D34" s="170">
        <v>1449</v>
      </c>
      <c r="E34" s="170">
        <v>0</v>
      </c>
      <c r="F34" s="170">
        <v>0</v>
      </c>
      <c r="G34" s="170">
        <v>0</v>
      </c>
      <c r="H34" s="170">
        <v>0</v>
      </c>
      <c r="I34" s="170">
        <v>0</v>
      </c>
      <c r="J34" s="170">
        <v>0</v>
      </c>
      <c r="K34" s="170">
        <v>0</v>
      </c>
      <c r="P34" t="str">
        <f t="shared" si="0"/>
        <v>NRYW cust</v>
      </c>
      <c r="Q34" s="174">
        <f t="shared" si="1"/>
        <v>1449</v>
      </c>
    </row>
    <row r="35" spans="1:17" x14ac:dyDescent="0.2">
      <c r="A35" t="s">
        <v>65</v>
      </c>
      <c r="D35" s="171"/>
      <c r="E35" s="171"/>
      <c r="F35" s="171"/>
      <c r="G35" s="171"/>
      <c r="H35" s="171"/>
      <c r="I35" s="171"/>
      <c r="J35" s="171"/>
      <c r="K35" s="171"/>
      <c r="P35" t="str">
        <f t="shared" si="0"/>
        <v>NR</v>
      </c>
      <c r="Q35" s="174">
        <f t="shared" si="1"/>
        <v>0</v>
      </c>
    </row>
    <row r="36" spans="1:17" x14ac:dyDescent="0.2">
      <c r="A36" t="s">
        <v>65</v>
      </c>
      <c r="C36" t="s">
        <v>60</v>
      </c>
      <c r="D36" s="171">
        <v>237.9782552678675</v>
      </c>
      <c r="E36" s="171">
        <v>0</v>
      </c>
      <c r="F36" s="171">
        <v>0</v>
      </c>
      <c r="G36" s="171">
        <v>0</v>
      </c>
      <c r="H36" s="171">
        <v>0</v>
      </c>
      <c r="I36" s="171">
        <v>0</v>
      </c>
      <c r="J36" s="171">
        <v>0</v>
      </c>
      <c r="K36" s="171">
        <v>0</v>
      </c>
      <c r="P36" t="str">
        <f t="shared" si="0"/>
        <v>NRMSW tons</v>
      </c>
      <c r="Q36" s="174">
        <f t="shared" si="1"/>
        <v>237.9782552678675</v>
      </c>
    </row>
    <row r="37" spans="1:17" x14ac:dyDescent="0.2">
      <c r="A37" t="s">
        <v>65</v>
      </c>
      <c r="C37" t="s">
        <v>58</v>
      </c>
      <c r="D37" s="171">
        <v>118.49799875694596</v>
      </c>
      <c r="E37" s="171">
        <v>0</v>
      </c>
      <c r="F37" s="171">
        <v>0</v>
      </c>
      <c r="G37" s="171">
        <v>0</v>
      </c>
      <c r="H37" s="171">
        <v>0</v>
      </c>
      <c r="I37" s="171">
        <v>0</v>
      </c>
      <c r="J37" s="171">
        <v>0</v>
      </c>
      <c r="K37" s="171">
        <v>0</v>
      </c>
      <c r="P37" t="str">
        <f t="shared" si="0"/>
        <v>NRRec tons</v>
      </c>
      <c r="Q37" s="174">
        <f t="shared" si="1"/>
        <v>118.49799875694596</v>
      </c>
    </row>
    <row r="38" spans="1:17" x14ac:dyDescent="0.2">
      <c r="A38" t="s">
        <v>65</v>
      </c>
      <c r="C38" t="s">
        <v>59</v>
      </c>
      <c r="D38" s="171">
        <v>154.26996067248385</v>
      </c>
      <c r="E38" s="171">
        <v>0</v>
      </c>
      <c r="F38" s="171">
        <v>0</v>
      </c>
      <c r="G38" s="171">
        <v>0</v>
      </c>
      <c r="H38" s="171">
        <v>0</v>
      </c>
      <c r="I38" s="171">
        <v>0</v>
      </c>
      <c r="J38" s="171">
        <v>0</v>
      </c>
      <c r="K38" s="171">
        <v>0</v>
      </c>
      <c r="P38" t="str">
        <f t="shared" si="0"/>
        <v xml:space="preserve">NRYW tons </v>
      </c>
      <c r="Q38" s="174">
        <f t="shared" si="1"/>
        <v>154.26996067248385</v>
      </c>
    </row>
    <row r="39" spans="1:17" x14ac:dyDescent="0.2">
      <c r="A39" s="319">
        <v>176</v>
      </c>
      <c r="B39" s="319"/>
      <c r="P39" t="str">
        <f t="shared" si="0"/>
        <v>176</v>
      </c>
      <c r="Q39" s="174">
        <f t="shared" si="1"/>
        <v>0</v>
      </c>
    </row>
    <row r="40" spans="1:17" x14ac:dyDescent="0.2">
      <c r="A40" t="s">
        <v>65</v>
      </c>
      <c r="B40" t="s">
        <v>67</v>
      </c>
      <c r="C40" t="s">
        <v>56</v>
      </c>
      <c r="D40" s="170">
        <v>2807</v>
      </c>
      <c r="E40" s="170">
        <v>2803</v>
      </c>
      <c r="F40" s="170">
        <v>2825</v>
      </c>
      <c r="G40" s="170">
        <v>2835</v>
      </c>
      <c r="H40" s="170">
        <v>2849</v>
      </c>
      <c r="I40" s="170">
        <v>2854</v>
      </c>
      <c r="J40" s="170">
        <v>2860</v>
      </c>
      <c r="K40" s="170">
        <v>2897</v>
      </c>
      <c r="P40" t="str">
        <f t="shared" si="0"/>
        <v>NRREC cust</v>
      </c>
      <c r="Q40" s="174">
        <f t="shared" si="1"/>
        <v>22730</v>
      </c>
    </row>
    <row r="41" spans="1:17" x14ac:dyDescent="0.2">
      <c r="A41" t="s">
        <v>65</v>
      </c>
      <c r="C41" t="s">
        <v>57</v>
      </c>
      <c r="D41" s="170">
        <v>1277</v>
      </c>
      <c r="E41" s="170">
        <v>1288</v>
      </c>
      <c r="F41" s="170">
        <v>1288</v>
      </c>
      <c r="G41" s="170">
        <v>1290</v>
      </c>
      <c r="H41" s="170">
        <v>1288</v>
      </c>
      <c r="I41" s="170">
        <v>1298</v>
      </c>
      <c r="J41" s="170">
        <v>1284</v>
      </c>
      <c r="K41" s="170">
        <v>1293</v>
      </c>
      <c r="P41" t="str">
        <f t="shared" si="0"/>
        <v>NRYW cust</v>
      </c>
      <c r="Q41" s="174">
        <f t="shared" si="1"/>
        <v>10306</v>
      </c>
    </row>
    <row r="42" spans="1:17" x14ac:dyDescent="0.2">
      <c r="A42" t="s">
        <v>65</v>
      </c>
      <c r="D42" s="170"/>
      <c r="E42" s="170"/>
      <c r="F42" s="170"/>
      <c r="G42" s="170"/>
      <c r="H42" s="170"/>
      <c r="I42" s="170"/>
      <c r="J42" s="170"/>
      <c r="K42" s="170"/>
      <c r="P42" t="str">
        <f t="shared" si="0"/>
        <v>NR</v>
      </c>
      <c r="Q42" s="174">
        <f t="shared" si="1"/>
        <v>0</v>
      </c>
    </row>
    <row r="43" spans="1:17" x14ac:dyDescent="0.2">
      <c r="A43" t="s">
        <v>65</v>
      </c>
      <c r="C43" t="s">
        <v>58</v>
      </c>
      <c r="D43" s="171">
        <v>81.101833966201696</v>
      </c>
      <c r="E43" s="171">
        <v>67.881061686728231</v>
      </c>
      <c r="F43" s="171">
        <v>61.212007116024381</v>
      </c>
      <c r="G43" s="171">
        <v>47.783688759615465</v>
      </c>
      <c r="H43" s="171">
        <v>87.370596959140443</v>
      </c>
      <c r="I43" s="171">
        <v>79.666781072264925</v>
      </c>
      <c r="J43" s="171">
        <v>66.097537518158219</v>
      </c>
      <c r="K43" s="171">
        <v>70.782533405379624</v>
      </c>
      <c r="P43" t="str">
        <f t="shared" si="0"/>
        <v>NRRec tons</v>
      </c>
      <c r="Q43" s="174">
        <f t="shared" si="1"/>
        <v>561.89604048351293</v>
      </c>
    </row>
    <row r="44" spans="1:17" x14ac:dyDescent="0.2">
      <c r="A44" t="s">
        <v>65</v>
      </c>
      <c r="C44" t="s">
        <v>59</v>
      </c>
      <c r="D44" s="171">
        <v>128.35489703593669</v>
      </c>
      <c r="E44" s="171">
        <v>132.7427652229353</v>
      </c>
      <c r="F44" s="171">
        <v>108.56488891432427</v>
      </c>
      <c r="G44" s="171">
        <v>97.939221617894489</v>
      </c>
      <c r="H44" s="171">
        <v>88.588476845298047</v>
      </c>
      <c r="I44" s="171">
        <v>80.476998534526075</v>
      </c>
      <c r="J44" s="171">
        <v>76.083403255484455</v>
      </c>
      <c r="K44" s="171">
        <v>56.42</v>
      </c>
      <c r="P44" t="str">
        <f t="shared" si="0"/>
        <v xml:space="preserve">NRYW tons </v>
      </c>
      <c r="Q44" s="174">
        <f t="shared" si="1"/>
        <v>769.17065142639922</v>
      </c>
    </row>
    <row r="45" spans="1:17" x14ac:dyDescent="0.2">
      <c r="A45" t="s">
        <v>65</v>
      </c>
      <c r="C45" t="s">
        <v>60</v>
      </c>
      <c r="D45" s="171">
        <v>206.66487192276213</v>
      </c>
      <c r="E45" s="171">
        <v>168.83631783705596</v>
      </c>
      <c r="F45" s="171">
        <v>200.25468080561404</v>
      </c>
      <c r="G45" s="171">
        <v>186.73313901304218</v>
      </c>
      <c r="H45" s="171">
        <v>204.28649589099385</v>
      </c>
      <c r="I45" s="171">
        <v>197.24676232017711</v>
      </c>
      <c r="J45" s="171">
        <v>168.29958325648431</v>
      </c>
      <c r="K45" s="171">
        <v>187.91</v>
      </c>
      <c r="P45" t="str">
        <f t="shared" si="0"/>
        <v>NRMSW tons</v>
      </c>
      <c r="Q45" s="174">
        <f t="shared" si="1"/>
        <v>1520.2318510461296</v>
      </c>
    </row>
    <row r="46" spans="1:17" x14ac:dyDescent="0.2">
      <c r="A46" t="s">
        <v>55</v>
      </c>
      <c r="B46" t="s">
        <v>68</v>
      </c>
      <c r="C46" t="s">
        <v>56</v>
      </c>
      <c r="D46">
        <v>1159</v>
      </c>
      <c r="E46">
        <v>1157</v>
      </c>
      <c r="F46">
        <v>1166</v>
      </c>
      <c r="G46">
        <v>1164</v>
      </c>
      <c r="H46">
        <v>1168</v>
      </c>
      <c r="I46">
        <v>1165</v>
      </c>
      <c r="J46">
        <v>1166</v>
      </c>
      <c r="K46">
        <v>1177</v>
      </c>
      <c r="L46">
        <v>1168</v>
      </c>
      <c r="M46">
        <v>1166</v>
      </c>
      <c r="N46">
        <v>1170</v>
      </c>
      <c r="O46">
        <v>1166</v>
      </c>
      <c r="P46" t="str">
        <f t="shared" si="0"/>
        <v>RREC cust</v>
      </c>
      <c r="Q46" s="174">
        <f t="shared" si="1"/>
        <v>13992</v>
      </c>
    </row>
    <row r="47" spans="1:17" x14ac:dyDescent="0.2">
      <c r="A47" t="s">
        <v>55</v>
      </c>
      <c r="C47" t="s">
        <v>57</v>
      </c>
      <c r="D47">
        <v>533</v>
      </c>
      <c r="E47">
        <v>541</v>
      </c>
      <c r="F47">
        <v>544</v>
      </c>
      <c r="G47">
        <v>542</v>
      </c>
      <c r="H47">
        <v>548</v>
      </c>
      <c r="I47">
        <v>548</v>
      </c>
      <c r="J47">
        <v>545</v>
      </c>
      <c r="K47">
        <v>549</v>
      </c>
      <c r="L47">
        <v>545</v>
      </c>
      <c r="M47">
        <v>542</v>
      </c>
      <c r="N47">
        <v>558</v>
      </c>
      <c r="O47">
        <v>566</v>
      </c>
      <c r="P47" t="str">
        <f t="shared" si="0"/>
        <v>RYW cust</v>
      </c>
      <c r="Q47" s="174">
        <f t="shared" si="1"/>
        <v>6561</v>
      </c>
    </row>
    <row r="48" spans="1:17" x14ac:dyDescent="0.2">
      <c r="A48" t="s">
        <v>55</v>
      </c>
      <c r="P48" t="str">
        <f t="shared" si="0"/>
        <v>R</v>
      </c>
      <c r="Q48" s="174">
        <f t="shared" si="1"/>
        <v>0</v>
      </c>
    </row>
    <row r="49" spans="1:17" x14ac:dyDescent="0.2">
      <c r="A49" t="s">
        <v>55</v>
      </c>
      <c r="C49" t="s">
        <v>58</v>
      </c>
      <c r="D49">
        <v>38.171576992805065</v>
      </c>
      <c r="E49">
        <v>29.006975604908614</v>
      </c>
      <c r="F49">
        <v>22.542195935181404</v>
      </c>
      <c r="G49">
        <v>17.526108407641765</v>
      </c>
      <c r="H49">
        <v>28.732572753307693</v>
      </c>
      <c r="I49">
        <v>32.714209517756153</v>
      </c>
      <c r="J49">
        <v>26.774126285195194</v>
      </c>
      <c r="K49">
        <v>22.72919533840204</v>
      </c>
      <c r="L49" s="203">
        <v>29.287022723303767</v>
      </c>
      <c r="M49" s="203">
        <v>25.494888037517644</v>
      </c>
      <c r="N49" s="203">
        <v>33.383118447591734</v>
      </c>
      <c r="O49" s="203">
        <v>23.180889282424083</v>
      </c>
      <c r="P49" t="str">
        <f t="shared" si="0"/>
        <v>RRec tons</v>
      </c>
      <c r="Q49" s="174">
        <f t="shared" si="1"/>
        <v>329.54287932603518</v>
      </c>
    </row>
    <row r="50" spans="1:17" x14ac:dyDescent="0.2">
      <c r="A50" t="s">
        <v>55</v>
      </c>
      <c r="C50" t="s">
        <v>59</v>
      </c>
      <c r="D50">
        <v>84.743635604132052</v>
      </c>
      <c r="E50">
        <v>58.020827051267013</v>
      </c>
      <c r="F50">
        <v>89.534846795687301</v>
      </c>
      <c r="G50">
        <v>59.25801253224536</v>
      </c>
      <c r="H50">
        <v>32.334550310729703</v>
      </c>
      <c r="I50">
        <v>38.773718736538626</v>
      </c>
      <c r="J50">
        <v>57.178770711811374</v>
      </c>
      <c r="K50">
        <v>47.282610144328991</v>
      </c>
      <c r="L50" s="203">
        <v>27.773955623376214</v>
      </c>
      <c r="M50" s="203">
        <v>27.021643305811388</v>
      </c>
      <c r="N50" s="203">
        <v>29.471005381809608</v>
      </c>
      <c r="O50" s="203">
        <v>51.850103677002885</v>
      </c>
      <c r="P50" t="str">
        <f t="shared" si="0"/>
        <v xml:space="preserve">RYW tons </v>
      </c>
      <c r="Q50" s="174">
        <f t="shared" si="1"/>
        <v>603.24367987474045</v>
      </c>
    </row>
    <row r="51" spans="1:17" x14ac:dyDescent="0.2">
      <c r="A51" t="s">
        <v>55</v>
      </c>
      <c r="C51" t="s">
        <v>60</v>
      </c>
      <c r="D51">
        <v>79.641345214792011</v>
      </c>
      <c r="E51">
        <v>63.164656492985443</v>
      </c>
      <c r="F51">
        <v>85.070635458301098</v>
      </c>
      <c r="G51">
        <v>79.114319784231014</v>
      </c>
      <c r="H51">
        <v>79.091361017722278</v>
      </c>
      <c r="I51">
        <v>77.036903070722531</v>
      </c>
      <c r="J51">
        <v>69.979443456441999</v>
      </c>
      <c r="K51">
        <v>77.77</v>
      </c>
      <c r="L51" s="203">
        <v>78.080291229391605</v>
      </c>
      <c r="M51" s="203">
        <v>65.223017649165044</v>
      </c>
      <c r="N51" s="203">
        <v>71.970791790127379</v>
      </c>
      <c r="O51" s="203">
        <v>69.285596080484552</v>
      </c>
      <c r="P51" t="str">
        <f t="shared" si="0"/>
        <v>RMSW tons</v>
      </c>
      <c r="Q51" s="174">
        <f t="shared" si="1"/>
        <v>895.42836124436485</v>
      </c>
    </row>
    <row r="52" spans="1:17" x14ac:dyDescent="0.2">
      <c r="A52" t="s">
        <v>55</v>
      </c>
      <c r="B52" t="s">
        <v>61</v>
      </c>
      <c r="C52" t="s">
        <v>56</v>
      </c>
      <c r="D52" s="170">
        <v>18059</v>
      </c>
      <c r="E52" s="170">
        <v>18057</v>
      </c>
      <c r="F52" s="170">
        <v>18116</v>
      </c>
      <c r="G52" s="170">
        <v>18143</v>
      </c>
      <c r="H52" s="170">
        <v>18200</v>
      </c>
      <c r="I52" s="170">
        <v>18213</v>
      </c>
      <c r="J52" s="170">
        <v>18238</v>
      </c>
      <c r="K52" s="170">
        <v>18387</v>
      </c>
      <c r="L52" s="204">
        <v>18316</v>
      </c>
      <c r="M52" s="205">
        <v>18287</v>
      </c>
      <c r="N52" s="205">
        <v>18359</v>
      </c>
      <c r="O52" s="205">
        <v>18549</v>
      </c>
      <c r="P52" t="str">
        <f t="shared" si="0"/>
        <v>RREC cust</v>
      </c>
      <c r="Q52" s="174">
        <f t="shared" si="1"/>
        <v>218924</v>
      </c>
    </row>
    <row r="53" spans="1:17" x14ac:dyDescent="0.2">
      <c r="A53" t="s">
        <v>55</v>
      </c>
      <c r="C53" t="s">
        <v>57</v>
      </c>
      <c r="D53" s="170">
        <v>5779</v>
      </c>
      <c r="E53" s="170">
        <v>5846</v>
      </c>
      <c r="F53" s="170">
        <v>5930</v>
      </c>
      <c r="G53" s="170">
        <v>5954</v>
      </c>
      <c r="H53" s="170">
        <v>5946</v>
      </c>
      <c r="I53" s="170">
        <v>5936</v>
      </c>
      <c r="J53" s="170">
        <v>5911</v>
      </c>
      <c r="K53" s="170">
        <v>5926</v>
      </c>
      <c r="L53" s="204">
        <v>5917</v>
      </c>
      <c r="M53" s="205">
        <v>5952</v>
      </c>
      <c r="N53" s="205">
        <v>6077</v>
      </c>
      <c r="O53" s="205">
        <v>6207</v>
      </c>
      <c r="P53" t="str">
        <f t="shared" si="0"/>
        <v>RYW cust</v>
      </c>
      <c r="Q53" s="174">
        <f t="shared" si="1"/>
        <v>71381</v>
      </c>
    </row>
    <row r="54" spans="1:17" x14ac:dyDescent="0.2">
      <c r="A54" t="s">
        <v>55</v>
      </c>
      <c r="D54" s="170"/>
      <c r="E54" s="170"/>
      <c r="F54" s="170"/>
      <c r="G54" s="170"/>
      <c r="H54" s="170"/>
      <c r="I54" s="170"/>
      <c r="J54" s="170"/>
      <c r="K54" s="170"/>
      <c r="P54" t="str">
        <f t="shared" si="0"/>
        <v>R</v>
      </c>
      <c r="Q54" s="174">
        <f t="shared" si="1"/>
        <v>0</v>
      </c>
    </row>
    <row r="55" spans="1:17" x14ac:dyDescent="0.2">
      <c r="A55" t="s">
        <v>55</v>
      </c>
      <c r="C55" t="s">
        <v>58</v>
      </c>
      <c r="D55" s="171">
        <v>561.56398613367571</v>
      </c>
      <c r="E55" s="171">
        <v>544.68130598785854</v>
      </c>
      <c r="F55" s="171">
        <v>514.69395470535073</v>
      </c>
      <c r="G55" s="171">
        <v>551.68530344723661</v>
      </c>
      <c r="H55" s="171">
        <v>583.55824418745692</v>
      </c>
      <c r="I55" s="171">
        <v>544.3135783757192</v>
      </c>
      <c r="J55" s="171">
        <v>449.97582346064513</v>
      </c>
      <c r="K55" s="171">
        <v>556.36541333530602</v>
      </c>
      <c r="L55" s="171">
        <v>590.33528157308911</v>
      </c>
      <c r="M55" s="171">
        <v>446.44334247343158</v>
      </c>
      <c r="N55" s="171">
        <v>509.66228587680956</v>
      </c>
      <c r="O55" s="171">
        <v>533.58390551002094</v>
      </c>
      <c r="P55" t="str">
        <f t="shared" si="0"/>
        <v>RRec tons</v>
      </c>
      <c r="Q55" s="174">
        <f t="shared" si="1"/>
        <v>6386.8624250666016</v>
      </c>
    </row>
    <row r="56" spans="1:17" x14ac:dyDescent="0.2">
      <c r="A56" t="s">
        <v>55</v>
      </c>
      <c r="C56" t="s">
        <v>59</v>
      </c>
      <c r="D56" s="171">
        <v>665.82162043392611</v>
      </c>
      <c r="E56" s="171">
        <v>619.7952444963197</v>
      </c>
      <c r="F56" s="171">
        <v>501.50361988565379</v>
      </c>
      <c r="G56" s="171">
        <v>422.77261869619014</v>
      </c>
      <c r="H56" s="171">
        <v>435.21538402787422</v>
      </c>
      <c r="I56" s="171">
        <v>436.81839893390782</v>
      </c>
      <c r="J56" s="171">
        <v>486.86751575183825</v>
      </c>
      <c r="K56" s="171">
        <v>305.82697448803327</v>
      </c>
      <c r="L56" s="171">
        <v>237.64764294041984</v>
      </c>
      <c r="M56" s="171">
        <v>273.69007945180573</v>
      </c>
      <c r="N56" s="171">
        <v>369.31292590202986</v>
      </c>
      <c r="O56" s="171">
        <v>532.17868977184901</v>
      </c>
      <c r="P56" t="str">
        <f t="shared" si="0"/>
        <v xml:space="preserve">RYW tons </v>
      </c>
      <c r="Q56" s="174">
        <f t="shared" si="1"/>
        <v>5287.4507147798477</v>
      </c>
    </row>
    <row r="57" spans="1:17" x14ac:dyDescent="0.2">
      <c r="A57" t="s">
        <v>55</v>
      </c>
      <c r="C57" t="s">
        <v>60</v>
      </c>
      <c r="D57" s="171">
        <v>1134.0925287132238</v>
      </c>
      <c r="E57" s="171">
        <v>1160.0841182216518</v>
      </c>
      <c r="F57" s="171">
        <v>1273.8429318864817</v>
      </c>
      <c r="G57" s="171">
        <v>1149.9189997523058</v>
      </c>
      <c r="H57" s="171">
        <v>1181.9804416062402</v>
      </c>
      <c r="I57" s="171">
        <v>1171.3771857118393</v>
      </c>
      <c r="J57" s="171">
        <v>1011.7663391826278</v>
      </c>
      <c r="K57" s="171">
        <v>1251.26</v>
      </c>
      <c r="L57" s="171">
        <v>1123.3946511957377</v>
      </c>
      <c r="M57" s="171">
        <v>1009.228752506333</v>
      </c>
      <c r="N57" s="171">
        <v>1105.6478282455403</v>
      </c>
      <c r="O57" s="171">
        <v>1116.5177598301091</v>
      </c>
      <c r="P57" t="str">
        <f t="shared" si="0"/>
        <v>RMSW tons</v>
      </c>
      <c r="Q57" s="174">
        <f t="shared" si="1"/>
        <v>13689.111536852091</v>
      </c>
    </row>
    <row r="58" spans="1:17" x14ac:dyDescent="0.2">
      <c r="A58" t="s">
        <v>65</v>
      </c>
      <c r="B58" t="s">
        <v>69</v>
      </c>
      <c r="C58" t="s">
        <v>56</v>
      </c>
      <c r="D58">
        <v>4891</v>
      </c>
      <c r="E58">
        <v>4882</v>
      </c>
      <c r="F58">
        <v>4920</v>
      </c>
      <c r="G58">
        <v>4910</v>
      </c>
      <c r="H58">
        <v>4928</v>
      </c>
      <c r="I58">
        <v>4959</v>
      </c>
      <c r="J58">
        <v>4978</v>
      </c>
      <c r="K58">
        <v>4999</v>
      </c>
      <c r="P58" t="str">
        <f t="shared" si="0"/>
        <v>NRREC cust</v>
      </c>
      <c r="Q58" s="174">
        <f t="shared" si="1"/>
        <v>39467</v>
      </c>
    </row>
    <row r="59" spans="1:17" x14ac:dyDescent="0.2">
      <c r="A59" t="s">
        <v>65</v>
      </c>
      <c r="C59" t="s">
        <v>57</v>
      </c>
      <c r="D59">
        <v>2918</v>
      </c>
      <c r="E59">
        <v>2947</v>
      </c>
      <c r="F59">
        <v>2993</v>
      </c>
      <c r="G59">
        <v>2996</v>
      </c>
      <c r="H59">
        <v>2983</v>
      </c>
      <c r="I59">
        <v>2996</v>
      </c>
      <c r="J59">
        <v>2985</v>
      </c>
      <c r="K59">
        <v>2988</v>
      </c>
      <c r="P59" t="str">
        <f t="shared" si="0"/>
        <v>NRYW cust</v>
      </c>
      <c r="Q59" s="174">
        <f t="shared" si="1"/>
        <v>23806</v>
      </c>
    </row>
    <row r="60" spans="1:17" x14ac:dyDescent="0.2">
      <c r="A60" t="s">
        <v>65</v>
      </c>
      <c r="P60" t="str">
        <f t="shared" si="0"/>
        <v>NR</v>
      </c>
      <c r="Q60" s="174">
        <f t="shared" si="1"/>
        <v>0</v>
      </c>
    </row>
    <row r="61" spans="1:17" x14ac:dyDescent="0.2">
      <c r="A61" t="s">
        <v>65</v>
      </c>
      <c r="C61" t="s">
        <v>58</v>
      </c>
      <c r="D61">
        <v>120.44581062812769</v>
      </c>
      <c r="E61">
        <v>130.97926605648104</v>
      </c>
      <c r="F61">
        <v>153.27086986887065</v>
      </c>
      <c r="G61">
        <v>78.71611859328705</v>
      </c>
      <c r="H61">
        <v>74.377607554260578</v>
      </c>
      <c r="I61">
        <v>117.64987618260169</v>
      </c>
      <c r="J61">
        <v>106.66012188706388</v>
      </c>
      <c r="K61">
        <v>161.4402239497573</v>
      </c>
      <c r="P61" t="str">
        <f t="shared" si="0"/>
        <v>NRRec tons</v>
      </c>
      <c r="Q61" s="174">
        <f t="shared" si="1"/>
        <v>943.53989472044987</v>
      </c>
    </row>
    <row r="62" spans="1:17" x14ac:dyDescent="0.2">
      <c r="A62" t="s">
        <v>65</v>
      </c>
      <c r="C62" t="s">
        <v>59</v>
      </c>
      <c r="D62">
        <v>265.1405601436619</v>
      </c>
      <c r="E62">
        <v>235.20807506421295</v>
      </c>
      <c r="F62">
        <v>110.64492988299119</v>
      </c>
      <c r="G62">
        <v>95.170631250866109</v>
      </c>
      <c r="H62">
        <v>93.531031598599768</v>
      </c>
      <c r="I62">
        <v>177.43093305541143</v>
      </c>
      <c r="J62">
        <v>198.73545870196952</v>
      </c>
      <c r="K62">
        <v>169.66</v>
      </c>
      <c r="P62" t="str">
        <f t="shared" si="0"/>
        <v xml:space="preserve">NRYW tons </v>
      </c>
      <c r="Q62" s="174">
        <f t="shared" si="1"/>
        <v>1345.5216196977128</v>
      </c>
    </row>
    <row r="63" spans="1:17" x14ac:dyDescent="0.2">
      <c r="A63" t="s">
        <v>65</v>
      </c>
      <c r="C63" t="s">
        <v>60</v>
      </c>
      <c r="D63">
        <v>284.51494851757889</v>
      </c>
      <c r="E63">
        <v>280.3759027044872</v>
      </c>
      <c r="F63">
        <v>350.92804932026132</v>
      </c>
      <c r="G63">
        <v>288.1546523094608</v>
      </c>
      <c r="H63">
        <v>300.14970491745197</v>
      </c>
      <c r="I63">
        <v>306.81482091617119</v>
      </c>
      <c r="J63">
        <v>264.82363208184518</v>
      </c>
      <c r="K63">
        <v>344.35</v>
      </c>
      <c r="P63" t="str">
        <f t="shared" si="0"/>
        <v>NRMSW tons</v>
      </c>
      <c r="Q63" s="174">
        <f t="shared" si="1"/>
        <v>2420.1117107672562</v>
      </c>
    </row>
    <row r="64" spans="1:17" x14ac:dyDescent="0.2">
      <c r="A64" t="s">
        <v>65</v>
      </c>
      <c r="B64" t="s">
        <v>70</v>
      </c>
      <c r="C64" t="s">
        <v>56</v>
      </c>
      <c r="D64">
        <v>23613</v>
      </c>
      <c r="E64">
        <v>23516</v>
      </c>
      <c r="F64">
        <v>23501</v>
      </c>
      <c r="G64">
        <v>22965</v>
      </c>
      <c r="H64">
        <v>23611</v>
      </c>
      <c r="I64">
        <v>23502</v>
      </c>
      <c r="J64">
        <v>23745</v>
      </c>
      <c r="K64">
        <v>23836</v>
      </c>
      <c r="P64" t="str">
        <f t="shared" si="0"/>
        <v>NRREC cust</v>
      </c>
      <c r="Q64" s="174">
        <f t="shared" si="1"/>
        <v>188289</v>
      </c>
    </row>
    <row r="65" spans="1:17" x14ac:dyDescent="0.2">
      <c r="A65" t="s">
        <v>65</v>
      </c>
      <c r="C65" t="s">
        <v>57</v>
      </c>
      <c r="D65">
        <v>22634</v>
      </c>
      <c r="E65">
        <v>22533</v>
      </c>
      <c r="F65">
        <v>22506</v>
      </c>
      <c r="G65">
        <v>22013</v>
      </c>
      <c r="H65">
        <v>22555</v>
      </c>
      <c r="I65">
        <v>22459</v>
      </c>
      <c r="J65">
        <v>22673</v>
      </c>
      <c r="K65">
        <v>22744</v>
      </c>
      <c r="P65" t="str">
        <f t="shared" si="0"/>
        <v>NRYW cust</v>
      </c>
      <c r="Q65" s="174">
        <f t="shared" si="1"/>
        <v>180117</v>
      </c>
    </row>
    <row r="66" spans="1:17" x14ac:dyDescent="0.2">
      <c r="A66" t="s">
        <v>65</v>
      </c>
      <c r="P66" t="str">
        <f t="shared" si="0"/>
        <v>NR</v>
      </c>
      <c r="Q66" s="174">
        <f t="shared" si="1"/>
        <v>0</v>
      </c>
    </row>
    <row r="67" spans="1:17" x14ac:dyDescent="0.2">
      <c r="A67" t="s">
        <v>65</v>
      </c>
      <c r="C67" t="s">
        <v>58</v>
      </c>
      <c r="D67">
        <v>563.87040432418758</v>
      </c>
      <c r="E67">
        <v>573.33136051658698</v>
      </c>
      <c r="F67">
        <v>618.21590061847007</v>
      </c>
      <c r="G67">
        <v>590.12911557721793</v>
      </c>
      <c r="H67">
        <v>614.34656738251113</v>
      </c>
      <c r="I67">
        <v>664.37368495323358</v>
      </c>
      <c r="J67">
        <v>564.76899466770578</v>
      </c>
      <c r="K67">
        <v>613.5049674925649</v>
      </c>
      <c r="P67" t="str">
        <f t="shared" si="0"/>
        <v>NRRec tons</v>
      </c>
      <c r="Q67" s="174">
        <f t="shared" si="1"/>
        <v>4802.5409955324776</v>
      </c>
    </row>
    <row r="68" spans="1:17" x14ac:dyDescent="0.2">
      <c r="A68" t="s">
        <v>65</v>
      </c>
      <c r="C68" t="s">
        <v>59</v>
      </c>
      <c r="D68">
        <v>1394.3366647693661</v>
      </c>
      <c r="E68">
        <v>977.93203443031291</v>
      </c>
      <c r="F68">
        <v>776.55757502572521</v>
      </c>
      <c r="G68">
        <v>616.08241605004855</v>
      </c>
      <c r="H68">
        <v>795.69463038740616</v>
      </c>
      <c r="I68">
        <v>934.36318659366259</v>
      </c>
      <c r="J68">
        <v>1000.7380172087373</v>
      </c>
      <c r="K68">
        <v>561.42032098511777</v>
      </c>
      <c r="P68" t="str">
        <f t="shared" ref="P68:P131" si="2">CONCATENATE(A68,C68)</f>
        <v xml:space="preserve">NRYW tons </v>
      </c>
      <c r="Q68" s="174">
        <f t="shared" ref="Q68:Q131" si="3">SUM(D68:O68)</f>
        <v>7057.1248454503757</v>
      </c>
    </row>
    <row r="69" spans="1:17" x14ac:dyDescent="0.2">
      <c r="A69" t="s">
        <v>65</v>
      </c>
      <c r="C69" t="s">
        <v>60</v>
      </c>
      <c r="D69">
        <v>1190.0119383339827</v>
      </c>
      <c r="E69">
        <v>1176.6956019417332</v>
      </c>
      <c r="F69">
        <v>1290.7123474358657</v>
      </c>
      <c r="G69">
        <v>1178.7341525590914</v>
      </c>
      <c r="H69">
        <v>1220.9909057549985</v>
      </c>
      <c r="I69">
        <v>1215.9013328220572</v>
      </c>
      <c r="J69">
        <v>1082.2372565674386</v>
      </c>
      <c r="K69">
        <v>1430.48</v>
      </c>
      <c r="P69" t="str">
        <f t="shared" si="2"/>
        <v>NRMSW tons</v>
      </c>
      <c r="Q69" s="174">
        <f t="shared" si="3"/>
        <v>9785.7635354151662</v>
      </c>
    </row>
    <row r="70" spans="1:17" x14ac:dyDescent="0.2">
      <c r="A70" t="s">
        <v>65</v>
      </c>
      <c r="B70" t="s">
        <v>71</v>
      </c>
      <c r="C70" t="s">
        <v>56</v>
      </c>
      <c r="D70">
        <v>528</v>
      </c>
      <c r="E70">
        <v>519</v>
      </c>
      <c r="F70">
        <v>520</v>
      </c>
      <c r="G70">
        <v>516</v>
      </c>
      <c r="H70">
        <v>517</v>
      </c>
      <c r="I70">
        <v>525</v>
      </c>
      <c r="J70">
        <v>516</v>
      </c>
      <c r="K70">
        <v>525</v>
      </c>
      <c r="P70" t="str">
        <f t="shared" si="2"/>
        <v>NRREC cust</v>
      </c>
      <c r="Q70" s="174">
        <f t="shared" si="3"/>
        <v>4166</v>
      </c>
    </row>
    <row r="71" spans="1:17" x14ac:dyDescent="0.2">
      <c r="A71" t="s">
        <v>65</v>
      </c>
      <c r="C71" t="s">
        <v>57</v>
      </c>
      <c r="D71">
        <v>361</v>
      </c>
      <c r="E71">
        <v>361</v>
      </c>
      <c r="F71">
        <v>366</v>
      </c>
      <c r="G71">
        <v>363</v>
      </c>
      <c r="H71">
        <v>365</v>
      </c>
      <c r="I71">
        <v>373</v>
      </c>
      <c r="J71">
        <v>367</v>
      </c>
      <c r="K71">
        <v>371</v>
      </c>
      <c r="P71" t="str">
        <f t="shared" si="2"/>
        <v>NRYW cust</v>
      </c>
      <c r="Q71" s="174">
        <f t="shared" si="3"/>
        <v>2927</v>
      </c>
    </row>
    <row r="72" spans="1:17" x14ac:dyDescent="0.2">
      <c r="A72" t="s">
        <v>65</v>
      </c>
      <c r="P72" t="str">
        <f t="shared" si="2"/>
        <v>NR</v>
      </c>
      <c r="Q72" s="174">
        <f t="shared" si="3"/>
        <v>0</v>
      </c>
    </row>
    <row r="73" spans="1:17" x14ac:dyDescent="0.2">
      <c r="A73" t="s">
        <v>65</v>
      </c>
      <c r="C73" t="s">
        <v>58</v>
      </c>
      <c r="D73">
        <v>16.407347007940235</v>
      </c>
      <c r="E73">
        <v>16.495850120390884</v>
      </c>
      <c r="F73">
        <v>19.842975013957702</v>
      </c>
      <c r="G73">
        <v>11.422163154861483</v>
      </c>
      <c r="H73">
        <v>21.378319266054149</v>
      </c>
      <c r="I73">
        <v>18.163960487702298</v>
      </c>
      <c r="J73">
        <v>12.284823524898938</v>
      </c>
      <c r="K73">
        <v>15.774089448793086</v>
      </c>
      <c r="P73" t="str">
        <f t="shared" si="2"/>
        <v>NRRec tons</v>
      </c>
      <c r="Q73" s="174">
        <f t="shared" si="3"/>
        <v>131.76952802459877</v>
      </c>
    </row>
    <row r="74" spans="1:17" x14ac:dyDescent="0.2">
      <c r="A74" t="s">
        <v>65</v>
      </c>
      <c r="C74" t="s">
        <v>59</v>
      </c>
      <c r="D74">
        <v>30.600905155450604</v>
      </c>
      <c r="E74">
        <v>33.344122392758749</v>
      </c>
      <c r="F74">
        <v>30.58279811097993</v>
      </c>
      <c r="G74">
        <v>20.279889807162533</v>
      </c>
      <c r="H74">
        <v>12.85600157418339</v>
      </c>
      <c r="I74">
        <v>16.042841401023217</v>
      </c>
      <c r="J74">
        <v>24.589366391184573</v>
      </c>
      <c r="K74">
        <v>17.690582447855171</v>
      </c>
      <c r="P74" t="str">
        <f t="shared" si="2"/>
        <v xml:space="preserve">NRYW tons </v>
      </c>
      <c r="Q74" s="174">
        <f t="shared" si="3"/>
        <v>185.98650728059818</v>
      </c>
    </row>
    <row r="75" spans="1:17" x14ac:dyDescent="0.2">
      <c r="A75" t="s">
        <v>65</v>
      </c>
      <c r="C75" t="s">
        <v>60</v>
      </c>
      <c r="D75">
        <v>39.321273216643888</v>
      </c>
      <c r="E75">
        <v>39.715412854117716</v>
      </c>
      <c r="F75">
        <v>46.120995947811991</v>
      </c>
      <c r="G75">
        <v>36.283618012938945</v>
      </c>
      <c r="H75">
        <v>39.523647231216827</v>
      </c>
      <c r="I75">
        <v>42.856148512434942</v>
      </c>
      <c r="J75">
        <v>35.075975736674266</v>
      </c>
      <c r="K75">
        <v>45.40078004321991</v>
      </c>
      <c r="P75" t="str">
        <f t="shared" si="2"/>
        <v>NRMSW tons</v>
      </c>
      <c r="Q75" s="174">
        <f t="shared" si="3"/>
        <v>324.29785155505851</v>
      </c>
    </row>
    <row r="76" spans="1:17" x14ac:dyDescent="0.2">
      <c r="A76" t="s">
        <v>65</v>
      </c>
      <c r="B76" t="s">
        <v>64</v>
      </c>
      <c r="C76" t="s">
        <v>56</v>
      </c>
      <c r="D76" s="170">
        <v>2726</v>
      </c>
      <c r="E76" s="170">
        <v>2721</v>
      </c>
      <c r="F76" s="170">
        <v>2723</v>
      </c>
      <c r="G76" s="170">
        <v>2749</v>
      </c>
      <c r="H76" s="170">
        <v>2756</v>
      </c>
      <c r="I76" s="170">
        <v>2781</v>
      </c>
      <c r="J76" s="170">
        <v>2798</v>
      </c>
      <c r="K76" s="170">
        <v>2808</v>
      </c>
      <c r="P76" t="str">
        <f t="shared" si="2"/>
        <v>NRREC cust</v>
      </c>
      <c r="Q76" s="174">
        <f t="shared" si="3"/>
        <v>22062</v>
      </c>
    </row>
    <row r="77" spans="1:17" x14ac:dyDescent="0.2">
      <c r="A77" t="s">
        <v>65</v>
      </c>
      <c r="C77" t="s">
        <v>57</v>
      </c>
      <c r="D77" s="170">
        <v>1578</v>
      </c>
      <c r="E77" s="170">
        <v>1596</v>
      </c>
      <c r="F77" s="170">
        <v>1625</v>
      </c>
      <c r="G77" s="170">
        <v>1642</v>
      </c>
      <c r="H77" s="170">
        <v>1645</v>
      </c>
      <c r="I77" s="170">
        <v>1660</v>
      </c>
      <c r="J77" s="170">
        <v>1649</v>
      </c>
      <c r="K77" s="170">
        <v>1637</v>
      </c>
      <c r="P77" t="str">
        <f t="shared" si="2"/>
        <v>NRYW cust</v>
      </c>
      <c r="Q77" s="174">
        <f t="shared" si="3"/>
        <v>13032</v>
      </c>
    </row>
    <row r="78" spans="1:17" x14ac:dyDescent="0.2">
      <c r="A78" t="s">
        <v>65</v>
      </c>
      <c r="D78" s="171"/>
      <c r="E78" s="171"/>
      <c r="F78" s="171"/>
      <c r="G78" s="171"/>
      <c r="H78" s="171"/>
      <c r="I78" s="171"/>
      <c r="J78" s="171"/>
      <c r="K78" s="171"/>
      <c r="P78" t="str">
        <f t="shared" si="2"/>
        <v>NR</v>
      </c>
      <c r="Q78" s="174">
        <f t="shared" si="3"/>
        <v>0</v>
      </c>
    </row>
    <row r="79" spans="1:17" x14ac:dyDescent="0.2">
      <c r="A79" t="s">
        <v>65</v>
      </c>
      <c r="C79" t="s">
        <v>58</v>
      </c>
      <c r="D79" s="171">
        <v>69.466067520111324</v>
      </c>
      <c r="E79" s="171">
        <v>71.748401340744167</v>
      </c>
      <c r="F79" s="171">
        <v>81.313773342279291</v>
      </c>
      <c r="G79" s="171">
        <v>64.841075620713298</v>
      </c>
      <c r="H79" s="171">
        <v>64.114202335985709</v>
      </c>
      <c r="I79" s="171">
        <v>62.336533692297252</v>
      </c>
      <c r="J79" s="171">
        <v>64.000165814342466</v>
      </c>
      <c r="K79" s="171">
        <v>95.629414903393709</v>
      </c>
      <c r="P79" t="str">
        <f t="shared" si="2"/>
        <v>NRRec tons</v>
      </c>
      <c r="Q79" s="174">
        <f t="shared" si="3"/>
        <v>573.44963456986727</v>
      </c>
    </row>
    <row r="80" spans="1:17" x14ac:dyDescent="0.2">
      <c r="A80" t="s">
        <v>65</v>
      </c>
      <c r="C80" t="s">
        <v>59</v>
      </c>
      <c r="D80" s="171">
        <v>191.77087692255998</v>
      </c>
      <c r="E80" s="171">
        <v>129.6688671552474</v>
      </c>
      <c r="F80" s="171">
        <v>80.487370415541335</v>
      </c>
      <c r="G80" s="171">
        <v>82.985619170282874</v>
      </c>
      <c r="H80" s="171">
        <v>76.80479412042682</v>
      </c>
      <c r="I80" s="171">
        <v>114.04286230565738</v>
      </c>
      <c r="J80" s="171">
        <v>90.407002062333191</v>
      </c>
      <c r="K80" s="171">
        <v>47.482121045168498</v>
      </c>
      <c r="P80" t="str">
        <f t="shared" si="2"/>
        <v xml:space="preserve">NRYW tons </v>
      </c>
      <c r="Q80" s="174">
        <f t="shared" si="3"/>
        <v>813.64951319721752</v>
      </c>
    </row>
    <row r="81" spans="1:17" x14ac:dyDescent="0.2">
      <c r="A81" t="s">
        <v>65</v>
      </c>
      <c r="C81" t="s">
        <v>60</v>
      </c>
      <c r="D81" s="171">
        <v>167.18967638439051</v>
      </c>
      <c r="E81" s="171">
        <v>166.37829106719391</v>
      </c>
      <c r="F81" s="171">
        <v>181.34689541765982</v>
      </c>
      <c r="G81" s="171">
        <v>154.40756656343916</v>
      </c>
      <c r="H81" s="171">
        <v>156.91612623796127</v>
      </c>
      <c r="I81" s="171">
        <v>152.6907523211772</v>
      </c>
      <c r="J81" s="171">
        <v>147.36457326651168</v>
      </c>
      <c r="K81" s="171">
        <v>158.59057457578402</v>
      </c>
      <c r="P81" t="str">
        <f t="shared" si="2"/>
        <v>NRMSW tons</v>
      </c>
      <c r="Q81" s="174">
        <f t="shared" si="3"/>
        <v>1284.8844558341175</v>
      </c>
    </row>
    <row r="82" spans="1:17" x14ac:dyDescent="0.2">
      <c r="A82" t="s">
        <v>55</v>
      </c>
      <c r="B82" t="s">
        <v>72</v>
      </c>
      <c r="C82" t="s">
        <v>56</v>
      </c>
      <c r="D82" s="172">
        <v>151</v>
      </c>
      <c r="E82" s="172">
        <v>151</v>
      </c>
      <c r="F82" s="172">
        <v>153</v>
      </c>
      <c r="G82" s="172">
        <v>153</v>
      </c>
      <c r="H82" s="172">
        <v>152</v>
      </c>
      <c r="I82" s="172">
        <v>152</v>
      </c>
      <c r="J82" s="172">
        <v>152</v>
      </c>
      <c r="K82" s="172">
        <v>153</v>
      </c>
      <c r="L82" s="172">
        <v>154</v>
      </c>
      <c r="M82" s="172">
        <v>153</v>
      </c>
      <c r="N82" s="172">
        <v>152</v>
      </c>
      <c r="O82">
        <v>154</v>
      </c>
      <c r="P82" t="str">
        <f t="shared" si="2"/>
        <v>RREC cust</v>
      </c>
      <c r="Q82" s="174">
        <f t="shared" si="3"/>
        <v>1830</v>
      </c>
    </row>
    <row r="83" spans="1:17" x14ac:dyDescent="0.2">
      <c r="A83" t="s">
        <v>55</v>
      </c>
      <c r="C83" t="s">
        <v>57</v>
      </c>
      <c r="D83" s="172">
        <v>90</v>
      </c>
      <c r="E83" s="172">
        <v>90</v>
      </c>
      <c r="F83" s="172">
        <v>93</v>
      </c>
      <c r="G83" s="172">
        <v>93</v>
      </c>
      <c r="H83" s="172">
        <v>93</v>
      </c>
      <c r="I83" s="172">
        <v>95</v>
      </c>
      <c r="J83" s="172">
        <v>94</v>
      </c>
      <c r="K83" s="172">
        <v>94</v>
      </c>
      <c r="L83" s="172">
        <v>94</v>
      </c>
      <c r="M83" s="172">
        <v>93</v>
      </c>
      <c r="N83" s="172">
        <v>92</v>
      </c>
      <c r="O83">
        <v>93</v>
      </c>
      <c r="P83" t="str">
        <f t="shared" si="2"/>
        <v>RYW cust</v>
      </c>
      <c r="Q83" s="174">
        <f t="shared" si="3"/>
        <v>1114</v>
      </c>
    </row>
    <row r="84" spans="1:17" x14ac:dyDescent="0.2">
      <c r="A84" t="s">
        <v>55</v>
      </c>
      <c r="D84" s="170"/>
      <c r="E84" s="172"/>
      <c r="F84" s="172"/>
      <c r="G84" s="172"/>
      <c r="H84" s="170"/>
      <c r="I84" s="172"/>
      <c r="J84" s="172"/>
      <c r="K84" s="172"/>
      <c r="L84" s="206"/>
      <c r="M84" s="206"/>
      <c r="N84" s="206"/>
      <c r="O84" s="206"/>
      <c r="P84" t="str">
        <f t="shared" si="2"/>
        <v>R</v>
      </c>
      <c r="Q84" s="174">
        <f t="shared" si="3"/>
        <v>0</v>
      </c>
    </row>
    <row r="85" spans="1:17" x14ac:dyDescent="0.2">
      <c r="A85" t="s">
        <v>55</v>
      </c>
      <c r="C85" t="s">
        <v>60</v>
      </c>
      <c r="D85" s="101">
        <v>12.81083558575658</v>
      </c>
      <c r="E85" s="101">
        <v>11.468701753710056</v>
      </c>
      <c r="F85" s="101">
        <v>14.135605874781636</v>
      </c>
      <c r="G85" s="101">
        <v>10.726172184304223</v>
      </c>
      <c r="H85" s="101">
        <v>10.468434400810253</v>
      </c>
      <c r="I85" s="101">
        <v>12.850974566979772</v>
      </c>
      <c r="J85" s="101">
        <v>10.381645131812959</v>
      </c>
      <c r="K85" s="101">
        <v>10.623626257251583</v>
      </c>
      <c r="L85" s="203">
        <v>12.435584891048318</v>
      </c>
      <c r="M85" s="203">
        <v>8.5199066631512146</v>
      </c>
      <c r="N85" s="203">
        <v>9.2428339693312491</v>
      </c>
      <c r="O85" s="203">
        <v>11.66</v>
      </c>
      <c r="P85" t="str">
        <f t="shared" si="2"/>
        <v>RMSW tons</v>
      </c>
      <c r="Q85" s="174">
        <f t="shared" si="3"/>
        <v>135.32432127893787</v>
      </c>
    </row>
    <row r="86" spans="1:17" x14ac:dyDescent="0.2">
      <c r="A86" t="s">
        <v>55</v>
      </c>
      <c r="C86" t="s">
        <v>59</v>
      </c>
      <c r="D86" s="101">
        <v>14.475114764107616</v>
      </c>
      <c r="E86" s="101">
        <v>9.1110030677457932</v>
      </c>
      <c r="F86" s="101">
        <v>7.8954715932981294</v>
      </c>
      <c r="G86" s="101">
        <v>5.88842620853712</v>
      </c>
      <c r="H86" s="101">
        <v>8.4341765239271513</v>
      </c>
      <c r="I86" s="101">
        <v>13.731188842641114</v>
      </c>
      <c r="J86" s="101">
        <v>14.738978263614941</v>
      </c>
      <c r="K86" s="101">
        <v>8.8683218847735734</v>
      </c>
      <c r="L86" s="203">
        <v>8.5982168426171466</v>
      </c>
      <c r="M86" s="203">
        <v>6.3010831879882261</v>
      </c>
      <c r="N86" s="203">
        <v>7.4784738422382588</v>
      </c>
      <c r="O86" s="203">
        <v>10.92</v>
      </c>
      <c r="P86" t="str">
        <f t="shared" si="2"/>
        <v xml:space="preserve">RYW tons </v>
      </c>
      <c r="Q86" s="174">
        <f t="shared" si="3"/>
        <v>116.44045502148907</v>
      </c>
    </row>
    <row r="87" spans="1:17" x14ac:dyDescent="0.2">
      <c r="A87" t="s">
        <v>55</v>
      </c>
      <c r="C87" t="s">
        <v>58</v>
      </c>
      <c r="D87" s="101">
        <v>3.9122219105477201</v>
      </c>
      <c r="E87" s="101">
        <v>4.1583518759839553</v>
      </c>
      <c r="F87" s="101">
        <v>5.2992055947718022</v>
      </c>
      <c r="G87" s="101">
        <v>5.1311747104958485</v>
      </c>
      <c r="H87" s="101">
        <v>5.287076672917312</v>
      </c>
      <c r="I87" s="101">
        <v>5.5025895060162773</v>
      </c>
      <c r="J87" s="101">
        <v>5.3387509987817188</v>
      </c>
      <c r="K87" s="101">
        <v>6.8703489946213976</v>
      </c>
      <c r="L87" s="203">
        <v>8.6813861467567079</v>
      </c>
      <c r="M87" s="203">
        <v>5.3484157721783632</v>
      </c>
      <c r="N87" s="203">
        <v>5.8731602529076623</v>
      </c>
      <c r="O87" s="203">
        <v>4.93</v>
      </c>
      <c r="P87" t="str">
        <f t="shared" si="2"/>
        <v>RRec tons</v>
      </c>
      <c r="Q87" s="174">
        <f t="shared" si="3"/>
        <v>66.332682435978768</v>
      </c>
    </row>
    <row r="88" spans="1:17" x14ac:dyDescent="0.2">
      <c r="A88" t="s">
        <v>55</v>
      </c>
      <c r="B88" t="s">
        <v>73</v>
      </c>
      <c r="C88" t="s">
        <v>56</v>
      </c>
      <c r="D88" s="172">
        <v>110</v>
      </c>
      <c r="E88" s="172">
        <v>107</v>
      </c>
      <c r="F88" s="172">
        <v>108</v>
      </c>
      <c r="G88" s="172">
        <v>108</v>
      </c>
      <c r="H88" s="172">
        <v>109</v>
      </c>
      <c r="I88" s="172">
        <v>108</v>
      </c>
      <c r="J88" s="172">
        <v>109</v>
      </c>
      <c r="K88" s="172">
        <v>107</v>
      </c>
      <c r="L88" s="172">
        <v>107</v>
      </c>
      <c r="M88" s="172">
        <v>107</v>
      </c>
      <c r="N88" s="172">
        <v>107</v>
      </c>
      <c r="O88" s="172">
        <v>108</v>
      </c>
      <c r="P88" t="str">
        <f t="shared" si="2"/>
        <v>RREC cust</v>
      </c>
      <c r="Q88" s="174">
        <f t="shared" si="3"/>
        <v>1295</v>
      </c>
    </row>
    <row r="89" spans="1:17" x14ac:dyDescent="0.2">
      <c r="A89" t="s">
        <v>55</v>
      </c>
      <c r="C89" t="s">
        <v>57</v>
      </c>
      <c r="D89" s="172">
        <v>100</v>
      </c>
      <c r="E89" s="172">
        <v>97</v>
      </c>
      <c r="F89" s="172">
        <v>98</v>
      </c>
      <c r="G89" s="172">
        <v>98</v>
      </c>
      <c r="H89" s="172">
        <v>98</v>
      </c>
      <c r="I89" s="172">
        <v>98</v>
      </c>
      <c r="J89" s="172">
        <v>99</v>
      </c>
      <c r="K89" s="172">
        <v>98</v>
      </c>
      <c r="L89" s="172">
        <v>97</v>
      </c>
      <c r="M89" s="172">
        <v>97</v>
      </c>
      <c r="N89" s="172">
        <v>96</v>
      </c>
      <c r="O89" s="172">
        <v>96</v>
      </c>
      <c r="P89" t="str">
        <f t="shared" si="2"/>
        <v>RYW cust</v>
      </c>
      <c r="Q89" s="174">
        <f t="shared" si="3"/>
        <v>1172</v>
      </c>
    </row>
    <row r="90" spans="1:17" x14ac:dyDescent="0.2">
      <c r="A90" t="s">
        <v>55</v>
      </c>
      <c r="L90" s="206"/>
      <c r="M90" s="206"/>
      <c r="N90" s="206"/>
      <c r="O90" s="206"/>
      <c r="P90" t="str">
        <f t="shared" si="2"/>
        <v>R</v>
      </c>
      <c r="Q90" s="174">
        <f t="shared" si="3"/>
        <v>0</v>
      </c>
    </row>
    <row r="91" spans="1:17" x14ac:dyDescent="0.2">
      <c r="A91" t="s">
        <v>55</v>
      </c>
      <c r="C91" t="s">
        <v>60</v>
      </c>
      <c r="D91" s="101">
        <v>4.9138855929561309</v>
      </c>
      <c r="E91" s="101">
        <v>5.5523330652587486</v>
      </c>
      <c r="F91" s="101">
        <v>6.1564879693681114</v>
      </c>
      <c r="G91" s="101">
        <v>5.436652786462461</v>
      </c>
      <c r="H91" s="101">
        <v>4.6914238940361974</v>
      </c>
      <c r="I91" s="101">
        <v>5.4533415624469459</v>
      </c>
      <c r="J91" s="101">
        <v>4.2223995971726396</v>
      </c>
      <c r="K91" s="101">
        <v>6.0544309707216808</v>
      </c>
      <c r="L91" s="203">
        <v>4.6548966636437408</v>
      </c>
      <c r="M91" s="203">
        <v>4.0606204796345642</v>
      </c>
      <c r="N91" s="203">
        <v>4.1321125684330324</v>
      </c>
      <c r="O91" s="203">
        <v>5.54</v>
      </c>
      <c r="P91" t="str">
        <f t="shared" si="2"/>
        <v>RMSW tons</v>
      </c>
      <c r="Q91" s="174">
        <f t="shared" si="3"/>
        <v>60.868585150134251</v>
      </c>
    </row>
    <row r="92" spans="1:17" x14ac:dyDescent="0.2">
      <c r="A92" t="s">
        <v>55</v>
      </c>
      <c r="C92" t="s">
        <v>59</v>
      </c>
      <c r="D92" s="101">
        <v>5.3354552191921885</v>
      </c>
      <c r="E92" s="101">
        <v>5.3410803204212201</v>
      </c>
      <c r="F92" s="101">
        <v>5.3157768357332777</v>
      </c>
      <c r="G92" s="101">
        <v>3.4264797580767583</v>
      </c>
      <c r="H92" s="101">
        <v>3.6015537933122221</v>
      </c>
      <c r="I92" s="101">
        <v>6.6963792950177501</v>
      </c>
      <c r="J92" s="101">
        <v>6.7830121533418</v>
      </c>
      <c r="K92" s="101">
        <v>5.7407108943024632</v>
      </c>
      <c r="L92" s="203">
        <v>2.7935157200172385</v>
      </c>
      <c r="M92" s="203">
        <v>3.2084167555320766</v>
      </c>
      <c r="N92" s="203">
        <v>3.222814725690951</v>
      </c>
      <c r="O92" s="203">
        <v>6.52</v>
      </c>
      <c r="P92" t="str">
        <f t="shared" si="2"/>
        <v xml:space="preserve">RYW tons </v>
      </c>
      <c r="Q92" s="174">
        <f t="shared" si="3"/>
        <v>57.985195470637947</v>
      </c>
    </row>
    <row r="93" spans="1:17" x14ac:dyDescent="0.2">
      <c r="A93" t="s">
        <v>55</v>
      </c>
      <c r="C93" t="s">
        <v>58</v>
      </c>
      <c r="D93" s="101">
        <v>4.4049262763068793</v>
      </c>
      <c r="E93" s="101">
        <v>4.5148244636172485</v>
      </c>
      <c r="F93" s="101">
        <v>6.420536961825241</v>
      </c>
      <c r="G93" s="101">
        <v>4.8657899208297275</v>
      </c>
      <c r="H93" s="101">
        <v>5.149289966272133</v>
      </c>
      <c r="I93" s="101">
        <v>7.073119853323341</v>
      </c>
      <c r="J93" s="101">
        <v>5.2623971465329413</v>
      </c>
      <c r="K93" s="101">
        <v>6.529639130972634</v>
      </c>
      <c r="L93" s="203">
        <v>5.3032910600999852</v>
      </c>
      <c r="M93" s="203">
        <v>4.3738160467783356</v>
      </c>
      <c r="N93" s="203">
        <v>4.0893395119497917</v>
      </c>
      <c r="O93" s="203">
        <v>5.22</v>
      </c>
      <c r="P93" t="str">
        <f t="shared" si="2"/>
        <v>RRec tons</v>
      </c>
      <c r="Q93" s="174">
        <f t="shared" si="3"/>
        <v>63.206970338508256</v>
      </c>
    </row>
    <row r="94" spans="1:17" x14ac:dyDescent="0.2">
      <c r="A94" t="s">
        <v>65</v>
      </c>
      <c r="B94" t="s">
        <v>74</v>
      </c>
      <c r="C94" t="s">
        <v>56</v>
      </c>
      <c r="D94">
        <v>3994</v>
      </c>
      <c r="E94">
        <v>3988</v>
      </c>
      <c r="F94">
        <v>3989</v>
      </c>
      <c r="G94">
        <v>3978</v>
      </c>
      <c r="H94">
        <v>3997</v>
      </c>
      <c r="I94">
        <v>3987</v>
      </c>
      <c r="J94">
        <v>3991</v>
      </c>
      <c r="K94">
        <v>4004</v>
      </c>
      <c r="L94" s="206"/>
      <c r="M94" s="206"/>
      <c r="N94" s="206"/>
      <c r="O94" s="206"/>
      <c r="P94" t="str">
        <f t="shared" si="2"/>
        <v>NRREC cust</v>
      </c>
      <c r="Q94" s="174">
        <f t="shared" si="3"/>
        <v>31928</v>
      </c>
    </row>
    <row r="95" spans="1:17" x14ac:dyDescent="0.2">
      <c r="A95" t="s">
        <v>65</v>
      </c>
      <c r="C95" t="s">
        <v>57</v>
      </c>
      <c r="D95">
        <v>3890</v>
      </c>
      <c r="E95">
        <v>3886</v>
      </c>
      <c r="F95">
        <v>3885</v>
      </c>
      <c r="G95">
        <v>3879</v>
      </c>
      <c r="H95">
        <v>3894</v>
      </c>
      <c r="I95">
        <v>3891</v>
      </c>
      <c r="J95">
        <v>3895</v>
      </c>
      <c r="K95">
        <v>3914</v>
      </c>
      <c r="L95" s="206"/>
      <c r="M95" s="206"/>
      <c r="N95" s="206"/>
      <c r="O95" s="206"/>
      <c r="P95" t="str">
        <f t="shared" si="2"/>
        <v>NRYW cust</v>
      </c>
      <c r="Q95" s="174">
        <f t="shared" si="3"/>
        <v>31134</v>
      </c>
    </row>
    <row r="96" spans="1:17" x14ac:dyDescent="0.2">
      <c r="A96" t="s">
        <v>65</v>
      </c>
      <c r="L96" s="206"/>
      <c r="M96" s="206"/>
      <c r="N96" s="206"/>
      <c r="O96" s="206"/>
      <c r="P96" t="str">
        <f t="shared" si="2"/>
        <v>NR</v>
      </c>
      <c r="Q96" s="174">
        <f t="shared" si="3"/>
        <v>0</v>
      </c>
    </row>
    <row r="97" spans="1:17" x14ac:dyDescent="0.2">
      <c r="A97" t="s">
        <v>65</v>
      </c>
      <c r="C97" t="s">
        <v>58</v>
      </c>
      <c r="D97">
        <v>141.26726446971327</v>
      </c>
      <c r="E97">
        <v>147.26110289303662</v>
      </c>
      <c r="F97">
        <v>135.48069851473414</v>
      </c>
      <c r="G97">
        <v>147.23333534926621</v>
      </c>
      <c r="H97">
        <v>127.15123729758204</v>
      </c>
      <c r="I97">
        <v>155.01619462436139</v>
      </c>
      <c r="J97">
        <v>127.40981880817401</v>
      </c>
      <c r="K97">
        <v>166.46594635762241</v>
      </c>
      <c r="L97" s="206"/>
      <c r="M97" s="206"/>
      <c r="N97" s="206"/>
      <c r="O97" s="206"/>
      <c r="P97" t="str">
        <f t="shared" si="2"/>
        <v>NRRec tons</v>
      </c>
      <c r="Q97" s="174">
        <f t="shared" si="3"/>
        <v>1147.28559831449</v>
      </c>
    </row>
    <row r="98" spans="1:17" x14ac:dyDescent="0.2">
      <c r="A98" t="s">
        <v>65</v>
      </c>
      <c r="C98" t="s">
        <v>59</v>
      </c>
      <c r="D98">
        <v>367.59779862743954</v>
      </c>
      <c r="E98">
        <v>292.63843865442612</v>
      </c>
      <c r="F98">
        <v>233.8957054288081</v>
      </c>
      <c r="G98">
        <v>195.20258699462869</v>
      </c>
      <c r="H98">
        <v>225.52518480127299</v>
      </c>
      <c r="I98">
        <v>234.18232310311032</v>
      </c>
      <c r="J98">
        <v>288.42901168165218</v>
      </c>
      <c r="K98">
        <v>232.49450419592497</v>
      </c>
      <c r="L98" s="206"/>
      <c r="M98" s="206"/>
      <c r="N98" s="206"/>
      <c r="O98" s="206"/>
      <c r="P98" t="str">
        <f t="shared" si="2"/>
        <v xml:space="preserve">NRYW tons </v>
      </c>
      <c r="Q98" s="174">
        <f t="shared" si="3"/>
        <v>2069.9655534872632</v>
      </c>
    </row>
    <row r="99" spans="1:17" x14ac:dyDescent="0.2">
      <c r="A99" t="s">
        <v>65</v>
      </c>
      <c r="C99" t="s">
        <v>60</v>
      </c>
      <c r="D99">
        <v>181.71779038828046</v>
      </c>
      <c r="E99">
        <v>181.1361777623508</v>
      </c>
      <c r="F99">
        <v>190.59399937635891</v>
      </c>
      <c r="G99">
        <v>177.30408676856337</v>
      </c>
      <c r="H99">
        <v>179.81370599125842</v>
      </c>
      <c r="I99">
        <v>189.00357908060218</v>
      </c>
      <c r="J99">
        <v>160.93683065133678</v>
      </c>
      <c r="K99">
        <v>185.06769654942454</v>
      </c>
      <c r="L99" s="206"/>
      <c r="M99" s="206"/>
      <c r="N99" s="206"/>
      <c r="O99" s="206"/>
      <c r="P99" t="str">
        <f t="shared" si="2"/>
        <v>NRMSW tons</v>
      </c>
      <c r="Q99" s="174">
        <f t="shared" si="3"/>
        <v>1445.5738665681754</v>
      </c>
    </row>
    <row r="100" spans="1:17" x14ac:dyDescent="0.2">
      <c r="A100" t="s">
        <v>65</v>
      </c>
      <c r="B100" t="s">
        <v>75</v>
      </c>
      <c r="C100" t="s">
        <v>56</v>
      </c>
      <c r="D100">
        <v>29491</v>
      </c>
      <c r="E100">
        <v>29321</v>
      </c>
      <c r="F100">
        <v>29384</v>
      </c>
      <c r="G100">
        <v>29429</v>
      </c>
      <c r="H100">
        <v>29469</v>
      </c>
      <c r="I100">
        <v>29445</v>
      </c>
      <c r="J100">
        <v>29445</v>
      </c>
      <c r="K100">
        <v>29578</v>
      </c>
      <c r="L100" s="206"/>
      <c r="M100" s="206"/>
      <c r="N100" s="206"/>
      <c r="O100" s="206"/>
      <c r="P100" t="str">
        <f t="shared" si="2"/>
        <v>NRREC cust</v>
      </c>
      <c r="Q100" s="174">
        <f t="shared" si="3"/>
        <v>235562</v>
      </c>
    </row>
    <row r="101" spans="1:17" x14ac:dyDescent="0.2">
      <c r="A101" t="s">
        <v>65</v>
      </c>
      <c r="C101" t="s">
        <v>57</v>
      </c>
      <c r="D101">
        <v>26833</v>
      </c>
      <c r="E101">
        <v>26738</v>
      </c>
      <c r="F101">
        <v>26813</v>
      </c>
      <c r="G101">
        <v>26879</v>
      </c>
      <c r="H101">
        <v>26936</v>
      </c>
      <c r="I101">
        <v>26926</v>
      </c>
      <c r="J101">
        <v>26936</v>
      </c>
      <c r="K101">
        <v>27056</v>
      </c>
      <c r="L101" s="206"/>
      <c r="M101" s="206"/>
      <c r="N101" s="206"/>
      <c r="O101" s="206"/>
      <c r="P101" t="str">
        <f t="shared" si="2"/>
        <v>NRYW cust</v>
      </c>
      <c r="Q101" s="174">
        <f t="shared" si="3"/>
        <v>215117</v>
      </c>
    </row>
    <row r="102" spans="1:17" x14ac:dyDescent="0.2">
      <c r="A102" t="s">
        <v>65</v>
      </c>
      <c r="L102" s="206"/>
      <c r="M102" s="206"/>
      <c r="N102" s="206"/>
      <c r="O102" s="206"/>
      <c r="P102" t="str">
        <f t="shared" si="2"/>
        <v>NR</v>
      </c>
      <c r="Q102" s="174">
        <f t="shared" si="3"/>
        <v>0</v>
      </c>
    </row>
    <row r="103" spans="1:17" x14ac:dyDescent="0.2">
      <c r="A103" t="s">
        <v>65</v>
      </c>
      <c r="C103" t="s">
        <v>58</v>
      </c>
      <c r="D103">
        <v>1035.988132541768</v>
      </c>
      <c r="E103">
        <v>1032.0265337235976</v>
      </c>
      <c r="F103">
        <v>1067.286309194375</v>
      </c>
      <c r="G103">
        <v>967.237574503975</v>
      </c>
      <c r="H103">
        <v>1045.5545344478037</v>
      </c>
      <c r="I103">
        <v>1070.7994057258081</v>
      </c>
      <c r="J103">
        <v>952.29773405064873</v>
      </c>
      <c r="K103">
        <v>1202.7905852765111</v>
      </c>
      <c r="L103" s="206"/>
      <c r="M103" s="206"/>
      <c r="N103" s="206"/>
      <c r="O103" s="206"/>
      <c r="P103" t="str">
        <f t="shared" si="2"/>
        <v>NRRec tons</v>
      </c>
      <c r="Q103" s="174">
        <f t="shared" si="3"/>
        <v>8373.9808094644868</v>
      </c>
    </row>
    <row r="104" spans="1:17" x14ac:dyDescent="0.2">
      <c r="A104" t="s">
        <v>65</v>
      </c>
      <c r="C104" t="s">
        <v>59</v>
      </c>
      <c r="D104">
        <v>2654.4508154616587</v>
      </c>
      <c r="E104">
        <v>2144.1146828490714</v>
      </c>
      <c r="F104">
        <v>1737.4698170941376</v>
      </c>
      <c r="G104">
        <v>1399.1813024701444</v>
      </c>
      <c r="H104">
        <v>1592.029170631203</v>
      </c>
      <c r="I104">
        <v>2151.2698289416385</v>
      </c>
      <c r="J104">
        <v>2351.5367976062339</v>
      </c>
      <c r="K104">
        <v>1788.2716768176967</v>
      </c>
      <c r="L104" s="206"/>
      <c r="M104" s="206"/>
      <c r="N104" s="206"/>
      <c r="O104" s="206"/>
      <c r="P104" t="str">
        <f t="shared" si="2"/>
        <v xml:space="preserve">NRYW tons </v>
      </c>
      <c r="Q104" s="174">
        <f t="shared" si="3"/>
        <v>15818.324091871784</v>
      </c>
    </row>
    <row r="105" spans="1:17" x14ac:dyDescent="0.2">
      <c r="A105" t="s">
        <v>65</v>
      </c>
      <c r="C105" t="s">
        <v>60</v>
      </c>
      <c r="D105">
        <v>1363.5754306143742</v>
      </c>
      <c r="E105">
        <v>1327.8643182335475</v>
      </c>
      <c r="F105">
        <v>1452.969782117819</v>
      </c>
      <c r="G105">
        <v>1303.1267379498795</v>
      </c>
      <c r="H105">
        <v>1364.2637917698444</v>
      </c>
      <c r="I105">
        <v>1359.3517258800503</v>
      </c>
      <c r="J105">
        <v>1169.0862347737018</v>
      </c>
      <c r="K105">
        <v>1384.7989103886025</v>
      </c>
      <c r="L105" s="206"/>
      <c r="M105" s="206"/>
      <c r="N105" s="206"/>
      <c r="O105" s="206"/>
      <c r="P105" t="str">
        <f t="shared" si="2"/>
        <v>NRMSW tons</v>
      </c>
      <c r="Q105" s="174">
        <f t="shared" si="3"/>
        <v>10725.036931727818</v>
      </c>
    </row>
    <row r="106" spans="1:17" x14ac:dyDescent="0.2">
      <c r="A106" t="s">
        <v>65</v>
      </c>
      <c r="B106" t="s">
        <v>76</v>
      </c>
      <c r="C106" t="s">
        <v>56</v>
      </c>
      <c r="D106" s="172">
        <v>1009</v>
      </c>
      <c r="E106" s="172">
        <v>1014</v>
      </c>
      <c r="F106" s="172">
        <v>1007</v>
      </c>
      <c r="G106" s="172">
        <v>1011</v>
      </c>
      <c r="H106" s="172">
        <v>1008</v>
      </c>
      <c r="I106" s="172">
        <v>1009</v>
      </c>
      <c r="J106" s="172">
        <v>1009</v>
      </c>
      <c r="K106" s="172">
        <v>1013</v>
      </c>
      <c r="L106" s="206"/>
      <c r="M106" s="206"/>
      <c r="N106" s="206"/>
      <c r="O106" s="206"/>
      <c r="P106" t="str">
        <f t="shared" si="2"/>
        <v>NRREC cust</v>
      </c>
      <c r="Q106" s="174">
        <f t="shared" si="3"/>
        <v>8080</v>
      </c>
    </row>
    <row r="107" spans="1:17" x14ac:dyDescent="0.2">
      <c r="A107" t="s">
        <v>65</v>
      </c>
      <c r="C107" t="s">
        <v>57</v>
      </c>
      <c r="D107" s="172">
        <v>775</v>
      </c>
      <c r="E107" s="172">
        <v>779</v>
      </c>
      <c r="F107" s="172">
        <v>781</v>
      </c>
      <c r="G107" s="172">
        <v>782</v>
      </c>
      <c r="H107" s="172">
        <v>778</v>
      </c>
      <c r="I107" s="172">
        <v>778</v>
      </c>
      <c r="J107" s="172">
        <v>777</v>
      </c>
      <c r="K107" s="172">
        <v>776</v>
      </c>
      <c r="L107" s="206"/>
      <c r="M107" s="206"/>
      <c r="N107" s="206"/>
      <c r="O107" s="206"/>
      <c r="P107" t="str">
        <f t="shared" si="2"/>
        <v>NRYW cust</v>
      </c>
      <c r="Q107" s="174">
        <f t="shared" si="3"/>
        <v>6226</v>
      </c>
    </row>
    <row r="108" spans="1:17" x14ac:dyDescent="0.2">
      <c r="A108" t="s">
        <v>65</v>
      </c>
      <c r="D108" s="170"/>
      <c r="E108" s="172"/>
      <c r="F108" s="172"/>
      <c r="G108" s="172"/>
      <c r="H108" s="170"/>
      <c r="I108" s="172"/>
      <c r="J108" s="172"/>
      <c r="K108" s="172"/>
      <c r="L108" s="206"/>
      <c r="M108" s="206"/>
      <c r="N108" s="206"/>
      <c r="O108" s="206"/>
      <c r="P108" t="str">
        <f t="shared" si="2"/>
        <v>NR</v>
      </c>
      <c r="Q108" s="174">
        <f t="shared" si="3"/>
        <v>0</v>
      </c>
    </row>
    <row r="109" spans="1:17" x14ac:dyDescent="0.2">
      <c r="A109" t="s">
        <v>65</v>
      </c>
      <c r="C109" t="s">
        <v>58</v>
      </c>
      <c r="D109" s="101">
        <v>49.595822612529695</v>
      </c>
      <c r="E109" s="101">
        <v>35.875304574487515</v>
      </c>
      <c r="F109" s="101">
        <v>30.70644714627997</v>
      </c>
      <c r="G109" s="101">
        <v>51.763512209401988</v>
      </c>
      <c r="H109" s="101">
        <v>32.829027056089991</v>
      </c>
      <c r="I109" s="101">
        <v>43.506977966758178</v>
      </c>
      <c r="J109" s="101">
        <v>36.938088172677702</v>
      </c>
      <c r="K109" s="101">
        <v>41.872570509571375</v>
      </c>
      <c r="L109" s="206"/>
      <c r="M109" s="206"/>
      <c r="N109" s="206"/>
      <c r="O109" s="206"/>
      <c r="P109" t="str">
        <f t="shared" si="2"/>
        <v>NRRec tons</v>
      </c>
      <c r="Q109" s="174">
        <f t="shared" si="3"/>
        <v>323.08775024779641</v>
      </c>
    </row>
    <row r="110" spans="1:17" x14ac:dyDescent="0.2">
      <c r="A110" t="s">
        <v>65</v>
      </c>
      <c r="C110" t="s">
        <v>59</v>
      </c>
      <c r="D110" s="101">
        <v>85.626829550308656</v>
      </c>
      <c r="E110" s="101">
        <v>84.052390725452113</v>
      </c>
      <c r="F110" s="101">
        <v>89.083051875337333</v>
      </c>
      <c r="G110" s="101">
        <v>77.292826182541774</v>
      </c>
      <c r="H110" s="101">
        <v>69.058135539571111</v>
      </c>
      <c r="I110" s="101">
        <v>109.13074367453076</v>
      </c>
      <c r="J110" s="101">
        <v>97.815644650990066</v>
      </c>
      <c r="K110" s="101">
        <v>77.673086875051396</v>
      </c>
      <c r="L110" s="206"/>
      <c r="M110" s="206"/>
      <c r="N110" s="206"/>
      <c r="O110" s="206"/>
      <c r="P110" t="str">
        <f t="shared" si="2"/>
        <v xml:space="preserve">NRYW tons </v>
      </c>
      <c r="Q110" s="174">
        <f t="shared" si="3"/>
        <v>689.73270907378321</v>
      </c>
    </row>
    <row r="111" spans="1:17" x14ac:dyDescent="0.2">
      <c r="A111" t="s">
        <v>65</v>
      </c>
      <c r="C111" t="s">
        <v>60</v>
      </c>
      <c r="D111" s="101">
        <v>52.90889946190967</v>
      </c>
      <c r="E111" s="101">
        <v>59.410657674005108</v>
      </c>
      <c r="F111" s="101">
        <v>53.23805073927673</v>
      </c>
      <c r="G111" s="101">
        <v>68.201772713775071</v>
      </c>
      <c r="H111" s="101">
        <v>55.765236965557328</v>
      </c>
      <c r="I111" s="101">
        <v>66.338884861866092</v>
      </c>
      <c r="J111" s="101">
        <v>57.169002031873809</v>
      </c>
      <c r="K111" s="101">
        <v>55.544376459712787</v>
      </c>
      <c r="L111" s="206"/>
      <c r="M111" s="206"/>
      <c r="N111" s="206"/>
      <c r="O111" s="206"/>
      <c r="P111" t="str">
        <f t="shared" si="2"/>
        <v>NRMSW tons</v>
      </c>
      <c r="Q111" s="174">
        <f t="shared" si="3"/>
        <v>468.5768809079766</v>
      </c>
    </row>
    <row r="112" spans="1:17" x14ac:dyDescent="0.2">
      <c r="A112" t="s">
        <v>55</v>
      </c>
      <c r="B112" t="s">
        <v>77</v>
      </c>
      <c r="C112" t="s">
        <v>56</v>
      </c>
      <c r="D112">
        <v>1021</v>
      </c>
      <c r="E112">
        <v>1016</v>
      </c>
      <c r="F112">
        <v>1018</v>
      </c>
      <c r="G112">
        <v>1015</v>
      </c>
      <c r="H112">
        <v>1020</v>
      </c>
      <c r="I112">
        <v>1019</v>
      </c>
      <c r="J112">
        <v>1020</v>
      </c>
      <c r="K112">
        <v>1021</v>
      </c>
      <c r="L112" s="206">
        <v>1014</v>
      </c>
      <c r="M112" s="206">
        <v>1014</v>
      </c>
      <c r="N112" s="206">
        <v>1013</v>
      </c>
      <c r="O112" s="206">
        <v>1018</v>
      </c>
      <c r="P112" t="str">
        <f t="shared" si="2"/>
        <v>RREC cust</v>
      </c>
      <c r="Q112" s="174">
        <f t="shared" si="3"/>
        <v>12209</v>
      </c>
    </row>
    <row r="113" spans="1:17" x14ac:dyDescent="0.2">
      <c r="A113" t="s">
        <v>55</v>
      </c>
      <c r="C113" t="s">
        <v>57</v>
      </c>
      <c r="D113">
        <v>726</v>
      </c>
      <c r="E113">
        <v>724</v>
      </c>
      <c r="F113">
        <v>725</v>
      </c>
      <c r="G113">
        <v>723</v>
      </c>
      <c r="H113">
        <v>726</v>
      </c>
      <c r="I113">
        <v>723</v>
      </c>
      <c r="J113">
        <v>724</v>
      </c>
      <c r="K113">
        <v>720</v>
      </c>
      <c r="L113" s="206">
        <v>716</v>
      </c>
      <c r="M113" s="206">
        <v>714</v>
      </c>
      <c r="N113" s="206">
        <v>716</v>
      </c>
      <c r="O113" s="206">
        <v>716</v>
      </c>
      <c r="P113" t="str">
        <f t="shared" si="2"/>
        <v>RYW cust</v>
      </c>
      <c r="Q113" s="174">
        <f t="shared" si="3"/>
        <v>8653</v>
      </c>
    </row>
    <row r="114" spans="1:17" x14ac:dyDescent="0.2">
      <c r="A114" t="s">
        <v>55</v>
      </c>
      <c r="L114" s="206"/>
      <c r="M114" s="206"/>
      <c r="N114" s="206"/>
      <c r="O114" s="206"/>
      <c r="P114" t="str">
        <f t="shared" si="2"/>
        <v>R</v>
      </c>
      <c r="Q114" s="174">
        <f t="shared" si="3"/>
        <v>0</v>
      </c>
    </row>
    <row r="115" spans="1:17" x14ac:dyDescent="0.2">
      <c r="A115" t="s">
        <v>55</v>
      </c>
      <c r="C115" t="s">
        <v>60</v>
      </c>
      <c r="D115">
        <v>71.049545278129429</v>
      </c>
      <c r="E115">
        <v>63.112241264521955</v>
      </c>
      <c r="F115">
        <v>72.358174779800109</v>
      </c>
      <c r="G115">
        <v>63.105805278802649</v>
      </c>
      <c r="H115">
        <v>57.571507919728973</v>
      </c>
      <c r="I115">
        <v>69.878761935704262</v>
      </c>
      <c r="J115">
        <v>56.966794783785787</v>
      </c>
      <c r="K115">
        <v>55.613932614687911</v>
      </c>
      <c r="L115" s="207">
        <v>67.287909320632011</v>
      </c>
      <c r="M115" s="207">
        <v>46.634757879422104</v>
      </c>
      <c r="N115" s="207">
        <v>50.955463507882939</v>
      </c>
      <c r="O115" s="207">
        <v>58.06</v>
      </c>
      <c r="P115" t="str">
        <f t="shared" si="2"/>
        <v>RMSW tons</v>
      </c>
      <c r="Q115" s="174">
        <f t="shared" si="3"/>
        <v>732.59489456309802</v>
      </c>
    </row>
    <row r="116" spans="1:17" x14ac:dyDescent="0.2">
      <c r="A116" t="s">
        <v>55</v>
      </c>
      <c r="C116" t="s">
        <v>59</v>
      </c>
      <c r="D116">
        <v>128.82348750675763</v>
      </c>
      <c r="E116">
        <v>93.496028407080843</v>
      </c>
      <c r="F116">
        <v>69.010275609127191</v>
      </c>
      <c r="G116">
        <v>56.011891292777229</v>
      </c>
      <c r="H116">
        <v>58.821654873126086</v>
      </c>
      <c r="I116">
        <v>106.3142486626404</v>
      </c>
      <c r="J116">
        <v>94.891361309605955</v>
      </c>
      <c r="K116">
        <v>68.299983914978426</v>
      </c>
      <c r="L116" s="207">
        <v>46.742733055350094</v>
      </c>
      <c r="M116" s="207">
        <v>42.267852590677357</v>
      </c>
      <c r="N116" s="207">
        <v>54.188645031527749</v>
      </c>
      <c r="O116" s="207">
        <v>92.28</v>
      </c>
      <c r="P116" t="str">
        <f t="shared" si="2"/>
        <v xml:space="preserve">RYW tons </v>
      </c>
      <c r="Q116" s="174">
        <f t="shared" si="3"/>
        <v>911.14816225364871</v>
      </c>
    </row>
    <row r="117" spans="1:17" x14ac:dyDescent="0.2">
      <c r="A117" t="s">
        <v>55</v>
      </c>
      <c r="C117" t="s">
        <v>58</v>
      </c>
      <c r="D117">
        <v>38.453805767741521</v>
      </c>
      <c r="E117">
        <v>36.086594796159062</v>
      </c>
      <c r="F117">
        <v>40.297818498470079</v>
      </c>
      <c r="G117">
        <v>34.797748712465484</v>
      </c>
      <c r="H117">
        <v>36.715743111709024</v>
      </c>
      <c r="I117">
        <v>42.279407837713997</v>
      </c>
      <c r="J117">
        <v>34.777517491640594</v>
      </c>
      <c r="K117">
        <v>47.845445223002663</v>
      </c>
      <c r="L117" s="207">
        <v>53.237940077141793</v>
      </c>
      <c r="M117" s="207">
        <v>29.792154740426135</v>
      </c>
      <c r="N117" s="207">
        <v>35.418983373089688</v>
      </c>
      <c r="O117" s="207">
        <v>35</v>
      </c>
      <c r="P117" t="str">
        <f t="shared" si="2"/>
        <v>RRec tons</v>
      </c>
      <c r="Q117" s="174">
        <f t="shared" si="3"/>
        <v>464.7031596295601</v>
      </c>
    </row>
    <row r="118" spans="1:17" x14ac:dyDescent="0.2">
      <c r="A118" t="s">
        <v>55</v>
      </c>
      <c r="B118" t="s">
        <v>78</v>
      </c>
      <c r="C118" t="s">
        <v>56</v>
      </c>
      <c r="D118">
        <v>368</v>
      </c>
      <c r="E118">
        <v>367</v>
      </c>
      <c r="F118">
        <v>368</v>
      </c>
      <c r="G118">
        <v>367</v>
      </c>
      <c r="H118">
        <v>368</v>
      </c>
      <c r="I118">
        <v>370</v>
      </c>
      <c r="J118">
        <v>370</v>
      </c>
      <c r="K118">
        <v>374</v>
      </c>
      <c r="L118" s="206">
        <v>371</v>
      </c>
      <c r="M118" s="206">
        <v>371</v>
      </c>
      <c r="N118" s="206">
        <v>371</v>
      </c>
      <c r="O118" s="206">
        <v>370</v>
      </c>
      <c r="P118" t="str">
        <f t="shared" si="2"/>
        <v>RREC cust</v>
      </c>
      <c r="Q118" s="174">
        <f t="shared" si="3"/>
        <v>4435</v>
      </c>
    </row>
    <row r="119" spans="1:17" x14ac:dyDescent="0.2">
      <c r="A119" t="s">
        <v>55</v>
      </c>
      <c r="C119" t="s">
        <v>57</v>
      </c>
      <c r="D119">
        <v>291</v>
      </c>
      <c r="E119">
        <v>290</v>
      </c>
      <c r="F119">
        <v>290</v>
      </c>
      <c r="G119">
        <v>284</v>
      </c>
      <c r="H119">
        <v>287</v>
      </c>
      <c r="I119">
        <v>289</v>
      </c>
      <c r="J119">
        <v>288</v>
      </c>
      <c r="K119">
        <v>289</v>
      </c>
      <c r="L119" s="206">
        <v>285</v>
      </c>
      <c r="M119" s="206">
        <v>283</v>
      </c>
      <c r="N119" s="206">
        <v>285</v>
      </c>
      <c r="O119" s="206">
        <v>283</v>
      </c>
      <c r="P119" t="str">
        <f t="shared" si="2"/>
        <v>RYW cust</v>
      </c>
      <c r="Q119" s="174">
        <f t="shared" si="3"/>
        <v>3444</v>
      </c>
    </row>
    <row r="120" spans="1:17" x14ac:dyDescent="0.2">
      <c r="A120" t="s">
        <v>55</v>
      </c>
      <c r="L120" s="206"/>
      <c r="M120" s="206"/>
      <c r="N120" s="206"/>
      <c r="O120" s="206"/>
      <c r="P120" t="str">
        <f t="shared" si="2"/>
        <v>R</v>
      </c>
      <c r="Q120" s="174">
        <f t="shared" si="3"/>
        <v>0</v>
      </c>
    </row>
    <row r="121" spans="1:17" x14ac:dyDescent="0.2">
      <c r="A121" t="s">
        <v>55</v>
      </c>
      <c r="C121" t="s">
        <v>60</v>
      </c>
      <c r="D121">
        <v>25.408991909292929</v>
      </c>
      <c r="E121">
        <v>20.089400757879982</v>
      </c>
      <c r="F121">
        <v>27.262171057659536</v>
      </c>
      <c r="G121">
        <v>19.945160945412781</v>
      </c>
      <c r="H121">
        <v>20.452809460326129</v>
      </c>
      <c r="I121">
        <v>24.663132220924243</v>
      </c>
      <c r="J121">
        <v>20.905442511783171</v>
      </c>
      <c r="K121">
        <v>21.390953175744553</v>
      </c>
      <c r="L121" s="203">
        <v>25.702190582479503</v>
      </c>
      <c r="M121" s="203">
        <v>18.794265542064139</v>
      </c>
      <c r="N121" s="203">
        <v>19.402575631796214</v>
      </c>
      <c r="O121" s="203">
        <v>23.97</v>
      </c>
      <c r="P121" t="str">
        <f t="shared" si="2"/>
        <v>RMSW tons</v>
      </c>
      <c r="Q121" s="174">
        <f t="shared" si="3"/>
        <v>267.98709379536319</v>
      </c>
    </row>
    <row r="122" spans="1:17" x14ac:dyDescent="0.2">
      <c r="A122" t="s">
        <v>55</v>
      </c>
      <c r="C122" t="s">
        <v>59</v>
      </c>
      <c r="D122">
        <v>43.897950610551668</v>
      </c>
      <c r="E122">
        <v>17.659438449194386</v>
      </c>
      <c r="F122">
        <v>4.85583549139385</v>
      </c>
      <c r="G122">
        <v>3.7915472070631311</v>
      </c>
      <c r="H122">
        <v>14.959714982780691</v>
      </c>
      <c r="I122">
        <v>15.48786915730569</v>
      </c>
      <c r="J122">
        <v>7.5489316413305492</v>
      </c>
      <c r="K122">
        <v>4.9263770199451171</v>
      </c>
      <c r="L122" s="203">
        <v>8.4466962662810072</v>
      </c>
      <c r="M122" s="203">
        <v>8.4298643041433277</v>
      </c>
      <c r="N122" s="203">
        <v>10.862319935168955</v>
      </c>
      <c r="O122" s="203">
        <v>18.170000000000002</v>
      </c>
      <c r="P122" t="str">
        <f t="shared" si="2"/>
        <v xml:space="preserve">RYW tons </v>
      </c>
      <c r="Q122" s="174">
        <f t="shared" si="3"/>
        <v>159.03654506515841</v>
      </c>
    </row>
    <row r="123" spans="1:17" x14ac:dyDescent="0.2">
      <c r="A123" t="s">
        <v>55</v>
      </c>
      <c r="C123" t="s">
        <v>58</v>
      </c>
      <c r="D123">
        <v>20.083647834343591</v>
      </c>
      <c r="E123">
        <v>13.538670032842886</v>
      </c>
      <c r="F123">
        <v>14.00883947274389</v>
      </c>
      <c r="G123">
        <v>8.9441048706515751</v>
      </c>
      <c r="H123">
        <v>11.782534940401659</v>
      </c>
      <c r="I123">
        <v>19.871850970785143</v>
      </c>
      <c r="J123">
        <v>15.248658352204846</v>
      </c>
      <c r="K123">
        <v>15.879300743744805</v>
      </c>
      <c r="L123" s="203">
        <v>14.719836668746451</v>
      </c>
      <c r="M123" s="203">
        <v>11.906668334289886</v>
      </c>
      <c r="N123" s="203">
        <v>13.117741966833696</v>
      </c>
      <c r="O123" s="203">
        <v>19.84</v>
      </c>
      <c r="P123" t="str">
        <f t="shared" si="2"/>
        <v>RRec tons</v>
      </c>
      <c r="Q123" s="174">
        <f t="shared" si="3"/>
        <v>178.94185418758843</v>
      </c>
    </row>
    <row r="124" spans="1:17" x14ac:dyDescent="0.2">
      <c r="A124" t="s">
        <v>65</v>
      </c>
      <c r="B124" t="s">
        <v>79</v>
      </c>
      <c r="C124" t="s">
        <v>56</v>
      </c>
      <c r="D124" s="172">
        <v>935</v>
      </c>
      <c r="E124" s="172">
        <v>933</v>
      </c>
      <c r="F124" s="172">
        <v>943</v>
      </c>
      <c r="G124" s="172">
        <v>938</v>
      </c>
      <c r="H124" s="172">
        <v>945</v>
      </c>
      <c r="I124" s="172">
        <v>945</v>
      </c>
      <c r="J124" s="172">
        <v>940</v>
      </c>
      <c r="K124" s="172">
        <v>939</v>
      </c>
      <c r="L124" s="206"/>
      <c r="M124" s="206"/>
      <c r="N124" s="206"/>
      <c r="O124" s="206"/>
      <c r="P124" t="str">
        <f t="shared" si="2"/>
        <v>NRREC cust</v>
      </c>
      <c r="Q124" s="174">
        <f t="shared" si="3"/>
        <v>7518</v>
      </c>
    </row>
    <row r="125" spans="1:17" x14ac:dyDescent="0.2">
      <c r="A125" t="s">
        <v>65</v>
      </c>
      <c r="C125" t="s">
        <v>57</v>
      </c>
      <c r="D125" s="172">
        <v>776</v>
      </c>
      <c r="E125" s="172">
        <v>779</v>
      </c>
      <c r="F125" s="172">
        <v>788</v>
      </c>
      <c r="G125" s="172">
        <v>787</v>
      </c>
      <c r="H125" s="172">
        <v>791</v>
      </c>
      <c r="I125" s="172">
        <v>790</v>
      </c>
      <c r="J125" s="172">
        <v>783</v>
      </c>
      <c r="K125" s="172">
        <v>774</v>
      </c>
      <c r="L125" s="206"/>
      <c r="M125" s="206"/>
      <c r="N125" s="206"/>
      <c r="O125" s="206"/>
      <c r="P125" t="str">
        <f t="shared" si="2"/>
        <v>NRYW cust</v>
      </c>
      <c r="Q125" s="174">
        <f t="shared" si="3"/>
        <v>6268</v>
      </c>
    </row>
    <row r="126" spans="1:17" x14ac:dyDescent="0.2">
      <c r="A126" t="s">
        <v>65</v>
      </c>
      <c r="D126" s="170"/>
      <c r="E126" s="170"/>
      <c r="F126" s="170"/>
      <c r="G126" s="170"/>
      <c r="H126" s="170"/>
      <c r="I126" s="172"/>
      <c r="J126" s="172"/>
      <c r="K126" s="172"/>
      <c r="L126" s="206"/>
      <c r="M126" s="206"/>
      <c r="N126" s="206"/>
      <c r="O126" s="206"/>
      <c r="P126" t="str">
        <f t="shared" si="2"/>
        <v>NR</v>
      </c>
      <c r="Q126" s="174">
        <f t="shared" si="3"/>
        <v>0</v>
      </c>
    </row>
    <row r="127" spans="1:17" x14ac:dyDescent="0.2">
      <c r="A127" t="s">
        <v>65</v>
      </c>
      <c r="C127" t="s">
        <v>58</v>
      </c>
      <c r="D127" s="101">
        <v>33.228229618802878</v>
      </c>
      <c r="E127" s="101">
        <v>36.179316669576913</v>
      </c>
      <c r="F127" s="101">
        <v>45.691505691158902</v>
      </c>
      <c r="G127" s="101">
        <v>36.858149720953421</v>
      </c>
      <c r="H127" s="101">
        <v>35.128083669094401</v>
      </c>
      <c r="I127" s="101">
        <v>38.422523181894292</v>
      </c>
      <c r="J127" s="101">
        <v>32.221080156038795</v>
      </c>
      <c r="K127" s="101">
        <v>46.131674064281334</v>
      </c>
      <c r="L127" s="206"/>
      <c r="M127" s="206"/>
      <c r="N127" s="206"/>
      <c r="O127" s="206"/>
      <c r="P127" t="str">
        <f t="shared" si="2"/>
        <v>NRRec tons</v>
      </c>
      <c r="Q127" s="174">
        <f t="shared" si="3"/>
        <v>303.86056277180097</v>
      </c>
    </row>
    <row r="128" spans="1:17" x14ac:dyDescent="0.2">
      <c r="A128" t="s">
        <v>65</v>
      </c>
      <c r="C128" t="s">
        <v>59</v>
      </c>
      <c r="D128" s="101">
        <v>90.564951548889098</v>
      </c>
      <c r="E128" s="101">
        <v>65.585288383460181</v>
      </c>
      <c r="F128" s="101">
        <v>59.369838790526849</v>
      </c>
      <c r="G128" s="101">
        <v>40.045956746748509</v>
      </c>
      <c r="H128" s="101">
        <v>58.57676799275562</v>
      </c>
      <c r="I128" s="101">
        <v>61.487303043681536</v>
      </c>
      <c r="J128" s="101">
        <v>71.813370975214312</v>
      </c>
      <c r="K128" s="101">
        <v>50.247431347109767</v>
      </c>
      <c r="L128" s="206"/>
      <c r="M128" s="206"/>
      <c r="N128" s="206"/>
      <c r="O128" s="206"/>
      <c r="P128" t="str">
        <f t="shared" si="2"/>
        <v xml:space="preserve">NRYW tons </v>
      </c>
      <c r="Q128" s="174">
        <f t="shared" si="3"/>
        <v>497.69090882838589</v>
      </c>
    </row>
    <row r="129" spans="1:17" x14ac:dyDescent="0.2">
      <c r="A129" t="s">
        <v>65</v>
      </c>
      <c r="C129" t="s">
        <v>60</v>
      </c>
      <c r="D129" s="101">
        <v>50.01594846334681</v>
      </c>
      <c r="E129" s="101">
        <v>43.192923714950403</v>
      </c>
      <c r="F129" s="101">
        <v>55.601330039798199</v>
      </c>
      <c r="G129" s="101">
        <v>46.739650196636887</v>
      </c>
      <c r="H129" s="101">
        <v>50.442357798278294</v>
      </c>
      <c r="I129" s="101">
        <v>43.270972426751889</v>
      </c>
      <c r="J129" s="101">
        <v>41.013478432295273</v>
      </c>
      <c r="K129" s="101">
        <v>52.900911719152866</v>
      </c>
      <c r="L129" s="206"/>
      <c r="M129" s="206"/>
      <c r="N129" s="206"/>
      <c r="O129" s="206"/>
      <c r="P129" t="str">
        <f t="shared" si="2"/>
        <v>NRMSW tons</v>
      </c>
      <c r="Q129" s="174">
        <f t="shared" si="3"/>
        <v>383.17757279121065</v>
      </c>
    </row>
    <row r="130" spans="1:17" x14ac:dyDescent="0.2">
      <c r="A130" t="s">
        <v>55</v>
      </c>
      <c r="B130" t="s">
        <v>80</v>
      </c>
      <c r="C130" t="s">
        <v>56</v>
      </c>
      <c r="D130">
        <v>5628</v>
      </c>
      <c r="E130">
        <v>5594</v>
      </c>
      <c r="F130">
        <v>5613</v>
      </c>
      <c r="G130">
        <v>5613</v>
      </c>
      <c r="H130">
        <v>5624</v>
      </c>
      <c r="I130">
        <v>5642</v>
      </c>
      <c r="J130">
        <v>5641</v>
      </c>
      <c r="K130">
        <v>5670</v>
      </c>
      <c r="L130" s="206">
        <v>5664</v>
      </c>
      <c r="M130" s="206">
        <v>5654</v>
      </c>
      <c r="N130" s="206">
        <v>5639</v>
      </c>
      <c r="O130" s="206">
        <v>5690</v>
      </c>
      <c r="P130" t="str">
        <f t="shared" si="2"/>
        <v>RREC cust</v>
      </c>
      <c r="Q130" s="174">
        <f t="shared" si="3"/>
        <v>67672</v>
      </c>
    </row>
    <row r="131" spans="1:17" x14ac:dyDescent="0.2">
      <c r="A131" t="s">
        <v>55</v>
      </c>
      <c r="C131" t="s">
        <v>57</v>
      </c>
      <c r="D131">
        <v>3636</v>
      </c>
      <c r="E131">
        <v>3650</v>
      </c>
      <c r="F131">
        <v>3666</v>
      </c>
      <c r="G131">
        <v>3673</v>
      </c>
      <c r="H131">
        <v>3674</v>
      </c>
      <c r="I131">
        <v>3666</v>
      </c>
      <c r="J131">
        <v>3635</v>
      </c>
      <c r="K131">
        <v>3620</v>
      </c>
      <c r="L131" s="206">
        <v>3593</v>
      </c>
      <c r="M131" s="206">
        <v>3589</v>
      </c>
      <c r="N131" s="206">
        <v>3638</v>
      </c>
      <c r="O131" s="206">
        <v>3718</v>
      </c>
      <c r="P131" t="str">
        <f t="shared" si="2"/>
        <v>RYW cust</v>
      </c>
      <c r="Q131" s="174">
        <f t="shared" si="3"/>
        <v>43758</v>
      </c>
    </row>
    <row r="132" spans="1:17" x14ac:dyDescent="0.2">
      <c r="A132" t="s">
        <v>55</v>
      </c>
      <c r="L132" s="206"/>
      <c r="M132" s="206"/>
      <c r="N132" s="206"/>
      <c r="O132" s="206"/>
      <c r="P132" t="str">
        <f t="shared" ref="P132:P159" si="4">CONCATENATE(A132,C132)</f>
        <v>R</v>
      </c>
      <c r="Q132" s="174">
        <f t="shared" ref="Q132:Q159" si="5">SUM(D132:O132)</f>
        <v>0</v>
      </c>
    </row>
    <row r="133" spans="1:17" x14ac:dyDescent="0.2">
      <c r="A133" t="s">
        <v>55</v>
      </c>
      <c r="C133" t="s">
        <v>60</v>
      </c>
      <c r="D133">
        <v>301.37880142074522</v>
      </c>
      <c r="E133">
        <v>293.23585205844182</v>
      </c>
      <c r="F133">
        <v>330.88943274876414</v>
      </c>
      <c r="G133">
        <v>297.96468399323015</v>
      </c>
      <c r="H133">
        <v>325.74540449860132</v>
      </c>
      <c r="I133">
        <v>311.3816005129101</v>
      </c>
      <c r="J133">
        <v>275.91621821726864</v>
      </c>
      <c r="K133">
        <v>332.98522948317327</v>
      </c>
      <c r="L133" s="203">
        <v>295.6967906073383</v>
      </c>
      <c r="M133" s="203">
        <v>258.86140790156492</v>
      </c>
      <c r="N133" s="203">
        <v>294.43224902524406</v>
      </c>
      <c r="O133" s="203">
        <v>288.73</v>
      </c>
      <c r="P133" t="str">
        <f t="shared" si="4"/>
        <v>RMSW tons</v>
      </c>
      <c r="Q133" s="174">
        <f t="shared" si="5"/>
        <v>3607.217670467282</v>
      </c>
    </row>
    <row r="134" spans="1:17" x14ac:dyDescent="0.2">
      <c r="A134" t="s">
        <v>55</v>
      </c>
      <c r="C134" t="s">
        <v>59</v>
      </c>
      <c r="D134">
        <v>316.62796134866534</v>
      </c>
      <c r="E134">
        <v>312.6271186824859</v>
      </c>
      <c r="F134">
        <v>248.15214855367068</v>
      </c>
      <c r="G134">
        <v>182.45303761304044</v>
      </c>
      <c r="H134">
        <v>177.75117630402804</v>
      </c>
      <c r="I134">
        <v>228.25184942691163</v>
      </c>
      <c r="J134">
        <v>261.92571645025066</v>
      </c>
      <c r="K134">
        <v>266.49553503332089</v>
      </c>
      <c r="L134" s="203">
        <v>171.54863643314991</v>
      </c>
      <c r="M134" s="203">
        <v>157.14472637704236</v>
      </c>
      <c r="N134" s="203">
        <v>190.64849371074621</v>
      </c>
      <c r="O134" s="203">
        <v>286.33</v>
      </c>
      <c r="P134" t="str">
        <f t="shared" si="4"/>
        <v xml:space="preserve">RYW tons </v>
      </c>
      <c r="Q134" s="174">
        <f t="shared" si="5"/>
        <v>2799.9563999333118</v>
      </c>
    </row>
    <row r="135" spans="1:17" x14ac:dyDescent="0.2">
      <c r="A135" t="s">
        <v>55</v>
      </c>
      <c r="C135" t="s">
        <v>58</v>
      </c>
      <c r="D135">
        <v>175.54794575298283</v>
      </c>
      <c r="E135">
        <v>164.24473444206532</v>
      </c>
      <c r="F135">
        <v>180.7557744051918</v>
      </c>
      <c r="G135">
        <v>164.27648152740647</v>
      </c>
      <c r="H135">
        <v>190.88729569589702</v>
      </c>
      <c r="I135">
        <v>192.82863408573559</v>
      </c>
      <c r="J135">
        <v>162.51609097745828</v>
      </c>
      <c r="K135">
        <v>189.70421109704228</v>
      </c>
      <c r="L135" s="203">
        <v>199.47084595235546</v>
      </c>
      <c r="M135" s="203">
        <v>154.28697461620308</v>
      </c>
      <c r="N135" s="203">
        <v>195.91502963643794</v>
      </c>
      <c r="O135" s="203">
        <v>165.36</v>
      </c>
      <c r="P135" t="str">
        <f t="shared" si="4"/>
        <v>RRec tons</v>
      </c>
      <c r="Q135" s="174">
        <f t="shared" si="5"/>
        <v>2135.7940181887761</v>
      </c>
    </row>
    <row r="136" spans="1:17" x14ac:dyDescent="0.2">
      <c r="A136" t="s">
        <v>65</v>
      </c>
      <c r="B136" t="s">
        <v>81</v>
      </c>
      <c r="C136" t="s">
        <v>56</v>
      </c>
      <c r="D136">
        <v>6488</v>
      </c>
      <c r="E136">
        <v>6503</v>
      </c>
      <c r="F136">
        <v>6474</v>
      </c>
      <c r="G136">
        <v>6511</v>
      </c>
      <c r="H136">
        <v>6523</v>
      </c>
      <c r="I136">
        <v>6491</v>
      </c>
      <c r="J136">
        <v>6515</v>
      </c>
      <c r="K136">
        <v>6531</v>
      </c>
      <c r="L136" s="206"/>
      <c r="M136" s="206"/>
      <c r="N136" s="206"/>
      <c r="O136" s="206"/>
      <c r="P136" t="str">
        <f t="shared" si="4"/>
        <v>NRREC cust</v>
      </c>
      <c r="Q136" s="174">
        <f t="shared" si="5"/>
        <v>52036</v>
      </c>
    </row>
    <row r="137" spans="1:17" x14ac:dyDescent="0.2">
      <c r="A137" t="s">
        <v>65</v>
      </c>
      <c r="C137" t="s">
        <v>57</v>
      </c>
      <c r="D137">
        <v>6253</v>
      </c>
      <c r="E137">
        <v>6268</v>
      </c>
      <c r="F137">
        <v>6236</v>
      </c>
      <c r="G137">
        <v>6270</v>
      </c>
      <c r="H137">
        <v>6279</v>
      </c>
      <c r="I137">
        <v>6244</v>
      </c>
      <c r="J137">
        <v>6267</v>
      </c>
      <c r="K137">
        <v>6279</v>
      </c>
      <c r="L137" s="206"/>
      <c r="M137" s="206"/>
      <c r="N137" s="206"/>
      <c r="O137" s="206"/>
      <c r="P137" t="str">
        <f t="shared" si="4"/>
        <v>NRYW cust</v>
      </c>
      <c r="Q137" s="174">
        <f t="shared" si="5"/>
        <v>50096</v>
      </c>
    </row>
    <row r="138" spans="1:17" x14ac:dyDescent="0.2">
      <c r="A138" t="s">
        <v>65</v>
      </c>
      <c r="L138" s="206"/>
      <c r="M138" s="206"/>
      <c r="N138" s="206"/>
      <c r="O138" s="206"/>
      <c r="P138" t="str">
        <f t="shared" si="4"/>
        <v>NR</v>
      </c>
      <c r="Q138" s="174">
        <f t="shared" si="5"/>
        <v>0</v>
      </c>
    </row>
    <row r="139" spans="1:17" x14ac:dyDescent="0.2">
      <c r="A139" t="s">
        <v>65</v>
      </c>
      <c r="C139" t="s">
        <v>58</v>
      </c>
      <c r="D139">
        <v>237.59829672593423</v>
      </c>
      <c r="E139">
        <v>252.44956226686406</v>
      </c>
      <c r="F139">
        <v>230.2264602127633</v>
      </c>
      <c r="G139">
        <v>217.12527091033823</v>
      </c>
      <c r="H139">
        <v>243.77557458846201</v>
      </c>
      <c r="I139">
        <v>261.14513771489601</v>
      </c>
      <c r="J139">
        <v>238.23798474028024</v>
      </c>
      <c r="K139">
        <v>313.35134387897438</v>
      </c>
      <c r="L139" s="206"/>
      <c r="M139" s="206"/>
      <c r="N139" s="206"/>
      <c r="O139" s="206"/>
      <c r="P139" t="str">
        <f t="shared" si="4"/>
        <v>NRRec tons</v>
      </c>
      <c r="Q139" s="174">
        <f t="shared" si="5"/>
        <v>1993.9096310385123</v>
      </c>
    </row>
    <row r="140" spans="1:17" x14ac:dyDescent="0.2">
      <c r="A140" t="s">
        <v>65</v>
      </c>
      <c r="C140" t="s">
        <v>59</v>
      </c>
      <c r="D140">
        <v>619.46003258455073</v>
      </c>
      <c r="E140">
        <v>505.70684684325408</v>
      </c>
      <c r="F140">
        <v>445.82412226122796</v>
      </c>
      <c r="G140">
        <v>352.9137151071323</v>
      </c>
      <c r="H140">
        <v>386.6311078292232</v>
      </c>
      <c r="I140">
        <v>528.83261238961268</v>
      </c>
      <c r="J140">
        <v>647.52150815165908</v>
      </c>
      <c r="K140">
        <v>497.16118006496271</v>
      </c>
      <c r="L140" s="206"/>
      <c r="M140" s="206"/>
      <c r="N140" s="206"/>
      <c r="O140" s="206"/>
      <c r="P140" t="str">
        <f t="shared" si="4"/>
        <v xml:space="preserve">NRYW tons </v>
      </c>
      <c r="Q140" s="174">
        <f t="shared" si="5"/>
        <v>3984.0511252316223</v>
      </c>
    </row>
    <row r="141" spans="1:17" x14ac:dyDescent="0.2">
      <c r="A141" t="s">
        <v>65</v>
      </c>
      <c r="C141" t="s">
        <v>60</v>
      </c>
      <c r="D141">
        <v>327.11732187463002</v>
      </c>
      <c r="E141">
        <v>319.04429619393886</v>
      </c>
      <c r="F141">
        <v>359.35649136743865</v>
      </c>
      <c r="G141">
        <v>324.85119001044012</v>
      </c>
      <c r="H141">
        <v>326.76767827842315</v>
      </c>
      <c r="I141">
        <v>339.81063286099959</v>
      </c>
      <c r="J141">
        <v>297.0349932476625</v>
      </c>
      <c r="K141">
        <v>341.76612624623527</v>
      </c>
      <c r="L141" s="206"/>
      <c r="M141" s="206"/>
      <c r="N141" s="206"/>
      <c r="O141" s="206"/>
      <c r="P141" t="str">
        <f t="shared" si="4"/>
        <v>NRMSW tons</v>
      </c>
      <c r="Q141" s="174">
        <f t="shared" si="5"/>
        <v>2635.7487300797679</v>
      </c>
    </row>
    <row r="142" spans="1:17" x14ac:dyDescent="0.2">
      <c r="A142" t="s">
        <v>55</v>
      </c>
      <c r="B142" t="s">
        <v>61</v>
      </c>
      <c r="C142" t="s">
        <v>56</v>
      </c>
      <c r="D142">
        <v>3236</v>
      </c>
      <c r="E142">
        <v>3222</v>
      </c>
      <c r="F142">
        <v>3213</v>
      </c>
      <c r="G142">
        <v>3216</v>
      </c>
      <c r="H142">
        <v>3237</v>
      </c>
      <c r="I142">
        <v>3220</v>
      </c>
      <c r="J142">
        <v>3234</v>
      </c>
      <c r="K142">
        <v>3249</v>
      </c>
      <c r="L142" s="206">
        <v>3249</v>
      </c>
      <c r="M142" s="206">
        <v>3239</v>
      </c>
      <c r="N142" s="206">
        <v>3236</v>
      </c>
      <c r="O142" s="206">
        <v>3238</v>
      </c>
      <c r="P142" t="str">
        <f t="shared" si="4"/>
        <v>RREC cust</v>
      </c>
      <c r="Q142" s="174">
        <f t="shared" si="5"/>
        <v>38789</v>
      </c>
    </row>
    <row r="143" spans="1:17" x14ac:dyDescent="0.2">
      <c r="A143" t="s">
        <v>55</v>
      </c>
      <c r="C143" t="s">
        <v>57</v>
      </c>
      <c r="D143">
        <v>2127</v>
      </c>
      <c r="E143">
        <v>2117</v>
      </c>
      <c r="F143">
        <v>2114</v>
      </c>
      <c r="G143">
        <v>2115</v>
      </c>
      <c r="H143">
        <v>2120</v>
      </c>
      <c r="I143">
        <v>2103</v>
      </c>
      <c r="J143">
        <v>2099</v>
      </c>
      <c r="K143">
        <v>2070</v>
      </c>
      <c r="L143" s="206">
        <v>2096</v>
      </c>
      <c r="M143" s="206">
        <v>2061</v>
      </c>
      <c r="N143" s="206">
        <v>2039</v>
      </c>
      <c r="O143" s="206">
        <v>2043</v>
      </c>
      <c r="P143" t="str">
        <f t="shared" si="4"/>
        <v>RYW cust</v>
      </c>
      <c r="Q143" s="174">
        <f t="shared" si="5"/>
        <v>25104</v>
      </c>
    </row>
    <row r="144" spans="1:17" x14ac:dyDescent="0.2">
      <c r="A144" t="s">
        <v>55</v>
      </c>
      <c r="L144" s="206"/>
      <c r="M144" s="206"/>
      <c r="N144" s="206"/>
      <c r="O144" s="206"/>
      <c r="P144" t="str">
        <f t="shared" si="4"/>
        <v>R</v>
      </c>
      <c r="Q144" s="174">
        <f t="shared" si="5"/>
        <v>0</v>
      </c>
    </row>
    <row r="145" spans="1:17" x14ac:dyDescent="0.2">
      <c r="A145" t="s">
        <v>55</v>
      </c>
      <c r="C145" t="s">
        <v>60</v>
      </c>
      <c r="D145">
        <v>169.56541256578961</v>
      </c>
      <c r="E145">
        <v>147.87031026447789</v>
      </c>
      <c r="F145">
        <v>174.27142418442733</v>
      </c>
      <c r="G145">
        <v>140.96805821312284</v>
      </c>
      <c r="H145">
        <v>147.470526310845</v>
      </c>
      <c r="I145">
        <v>168.77551443689347</v>
      </c>
      <c r="J145">
        <v>142.95261336209396</v>
      </c>
      <c r="K145">
        <v>154.7117689020871</v>
      </c>
      <c r="L145" s="203">
        <v>167.36994317257282</v>
      </c>
      <c r="M145" s="203">
        <v>130.23239356106262</v>
      </c>
      <c r="N145" s="203">
        <v>132.30152096450072</v>
      </c>
      <c r="O145" s="203">
        <v>159.85</v>
      </c>
      <c r="P145" t="str">
        <f t="shared" si="4"/>
        <v>RMSW tons</v>
      </c>
      <c r="Q145" s="174">
        <f t="shared" si="5"/>
        <v>1836.3394859378734</v>
      </c>
    </row>
    <row r="146" spans="1:17" x14ac:dyDescent="0.2">
      <c r="A146" t="s">
        <v>55</v>
      </c>
      <c r="C146" t="s">
        <v>59</v>
      </c>
      <c r="D146">
        <v>242.77622520743867</v>
      </c>
      <c r="E146">
        <v>166.51272442988866</v>
      </c>
      <c r="F146">
        <v>149.04035921413316</v>
      </c>
      <c r="G146">
        <v>105.25436111591637</v>
      </c>
      <c r="H146">
        <v>111.73947508628108</v>
      </c>
      <c r="I146">
        <v>161.23848007647356</v>
      </c>
      <c r="J146">
        <v>174.99892739132019</v>
      </c>
      <c r="K146">
        <v>88.92806963564162</v>
      </c>
      <c r="L146" s="203">
        <v>81.000570005315055</v>
      </c>
      <c r="M146" s="203">
        <v>67.654979887796088</v>
      </c>
      <c r="N146" s="203">
        <v>109.50325718152931</v>
      </c>
      <c r="O146" s="203">
        <v>194.15</v>
      </c>
      <c r="P146" t="str">
        <f t="shared" si="4"/>
        <v xml:space="preserve">RYW tons </v>
      </c>
      <c r="Q146" s="174">
        <f t="shared" si="5"/>
        <v>1652.797429231734</v>
      </c>
    </row>
    <row r="147" spans="1:17" x14ac:dyDescent="0.2">
      <c r="A147" t="s">
        <v>55</v>
      </c>
      <c r="C147" t="s">
        <v>58</v>
      </c>
      <c r="D147">
        <v>122.01820764517328</v>
      </c>
      <c r="E147">
        <v>104.58413653212322</v>
      </c>
      <c r="F147">
        <v>118.59560408562209</v>
      </c>
      <c r="G147">
        <v>105.04981814746245</v>
      </c>
      <c r="H147">
        <v>106.87655720247501</v>
      </c>
      <c r="I147">
        <v>122.62732102607974</v>
      </c>
      <c r="J147">
        <v>103.41201102167739</v>
      </c>
      <c r="K147">
        <v>119.8093640756796</v>
      </c>
      <c r="L147" s="203">
        <v>140.2495092159204</v>
      </c>
      <c r="M147" s="203">
        <v>105.90558255416335</v>
      </c>
      <c r="N147" s="203">
        <v>101.38841828943855</v>
      </c>
      <c r="O147" s="203">
        <v>118.87</v>
      </c>
      <c r="P147" t="str">
        <f t="shared" si="4"/>
        <v>RRec tons</v>
      </c>
      <c r="Q147" s="174">
        <f t="shared" si="5"/>
        <v>1369.386529795815</v>
      </c>
    </row>
    <row r="148" spans="1:17" x14ac:dyDescent="0.2">
      <c r="A148" t="s">
        <v>65</v>
      </c>
      <c r="B148" t="s">
        <v>82</v>
      </c>
      <c r="C148" t="s">
        <v>56</v>
      </c>
      <c r="D148" s="172">
        <v>8631</v>
      </c>
      <c r="E148" s="172">
        <v>8578</v>
      </c>
      <c r="F148" s="172">
        <v>8622</v>
      </c>
      <c r="G148" s="172">
        <v>8629</v>
      </c>
      <c r="H148" s="172">
        <v>8679</v>
      </c>
      <c r="I148" s="172">
        <v>8692</v>
      </c>
      <c r="J148" s="172">
        <v>8714</v>
      </c>
      <c r="K148" s="172">
        <v>8752</v>
      </c>
      <c r="L148" s="206"/>
      <c r="M148" s="206"/>
      <c r="N148" s="206"/>
      <c r="O148" s="206"/>
      <c r="P148" t="str">
        <f t="shared" si="4"/>
        <v>NRREC cust</v>
      </c>
      <c r="Q148" s="174">
        <f t="shared" si="5"/>
        <v>69297</v>
      </c>
    </row>
    <row r="149" spans="1:17" x14ac:dyDescent="0.2">
      <c r="A149" t="s">
        <v>65</v>
      </c>
      <c r="C149" t="s">
        <v>57</v>
      </c>
      <c r="D149" s="172">
        <v>4992</v>
      </c>
      <c r="E149" s="172">
        <v>5039</v>
      </c>
      <c r="F149" s="172">
        <v>5081</v>
      </c>
      <c r="G149" s="172">
        <v>5087</v>
      </c>
      <c r="H149" s="172">
        <v>5123</v>
      </c>
      <c r="I149" s="172">
        <v>5107</v>
      </c>
      <c r="J149" s="172">
        <v>5054</v>
      </c>
      <c r="K149" s="172">
        <v>4987</v>
      </c>
      <c r="L149" s="206"/>
      <c r="M149" s="206"/>
      <c r="N149" s="206"/>
      <c r="O149" s="206"/>
      <c r="P149" t="str">
        <f t="shared" si="4"/>
        <v>NRYW cust</v>
      </c>
      <c r="Q149" s="174">
        <f t="shared" si="5"/>
        <v>40470</v>
      </c>
    </row>
    <row r="150" spans="1:17" x14ac:dyDescent="0.2">
      <c r="A150" t="s">
        <v>65</v>
      </c>
      <c r="D150" s="170"/>
      <c r="E150" s="172"/>
      <c r="F150" s="172"/>
      <c r="G150" s="172"/>
      <c r="H150" s="170"/>
      <c r="I150" s="172"/>
      <c r="J150" s="172"/>
      <c r="K150" s="172"/>
      <c r="L150" s="206"/>
      <c r="M150" s="206"/>
      <c r="N150" s="206"/>
      <c r="O150" s="206"/>
      <c r="P150" t="str">
        <f t="shared" si="4"/>
        <v>NR</v>
      </c>
      <c r="Q150" s="174">
        <f t="shared" si="5"/>
        <v>0</v>
      </c>
    </row>
    <row r="151" spans="1:17" x14ac:dyDescent="0.2">
      <c r="A151" t="s">
        <v>65</v>
      </c>
      <c r="C151" t="s">
        <v>58</v>
      </c>
      <c r="D151" s="101">
        <v>302.29045822043395</v>
      </c>
      <c r="E151" s="101">
        <v>311.22337533306637</v>
      </c>
      <c r="F151" s="101">
        <v>318.1923571576865</v>
      </c>
      <c r="G151" s="101">
        <v>290.75188981632567</v>
      </c>
      <c r="H151" s="101">
        <v>316.92993565307393</v>
      </c>
      <c r="I151" s="101">
        <v>311.29493278164</v>
      </c>
      <c r="J151" s="101">
        <v>294.47539955069908</v>
      </c>
      <c r="K151" s="101">
        <v>367.56503649541014</v>
      </c>
      <c r="L151" s="206"/>
      <c r="M151" s="206"/>
      <c r="N151" s="206"/>
      <c r="O151" s="206"/>
      <c r="P151" t="str">
        <f t="shared" si="4"/>
        <v>NRRec tons</v>
      </c>
      <c r="Q151" s="174">
        <f t="shared" si="5"/>
        <v>2512.7233850083358</v>
      </c>
    </row>
    <row r="152" spans="1:17" x14ac:dyDescent="0.2">
      <c r="A152" t="s">
        <v>65</v>
      </c>
      <c r="C152" t="s">
        <v>59</v>
      </c>
      <c r="D152" s="101">
        <v>631.71778578001715</v>
      </c>
      <c r="E152" s="101">
        <v>486.15600628491683</v>
      </c>
      <c r="F152" s="101">
        <v>382.28004911188259</v>
      </c>
      <c r="G152" s="101">
        <v>325.39551697879534</v>
      </c>
      <c r="H152" s="101">
        <v>362.82255919707421</v>
      </c>
      <c r="I152" s="101">
        <v>476.98150538577221</v>
      </c>
      <c r="J152" s="101">
        <v>587.46516269366509</v>
      </c>
      <c r="K152" s="101">
        <v>270.15144343038372</v>
      </c>
      <c r="L152" s="206"/>
      <c r="M152" s="206"/>
      <c r="N152" s="206"/>
      <c r="O152" s="206"/>
      <c r="P152" t="str">
        <f t="shared" si="4"/>
        <v xml:space="preserve">NRYW tons </v>
      </c>
      <c r="Q152" s="174">
        <f t="shared" si="5"/>
        <v>3522.9700288625072</v>
      </c>
    </row>
    <row r="153" spans="1:17" x14ac:dyDescent="0.2">
      <c r="A153" t="s">
        <v>65</v>
      </c>
      <c r="C153" t="s">
        <v>60</v>
      </c>
      <c r="D153" s="101">
        <v>435.98694799556654</v>
      </c>
      <c r="E153" s="101">
        <v>470.36798683225203</v>
      </c>
      <c r="F153" s="101">
        <v>493.69541767255015</v>
      </c>
      <c r="G153" s="101">
        <v>450.13931230386021</v>
      </c>
      <c r="H153" s="101">
        <v>474.52795245684166</v>
      </c>
      <c r="I153" s="101">
        <v>470.95349165939314</v>
      </c>
      <c r="J153" s="101">
        <v>427.28962063959136</v>
      </c>
      <c r="K153" s="101">
        <v>504.43194125821623</v>
      </c>
      <c r="L153" s="206"/>
      <c r="M153" s="206"/>
      <c r="N153" s="206"/>
      <c r="O153" s="206"/>
      <c r="P153" t="str">
        <f t="shared" si="4"/>
        <v>NRMSW tons</v>
      </c>
      <c r="Q153" s="174">
        <f t="shared" si="5"/>
        <v>3727.3926708182712</v>
      </c>
    </row>
    <row r="154" spans="1:17" x14ac:dyDescent="0.2">
      <c r="A154" t="s">
        <v>65</v>
      </c>
      <c r="B154" t="s">
        <v>83</v>
      </c>
      <c r="C154" t="s">
        <v>56</v>
      </c>
      <c r="D154">
        <v>1609</v>
      </c>
      <c r="E154">
        <v>1609</v>
      </c>
      <c r="F154">
        <v>1623</v>
      </c>
      <c r="G154">
        <v>1631</v>
      </c>
      <c r="H154">
        <v>1636</v>
      </c>
      <c r="I154">
        <v>1638</v>
      </c>
      <c r="J154">
        <v>1639</v>
      </c>
      <c r="K154">
        <v>1638</v>
      </c>
      <c r="L154" s="206"/>
      <c r="M154" s="206"/>
      <c r="N154" s="206"/>
      <c r="O154" s="206"/>
      <c r="P154" t="str">
        <f t="shared" si="4"/>
        <v>NRREC cust</v>
      </c>
      <c r="Q154" s="174">
        <f t="shared" si="5"/>
        <v>13023</v>
      </c>
    </row>
    <row r="155" spans="1:17" x14ac:dyDescent="0.2">
      <c r="A155" t="s">
        <v>65</v>
      </c>
      <c r="C155" t="s">
        <v>57</v>
      </c>
      <c r="D155">
        <v>1256</v>
      </c>
      <c r="E155">
        <v>1266</v>
      </c>
      <c r="F155">
        <v>1289</v>
      </c>
      <c r="G155">
        <v>1298</v>
      </c>
      <c r="H155">
        <v>1301</v>
      </c>
      <c r="I155">
        <v>1311</v>
      </c>
      <c r="J155">
        <v>1303</v>
      </c>
      <c r="K155">
        <v>1308</v>
      </c>
      <c r="L155" s="206"/>
      <c r="M155" s="206"/>
      <c r="N155" s="206"/>
      <c r="O155" s="206"/>
      <c r="P155" t="str">
        <f t="shared" si="4"/>
        <v>NRYW cust</v>
      </c>
      <c r="Q155" s="174">
        <f t="shared" si="5"/>
        <v>10332</v>
      </c>
    </row>
    <row r="156" spans="1:17" x14ac:dyDescent="0.2">
      <c r="A156" t="s">
        <v>65</v>
      </c>
      <c r="L156" s="206"/>
      <c r="M156" s="206"/>
      <c r="N156" s="206"/>
      <c r="O156" s="206"/>
      <c r="P156" t="str">
        <f t="shared" si="4"/>
        <v>NR</v>
      </c>
      <c r="Q156" s="174">
        <f t="shared" si="5"/>
        <v>0</v>
      </c>
    </row>
    <row r="157" spans="1:17" x14ac:dyDescent="0.2">
      <c r="A157" t="s">
        <v>65</v>
      </c>
      <c r="C157" t="s">
        <v>58</v>
      </c>
      <c r="D157">
        <v>50.360788895899212</v>
      </c>
      <c r="E157">
        <v>53.654318080622971</v>
      </c>
      <c r="F157">
        <v>51.571412775077022</v>
      </c>
      <c r="G157">
        <v>47.213916273712101</v>
      </c>
      <c r="H157">
        <v>59.161132311490583</v>
      </c>
      <c r="I157">
        <v>48.384723960626673</v>
      </c>
      <c r="J157">
        <v>37.965791141470262</v>
      </c>
      <c r="K157">
        <v>72.119824851002264</v>
      </c>
      <c r="L157" s="206"/>
      <c r="M157" s="206"/>
      <c r="N157" s="206"/>
      <c r="O157" s="206"/>
      <c r="P157" t="str">
        <f t="shared" si="4"/>
        <v>NRRec tons</v>
      </c>
      <c r="Q157" s="174">
        <f t="shared" si="5"/>
        <v>420.43190828990112</v>
      </c>
    </row>
    <row r="158" spans="1:17" x14ac:dyDescent="0.2">
      <c r="A158" t="s">
        <v>65</v>
      </c>
      <c r="C158" t="s">
        <v>59</v>
      </c>
      <c r="D158">
        <v>101.64709307633302</v>
      </c>
      <c r="E158">
        <v>106.38544912592099</v>
      </c>
      <c r="F158">
        <v>77.192889705419958</v>
      </c>
      <c r="G158">
        <v>63.019747792056229</v>
      </c>
      <c r="H158">
        <v>56.249304212722166</v>
      </c>
      <c r="I158">
        <v>66.31094549289611</v>
      </c>
      <c r="J158">
        <v>72.83293267083296</v>
      </c>
      <c r="K158">
        <v>48.537790230569186</v>
      </c>
      <c r="L158" s="206"/>
      <c r="M158" s="206"/>
      <c r="N158" s="206"/>
      <c r="O158" s="206"/>
      <c r="P158" t="str">
        <f t="shared" si="4"/>
        <v xml:space="preserve">NRYW tons </v>
      </c>
      <c r="Q158" s="174">
        <f t="shared" si="5"/>
        <v>592.17615230675062</v>
      </c>
    </row>
    <row r="159" spans="1:17" x14ac:dyDescent="0.2">
      <c r="A159" t="s">
        <v>65</v>
      </c>
      <c r="C159" t="s">
        <v>60</v>
      </c>
      <c r="D159">
        <v>96.614630615580126</v>
      </c>
      <c r="E159">
        <v>94.334434524430023</v>
      </c>
      <c r="F159">
        <v>96.081529566371842</v>
      </c>
      <c r="G159">
        <v>93.065687654792526</v>
      </c>
      <c r="H159">
        <v>99.574813666919667</v>
      </c>
      <c r="I159">
        <v>88.904364415997293</v>
      </c>
      <c r="J159">
        <v>84.157620194841314</v>
      </c>
      <c r="K159">
        <v>104.05098906056222</v>
      </c>
      <c r="P159" t="str">
        <f t="shared" si="4"/>
        <v>NRMSW tons</v>
      </c>
      <c r="Q159" s="174">
        <f t="shared" si="5"/>
        <v>756.78406969949503</v>
      </c>
    </row>
  </sheetData>
  <mergeCells count="1">
    <mergeCell ref="A39:B39"/>
  </mergeCells>
  <pageMargins left="0.7" right="0.7" top="0.75" bottom="0.75" header="0.3" footer="0.3"/>
  <pageSetup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7CD2B6950C424894B0BAEDF60CBE07" ma:contentTypeVersion="76" ma:contentTypeDescription="" ma:contentTypeScope="" ma:versionID="bc9c06f38ef7e1c80a4238427f66d75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2018-05-31T07:00:00+00:00</OpenedDate>
    <SignificantOrder xmlns="dc463f71-b30c-4ab2-9473-d307f9d35888">false</SignificantOrder>
    <Date1 xmlns="dc463f71-b30c-4ab2-9473-d307f9d35888">2018-05-31T07:00:00+00:00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RABANCO LTD</CaseCompanyNames>
    <Nickname xmlns="http://schemas.microsoft.com/sharepoint/v3" xsi:nil="true"/>
    <DocketNumber xmlns="dc463f71-b30c-4ab2-9473-d307f9d35888">180484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156FF94-706A-49F9-B64E-7C8F922188AD}"/>
</file>

<file path=customXml/itemProps2.xml><?xml version="1.0" encoding="utf-8"?>
<ds:datastoreItem xmlns:ds="http://schemas.openxmlformats.org/officeDocument/2006/customXml" ds:itemID="{109414E7-BAB9-4B38-8630-4B70C50AD4CA}"/>
</file>

<file path=customXml/itemProps3.xml><?xml version="1.0" encoding="utf-8"?>
<ds:datastoreItem xmlns:ds="http://schemas.openxmlformats.org/officeDocument/2006/customXml" ds:itemID="{D606D94A-48F6-4D4E-8F60-E6DB7F39CA33}"/>
</file>

<file path=customXml/itemProps4.xml><?xml version="1.0" encoding="utf-8"?>
<ds:datastoreItem xmlns:ds="http://schemas.openxmlformats.org/officeDocument/2006/customXml" ds:itemID="{5D715695-DD56-4018-8568-AA7A429B07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2017-2019 Budget Summary</vt:lpstr>
      <vt:lpstr>2017-2018 Admin Time</vt:lpstr>
      <vt:lpstr>Impact on Recycling</vt:lpstr>
      <vt:lpstr>Impact on Recycling (old)</vt:lpstr>
      <vt:lpstr>2017-2018 Cost Summary</vt:lpstr>
      <vt:lpstr>MF</vt:lpstr>
      <vt:lpstr>SF 13-14 (2)</vt:lpstr>
      <vt:lpstr>SF</vt:lpstr>
      <vt:lpstr>SF 14-15</vt:lpstr>
      <vt:lpstr>MF 14-15</vt:lpstr>
      <vt:lpstr>Reporting Timeline</vt:lpstr>
      <vt:lpstr>'SF 13-14 (2)'!Print_Titles</vt:lpstr>
    </vt:vector>
  </TitlesOfParts>
  <Company>Republic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 Zalm, Connor</dc:creator>
  <cp:lastModifiedBy>Cramer, Diane</cp:lastModifiedBy>
  <cp:lastPrinted>2018-05-23T14:56:11Z</cp:lastPrinted>
  <dcterms:created xsi:type="dcterms:W3CDTF">2013-06-13T19:11:02Z</dcterms:created>
  <dcterms:modified xsi:type="dcterms:W3CDTF">2018-05-23T15:15:26Z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0x0101006E56B4D1795A2E4DB2F0B01679ED314A00B27CD2B6950C424894B0BAEDF60CBE07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