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8" windowWidth="17496" windowHeight="10896"/>
  </bookViews>
  <sheets>
    <sheet name="FCR Read Me" sheetId="1" r:id="rId1"/>
    <sheet name="Sch 40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3.04 E" sheetId="9" r:id="rId9"/>
    <sheet name="Pg 1 CofCap" sheetId="10" r:id="rId10"/>
  </sheets>
  <externalReferences>
    <externalReference r:id="rId11"/>
    <externalReference r:id="rId12"/>
    <externalReference r:id="rId13"/>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'Sch 40 FCR Table'!$A$1:$D$57</definedName>
  </definedNames>
  <calcPr calcId="145621" calcMode="manual" iterate="1" calcCompleted="0" calcOnSave="0"/>
</workbook>
</file>

<file path=xl/calcChain.xml><?xml version="1.0" encoding="utf-8"?>
<calcChain xmlns="http://schemas.openxmlformats.org/spreadsheetml/2006/main">
  <c r="B25" i="10" l="1"/>
  <c r="F23" i="10"/>
  <c r="D23" i="10"/>
  <c r="B23" i="10"/>
  <c r="A23" i="10"/>
  <c r="F22" i="10"/>
  <c r="E22" i="10"/>
  <c r="D22" i="10"/>
  <c r="B22" i="10"/>
  <c r="A22" i="10"/>
  <c r="F21" i="10"/>
  <c r="E21" i="10"/>
  <c r="D21" i="10"/>
  <c r="B21" i="10"/>
  <c r="A21" i="10"/>
  <c r="F20" i="10"/>
  <c r="B20" i="10"/>
  <c r="A20" i="10"/>
  <c r="F19" i="10"/>
  <c r="B19" i="10"/>
  <c r="A19" i="10"/>
  <c r="F18" i="10"/>
  <c r="E18" i="10"/>
  <c r="D18" i="10"/>
  <c r="B18" i="10"/>
  <c r="A18" i="10"/>
  <c r="F17" i="10"/>
  <c r="B17" i="10"/>
  <c r="A17" i="10"/>
  <c r="F16" i="10"/>
  <c r="B16" i="10"/>
  <c r="A16" i="10"/>
  <c r="F15" i="10"/>
  <c r="B15" i="10"/>
  <c r="A15" i="10"/>
  <c r="F14" i="10"/>
  <c r="E14" i="10"/>
  <c r="D14" i="10"/>
  <c r="B14" i="10"/>
  <c r="A14" i="10"/>
  <c r="A13" i="10"/>
  <c r="F12" i="10"/>
  <c r="E12" i="10"/>
  <c r="D12" i="10"/>
  <c r="B12" i="10"/>
  <c r="A12" i="10"/>
  <c r="F11" i="10"/>
  <c r="E11" i="10"/>
  <c r="A11" i="10"/>
  <c r="A10" i="10"/>
  <c r="B9" i="10"/>
  <c r="A9" i="10"/>
  <c r="F8" i="10"/>
  <c r="E8" i="10"/>
  <c r="D8" i="10"/>
  <c r="C8" i="10"/>
  <c r="B8" i="10"/>
  <c r="A8" i="10"/>
  <c r="A5" i="10"/>
  <c r="B4" i="10"/>
  <c r="B3" i="10"/>
  <c r="B1" i="10"/>
  <c r="E19" i="9"/>
  <c r="B19" i="9"/>
  <c r="A19" i="9"/>
  <c r="E18" i="9"/>
  <c r="D18" i="9"/>
  <c r="B18" i="9"/>
  <c r="A18" i="9"/>
  <c r="E17" i="9"/>
  <c r="B17" i="9"/>
  <c r="A17" i="9"/>
  <c r="A16" i="9"/>
  <c r="E15" i="9"/>
  <c r="B15" i="9"/>
  <c r="A15" i="9"/>
  <c r="A14" i="9"/>
  <c r="E13" i="9"/>
  <c r="D13" i="9"/>
  <c r="B13" i="9"/>
  <c r="A13" i="9"/>
  <c r="E12" i="9"/>
  <c r="B12" i="9"/>
  <c r="A12" i="9"/>
  <c r="E11" i="9"/>
  <c r="B11" i="9"/>
  <c r="A11" i="9"/>
  <c r="E9" i="9"/>
  <c r="B9" i="9"/>
  <c r="A9" i="9"/>
  <c r="A8" i="9"/>
  <c r="B5" i="9"/>
  <c r="B4" i="9"/>
  <c r="B3" i="9"/>
  <c r="E2" i="9"/>
  <c r="J31" i="8"/>
  <c r="I31" i="8"/>
  <c r="H31" i="8"/>
  <c r="G31" i="8"/>
  <c r="F31" i="8"/>
  <c r="E31" i="8"/>
  <c r="D31" i="8"/>
  <c r="C31" i="8"/>
  <c r="B31"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J24" i="8"/>
  <c r="I24" i="8"/>
  <c r="H24" i="8"/>
  <c r="G24" i="8"/>
  <c r="F24" i="8"/>
  <c r="E24" i="8"/>
  <c r="D24" i="8"/>
  <c r="C24" i="8"/>
  <c r="B24" i="8"/>
  <c r="A24" i="8"/>
  <c r="J23" i="8"/>
  <c r="I23" i="8"/>
  <c r="H23" i="8"/>
  <c r="G23" i="8"/>
  <c r="F23" i="8"/>
  <c r="E23" i="8"/>
  <c r="D23" i="8"/>
  <c r="C23" i="8"/>
  <c r="B23" i="8"/>
  <c r="A23" i="8"/>
  <c r="J22" i="8"/>
  <c r="I22" i="8"/>
  <c r="H22" i="8"/>
  <c r="G22" i="8"/>
  <c r="F22" i="8"/>
  <c r="E22" i="8"/>
  <c r="D22" i="8"/>
  <c r="J21" i="8"/>
  <c r="I21" i="8"/>
  <c r="H21" i="8"/>
  <c r="G21" i="8"/>
  <c r="F21" i="8"/>
  <c r="E21" i="8"/>
  <c r="D21" i="8"/>
  <c r="C21" i="8"/>
  <c r="B21" i="8"/>
  <c r="A21" i="8"/>
  <c r="J20" i="8"/>
  <c r="I20" i="8"/>
  <c r="H20" i="8"/>
  <c r="G20" i="8"/>
  <c r="F20" i="8"/>
  <c r="E20" i="8"/>
  <c r="D20" i="8"/>
  <c r="J19" i="8"/>
  <c r="I19" i="8"/>
  <c r="H19" i="8"/>
  <c r="G19" i="8"/>
  <c r="F19" i="8"/>
  <c r="E19" i="8"/>
  <c r="D19" i="8"/>
  <c r="C19" i="8"/>
  <c r="B19" i="8"/>
  <c r="A19" i="8"/>
  <c r="J18" i="8"/>
  <c r="I18" i="8"/>
  <c r="H18" i="8"/>
  <c r="G18" i="8"/>
  <c r="F18" i="8"/>
  <c r="E18" i="8"/>
  <c r="D18" i="8"/>
  <c r="C18" i="8"/>
  <c r="B18" i="8"/>
  <c r="A18" i="8"/>
  <c r="J17" i="8"/>
  <c r="I17" i="8"/>
  <c r="H17" i="8"/>
  <c r="G17" i="8"/>
  <c r="F17" i="8"/>
  <c r="E17" i="8"/>
  <c r="D17" i="8"/>
  <c r="C17" i="8"/>
  <c r="B17" i="8"/>
  <c r="A17" i="8"/>
  <c r="J16" i="8"/>
  <c r="I16" i="8"/>
  <c r="H16" i="8"/>
  <c r="G16" i="8"/>
  <c r="F16" i="8"/>
  <c r="E16" i="8"/>
  <c r="D16" i="8"/>
  <c r="C16" i="8"/>
  <c r="B16" i="8"/>
  <c r="A16" i="8"/>
  <c r="J15" i="8"/>
  <c r="I15" i="8"/>
  <c r="H15" i="8"/>
  <c r="G15" i="8"/>
  <c r="F15" i="8"/>
  <c r="E15" i="8"/>
  <c r="D15" i="8"/>
  <c r="C15" i="8"/>
  <c r="B15" i="8"/>
  <c r="A15" i="8"/>
  <c r="B14" i="8"/>
  <c r="B13" i="8"/>
  <c r="A4" i="8"/>
  <c r="A3" i="8"/>
  <c r="A2" i="8"/>
  <c r="A1" i="8"/>
  <c r="J2" i="4" l="1"/>
  <c r="K2" i="4"/>
  <c r="J6" i="4"/>
  <c r="K6" i="4"/>
  <c r="H14" i="3" l="1"/>
  <c r="H13" i="3"/>
  <c r="E52" i="6" l="1"/>
  <c r="A52" i="6"/>
  <c r="E66" i="3"/>
  <c r="A66" i="3"/>
  <c r="O10" i="8" l="1"/>
  <c r="N9" i="8"/>
  <c r="N10" i="8"/>
  <c r="P10" i="8"/>
  <c r="P9" i="8"/>
  <c r="N17" i="8"/>
  <c r="O17" i="8"/>
  <c r="P17" i="8"/>
  <c r="Q17" i="8" s="1"/>
  <c r="H12" i="3" s="1"/>
  <c r="I66" i="3" s="1"/>
  <c r="F66" i="3" s="1"/>
  <c r="N19" i="8"/>
  <c r="O19" i="8"/>
  <c r="P19" i="8"/>
  <c r="Q19" i="8" s="1"/>
  <c r="N21" i="8"/>
  <c r="O21" i="8"/>
  <c r="P21" i="8"/>
  <c r="Q21" i="8" s="1"/>
  <c r="N23" i="8"/>
  <c r="O23" i="8"/>
  <c r="P23" i="8"/>
  <c r="Q23" i="8" s="1"/>
  <c r="N24" i="8"/>
  <c r="O24" i="8"/>
  <c r="P24" i="8"/>
  <c r="Q24" i="8" s="1"/>
  <c r="I10" i="4" l="1"/>
  <c r="Q26" i="8"/>
  <c r="H12" i="6" s="1"/>
  <c r="I52" i="6" s="1"/>
  <c r="L6" i="4" l="1"/>
  <c r="L5" i="4"/>
  <c r="L3" i="4"/>
  <c r="L2" i="4"/>
  <c r="L4" i="4" l="1"/>
  <c r="L8" i="4" s="1"/>
  <c r="I51" i="6" l="1"/>
  <c r="I66" i="4" l="1"/>
  <c r="H14" i="6" l="1"/>
  <c r="F52" i="6" s="1"/>
  <c r="I12" i="4" l="1"/>
  <c r="H11" i="6"/>
  <c r="H13" i="6"/>
  <c r="I11" i="4" l="1"/>
  <c r="I49" i="6"/>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E51" i="6" s="1"/>
  <c r="F51" i="6" s="1"/>
  <c r="D14" i="6"/>
  <c r="A9" i="7" l="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17" i="6"/>
  <c r="F17"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J7" i="6"/>
  <c r="K7" i="6"/>
  <c r="K6" i="6"/>
  <c r="J6" i="6"/>
  <c r="J4" i="6"/>
  <c r="K4" i="6"/>
  <c r="K3" i="6"/>
  <c r="J3" i="6" l="1"/>
  <c r="J5" i="6" s="1"/>
  <c r="J4" i="4"/>
  <c r="A27" i="7"/>
  <c r="D34" i="6"/>
  <c r="B36" i="6"/>
  <c r="J36" i="6" s="1"/>
  <c r="A38" i="6"/>
  <c r="A12" i="5"/>
  <c r="K4" i="3"/>
  <c r="K3" i="3"/>
  <c r="J4" i="3"/>
  <c r="J3" i="3"/>
  <c r="A28" i="7" l="1"/>
  <c r="A39" i="6"/>
  <c r="D35" i="6"/>
  <c r="B37" i="6"/>
  <c r="J37" i="6" s="1"/>
  <c r="A13" i="5"/>
  <c r="J5" i="3"/>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2" i="4"/>
  <c r="F32" i="4" s="1"/>
  <c r="E34" i="4"/>
  <c r="F34" i="4" s="1"/>
  <c r="E38" i="4"/>
  <c r="F38" i="4" s="1"/>
  <c r="E40" i="4"/>
  <c r="F40" i="4" s="1"/>
  <c r="E42" i="4"/>
  <c r="F42" i="4" s="1"/>
  <c r="E46" i="4"/>
  <c r="F46" i="4" s="1"/>
  <c r="E48" i="4"/>
  <c r="F48" i="4" s="1"/>
  <c r="E50" i="4"/>
  <c r="F50" i="4" s="1"/>
  <c r="C66" i="4"/>
  <c r="J6" i="3"/>
  <c r="K6" i="3"/>
  <c r="J7" i="3"/>
  <c r="K7" i="3"/>
  <c r="D14" i="3"/>
  <c r="D13" i="3"/>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24" i="3" l="1"/>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L7" i="3"/>
  <c r="L7" i="6"/>
  <c r="H18" i="6" s="1"/>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J38" i="3"/>
  <c r="D38" i="3"/>
  <c r="A36" i="5"/>
  <c r="B40" i="3"/>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I64" i="3"/>
  <c r="F64" i="3" s="1"/>
  <c r="J62" i="3"/>
  <c r="H60" i="4"/>
  <c r="J60" i="4" s="1"/>
  <c r="D61" i="4"/>
  <c r="J61" i="3"/>
  <c r="D61" i="3"/>
  <c r="D62" i="3" s="1"/>
  <c r="L3" i="6"/>
  <c r="L4" i="3"/>
  <c r="L4" i="6"/>
  <c r="H60" i="3"/>
  <c r="K60" i="3" s="1"/>
  <c r="L3" i="3"/>
  <c r="B63" i="3" l="1"/>
  <c r="E51" i="2" s="1"/>
  <c r="D63" i="3"/>
  <c r="D64" i="3" s="1"/>
  <c r="H62" i="3"/>
  <c r="K62" i="3" s="1"/>
  <c r="I65" i="3"/>
  <c r="J63"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L5" i="3"/>
  <c r="L5" i="6"/>
  <c r="G52" i="6" s="1"/>
  <c r="L52" i="6" s="1"/>
  <c r="H63" i="3" l="1"/>
  <c r="B64" i="3"/>
  <c r="E52" i="2" s="1"/>
  <c r="K63" i="3"/>
  <c r="G17" i="6"/>
  <c r="L17" i="6" s="1"/>
  <c r="G51" i="6"/>
  <c r="L51" i="6" s="1"/>
  <c r="G63" i="3"/>
  <c r="G61" i="3"/>
  <c r="L61" i="3" s="1"/>
  <c r="G62" i="3"/>
  <c r="L62" i="3" s="1"/>
  <c r="F65" i="3"/>
  <c r="B65" i="3"/>
  <c r="D65" i="3"/>
  <c r="H64" i="3"/>
  <c r="G64" i="3"/>
  <c r="G37" i="3"/>
  <c r="L37" i="3" s="1"/>
  <c r="K61" i="4"/>
  <c r="D63" i="4"/>
  <c r="D64" i="4" s="1"/>
  <c r="G62" i="4"/>
  <c r="H62" i="4"/>
  <c r="G50" i="6"/>
  <c r="L50" i="6" s="1"/>
  <c r="G42" i="6"/>
  <c r="L42" i="6" s="1"/>
  <c r="G27" i="6"/>
  <c r="L27" i="6" s="1"/>
  <c r="G35" i="6"/>
  <c r="L35" i="6" s="1"/>
  <c r="L9" i="3"/>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J64" i="3" l="1"/>
  <c r="K64" i="3" s="1"/>
  <c r="L64" i="3" s="1"/>
  <c r="D66" i="3"/>
  <c r="H66" i="3" s="1"/>
  <c r="E53" i="2"/>
  <c r="B66" i="3"/>
  <c r="J66" i="3" s="1"/>
  <c r="B39" i="7"/>
  <c r="C39" i="7" s="1"/>
  <c r="D39" i="7" s="1"/>
  <c r="C41" i="5" s="1"/>
  <c r="A2" i="5"/>
  <c r="A2" i="2"/>
  <c r="B38" i="7"/>
  <c r="C38" i="7" s="1"/>
  <c r="D38" i="7" s="1"/>
  <c r="C40" i="5" s="1"/>
  <c r="L63" i="3"/>
  <c r="M63" i="3" s="1"/>
  <c r="B20" i="1"/>
  <c r="A2" i="7"/>
  <c r="M51" i="6"/>
  <c r="J56" i="6"/>
  <c r="I68" i="3"/>
  <c r="M62" i="3"/>
  <c r="J65"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G66" i="3" l="1"/>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K65" i="3"/>
  <c r="L65" i="3" s="1"/>
  <c r="G53" i="2" s="1"/>
  <c r="H53" i="2" s="1"/>
  <c r="I53" i="2" s="1"/>
  <c r="H68" i="3"/>
  <c r="G68" i="4"/>
  <c r="J63" i="4"/>
  <c r="M48" i="6"/>
  <c r="M33" i="6"/>
  <c r="M19" i="6"/>
  <c r="M45" i="6"/>
  <c r="M37" i="6"/>
  <c r="M30" i="6"/>
  <c r="M22" i="6"/>
  <c r="M23" i="6"/>
  <c r="M29" i="6"/>
  <c r="M24" i="6"/>
  <c r="C24" i="7"/>
  <c r="D24" i="7" s="1"/>
  <c r="C26" i="5" s="1"/>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L66" i="3" l="1"/>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<sst xmlns="http://schemas.openxmlformats.org/spreadsheetml/2006/main" count="238" uniqueCount="92">
  <si>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</si>
  <si>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</si>
  <si>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</si>
  <si>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</si>
  <si>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</si>
  <si>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</si>
  <si>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</si>
  <si>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</si>
  <si>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</si>
  <si>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</si>
  <si>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</si>
  <si>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</si>
  <si>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</si>
  <si>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</si>
  <si>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</si>
  <si>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</si>
  <si>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</si>
  <si>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</si>
  <si>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</si>
  <si>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</si>
  <si>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</si>
  <si>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</si>
  <si>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</si>
  <si>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COMMON</t>
  </si>
  <si>
    <t>NPV Revenue Req.</t>
  </si>
  <si>
    <t>PREFERRED</t>
  </si>
  <si>
    <t>Book Life</t>
  </si>
  <si>
    <t>S.T. Debt</t>
  </si>
  <si>
    <t>L.T. Debt</t>
  </si>
  <si>
    <t>Insurance Rate</t>
  </si>
  <si>
    <t>CAPITAL STRUCTURE:</t>
  </si>
  <si>
    <t>For Substations and Feeder Lines at Primary Service Voltage</t>
  </si>
  <si>
    <t>DEBT (LT)</t>
  </si>
  <si>
    <t>DEBT (ST)</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</si>
  <si>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</si>
  <si>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</si>
  <si>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</si>
  <si>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</si>
  <si>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</si>
  <si>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</si>
  <si>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</si>
  <si>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</si>
  <si>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</si>
  <si>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</si>
  <si>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</si>
  <si>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Schedule 40</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</si>
  <si>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</si>
  <si>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Schedule 40 Fixed Charge Rates For Land and Depreciable Plant</t>
  </si>
  <si>
    <t>Schedule 40 Table</t>
  </si>
  <si>
    <t>Schedule 40 Fixed Charge Rates For Depreciable Plant</t>
  </si>
  <si>
    <t>Schedule 40 Analysis</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</si>
  <si>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</si>
  <si>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</si>
  <si>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</si>
  <si>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</si>
  <si>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</si>
  <si>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</si>
  <si>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</si>
  <si>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</si>
  <si>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</si>
  <si>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</si>
  <si>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</si>
  <si>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</si>
  <si>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</si>
  <si>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</si>
  <si>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</si>
  <si>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</si>
  <si>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</si>
  <si>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</si>
  <si>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UE-170033 Electric Rate Design Work Paper</t>
  </si>
  <si>
    <t>COMPLIANCE - TAX REFORM</t>
  </si>
  <si>
    <t>Effective MAY 2018</t>
  </si>
  <si>
    <t>Based upon depreciation study, gross plant, and plant in service assume all facilities under the Schedule 40 distribution rate have an original life of 49 years for substation equipment and 35 years for OH/UG Feeders</t>
  </si>
  <si>
    <t>CURRENT</t>
  </si>
  <si>
    <t>PROPOSED</t>
  </si>
  <si>
    <t>INCREASE</t>
  </si>
  <si>
    <t>ACCOUNT</t>
  </si>
  <si>
    <t>ACQUISITION</t>
  </si>
  <si>
    <t>DEPRECIATION</t>
  </si>
  <si>
    <t>RATE</t>
  </si>
  <si>
    <t xml:space="preserve">Diff % </t>
  </si>
  <si>
    <t>(DECREASE)</t>
  </si>
  <si>
    <t>NUMBER</t>
  </si>
  <si>
    <t>DESCRIPTION</t>
  </si>
  <si>
    <t>VALUE</t>
  </si>
  <si>
    <t>EXPENSE</t>
  </si>
  <si>
    <t>%</t>
  </si>
  <si>
    <t>EXPENSE AMOUNT</t>
  </si>
  <si>
    <t>AMOUNT</t>
  </si>
  <si>
    <t>ELECTRIC PLANT</t>
  </si>
  <si>
    <t>Life</t>
  </si>
  <si>
    <t>364-367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</si>
</sst>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 numFmtId="175" formatCode="&quot; As of &quot;mmmm\ d\,\ yyyy"/>
  </numFmts>
  <fonts count="19" x14ac:knownFonts="1">
    <font>
      <sz val="11"/>
      <color theme="1"/>
      <name val="Calibri"/>
      <family val="2"/>
      <scheme val="minor"/>
    </font>
    <font>
      <sz val="10"/>
      <name val="Arial"/>
      <family val="2"/>
    </font>
    <font>
      <b/>
      <sz val="15"/>
      <name val="Arial"/>
      <family val="2"/>
    </font>
    <font>
      <b/>
      <sz val="10"/>
      <name val="Arial"/>
      <family val="2"/>
    </font>
    <font>
      <sz val="8"/>
      <name val="Arial"/>
      <family val="2"/>
    </font>
    <font>
      <b/>
      <u/>
      <sz val="12"/>
      <name val="Arial"/>
      <family val="2"/>
    </font>
    <font>
      <sz val="10"/>
      <color indexed="10"/>
      <name val="Arial"/>
      <family val="2"/>
    </font>
    <font>
      <b/>
      <sz val="11"/>
      <color theme="1"/>
      <name val="Calibri"/>
      <family val="2"/>
      <scheme val="minor"/>
    </font>
    <font>
      <sz val="10"/>
      <color theme="1"/>
      <name val="Arial"/>
      <family val="2"/>
    </font>
    <font>
      <b/>
      <sz val="10"/>
      <color theme="1"/>
      <name val="Arial"/>
      <family val="2"/>
    </font>
    <font>
      <b/>
      <u/>
      <sz val="10"/>
      <name val="Arial"/>
      <family val="2"/>
    </font>
    <font>
      <b/>
      <sz val="10"/>
      <name val="Times New Roman"/>
      <family val="1"/>
    </font>
    <font>
      <sz val="10"/>
      <name val="Times New Roman"/>
      <family val="1"/>
    </font>
    <font>
      <b/>
      <i/>
      <sz val="10"/>
      <color rgb="FF2929FF"/>
      <name val="Times New Roman"/>
      <family val="1"/>
    </font>
    <font>
      <b/>
      <sz val="12"/>
      <name val="Arial"/>
      <family val="2"/>
    </font>
    <font>
      <b/>
      <sz val="8"/>
      <name val="Arial"/>
      <family val="2"/>
    </font>
    <font>
      <b/>
      <sz val="10"/>
      <color indexed="12"/>
      <name val="Arial"/>
      <family val="2"/>
    </font>
    <font>
      <b/>
      <u val="double"/>
      <sz val="10"/>
      <name val="Arial"/>
      <family val="2"/>
    </font>
    <font>
      <sz val="10"/>
      <color rgb="FFFF0000"/>
      <name val="Times New Roman"/>
      <family val="1"/>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164" fontId="1" fillId="0" borderId="0" xfId="0" applyNumberFormat="1" applyFont="1"/>
    <xf numFmtId="165" fontId="1" fillId="0" borderId="0" xfId="0" applyNumberFormat="1" applyFont="1"/>
    <xf numFmtId="166" fontId="1" fillId="0" borderId="1" xfId="0" applyNumberFormat="1" applyFont="1" applyBorder="1"/>
    <xf numFmtId="164" fontId="1" fillId="0" borderId="0" xfId="0" applyNumberFormat="1" applyFont="1"/>
    <xf numFmtId="10" fontId="1" fillId="0" borderId="0" xfId="0" applyNumberFormat="1" applyFont="1"/>
    <xf numFmtId="5" fontId="1" fillId="0" borderId="0" xfId="0" applyNumberFormat="1" applyFont="1"/>
    <xf numFmtId="166" fontId="1" fillId="0" borderId="3" xfId="0" applyNumberFormat="1" applyFont="1" applyBorder="1"/>
    <xf numFmtId="166" fontId="1" fillId="0" borderId="4" xfId="0" applyNumberFormat="1" applyFont="1" applyBorder="1"/>
    <xf numFmtId="0" fontId="1" fillId="0" borderId="6" xfId="0" applyFont="1" applyBorder="1" applyAlignment="1">
      <alignment horizontal="center"/>
    </xf>
    <xf numFmtId="0" fontId="1" fillId="0" borderId="6"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right"/>
    </xf>
    <xf numFmtId="0" fontId="1" fillId="0" borderId="0" xfId="0" applyFont="1" applyAlignment="1" applyProtection="1">
      <alignment horizontal="right"/>
    </xf>
    <xf numFmtId="10" fontId="1" fillId="0" borderId="0" xfId="0" applyNumberFormat="1" applyFont="1" applyAlignment="1" applyProtection="1">
      <alignment horizontal="right"/>
    </xf>
    <xf numFmtId="5" fontId="1" fillId="0" borderId="0" xfId="0" applyNumberFormat="1" applyFont="1" applyAlignment="1" applyProtection="1">
      <alignment horizontal="right"/>
    </xf>
    <xf numFmtId="8" fontId="1" fillId="0" borderId="0" xfId="0" applyNumberFormat="1" applyFont="1"/>
    <xf numFmtId="5" fontId="1" fillId="0" borderId="0" xfId="0" applyNumberFormat="1" applyFont="1" applyProtection="1"/>
    <xf numFmtId="0" fontId="1" fillId="0" borderId="0" xfId="0" applyFont="1" applyAlignment="1" applyProtection="1">
      <alignment horizontal="center"/>
    </xf>
    <xf numFmtId="0" fontId="1" fillId="0" borderId="0" xfId="0" applyFont="1" applyAlignment="1">
      <alignment horizontal="center"/>
    </xf>
    <xf numFmtId="10" fontId="1" fillId="0" borderId="0" xfId="0" applyNumberFormat="1" applyFont="1" applyAlignment="1">
      <alignment horizontal="center"/>
    </xf>
    <xf numFmtId="0" fontId="1" fillId="0" borderId="0" xfId="0" applyFont="1" applyAlignment="1" applyProtection="1">
      <alignment horizontal="left"/>
    </xf>
    <xf numFmtId="167" fontId="1" fillId="0" borderId="0" xfId="0" applyNumberFormat="1" applyFont="1"/>
    <xf numFmtId="5" fontId="1" fillId="0" borderId="0" xfId="0" applyNumberFormat="1" applyFont="1" applyAlignment="1" applyProtection="1">
      <alignment horizontal="left"/>
    </xf>
    <xf numFmtId="10" fontId="1" fillId="0" borderId="0" xfId="0" applyNumberFormat="1" applyFont="1" applyAlignment="1" applyProtection="1">
      <alignment horizontal="center"/>
    </xf>
    <xf numFmtId="0" fontId="1" fillId="0" borderId="0" xfId="0" applyFont="1" applyProtection="1"/>
    <xf numFmtId="168" fontId="1" fillId="0" borderId="0" xfId="0" applyNumberFormat="1" applyFont="1" applyAlignment="1" applyProtection="1">
      <alignment horizontal="center"/>
    </xf>
    <xf numFmtId="0" fontId="1" fillId="3" borderId="11" xfId="0" applyFont="1" applyFill="1" applyBorder="1"/>
    <xf numFmtId="10" fontId="1" fillId="3" borderId="0" xfId="0" applyNumberFormat="1" applyFont="1" applyFill="1" applyBorder="1" applyProtection="1"/>
    <xf numFmtId="0" fontId="1" fillId="3" borderId="11" xfId="0" applyFont="1" applyFill="1" applyBorder="1" applyAlignment="1" applyProtection="1">
      <alignment horizontal="left"/>
    </xf>
    <xf numFmtId="0" fontId="6" fillId="0" borderId="0" xfId="0" applyFont="1"/>
    <xf numFmtId="0" fontId="3" fillId="0" borderId="0" xfId="0" applyFont="1"/>
    <xf numFmtId="169" fontId="1" fillId="0" borderId="0" xfId="0" applyNumberFormat="1" applyFont="1"/>
    <xf numFmtId="170" fontId="1" fillId="0" borderId="9" xfId="0" applyNumberFormat="1" applyFont="1" applyBorder="1" applyProtection="1"/>
    <xf numFmtId="10" fontId="1" fillId="4" borderId="0" xfId="0" applyNumberFormat="1" applyFont="1" applyFill="1" applyBorder="1" applyProtection="1"/>
    <xf numFmtId="0" fontId="1" fillId="3" borderId="11" xfId="0" quotePrefix="1" applyFont="1" applyFill="1" applyBorder="1" applyAlignment="1" applyProtection="1">
      <alignment horizontal="left"/>
    </xf>
    <xf numFmtId="0" fontId="1" fillId="2" borderId="0" xfId="0" quotePrefix="1" applyFont="1" applyFill="1" applyBorder="1" applyAlignment="1">
      <alignment horizontal="left" wrapText="1"/>
    </xf>
    <xf numFmtId="0" fontId="1" fillId="0" borderId="8" xfId="0" quotePrefix="1" applyFont="1" applyBorder="1" applyAlignment="1">
      <alignment horizontal="center" wrapText="1"/>
    </xf>
    <xf numFmtId="0" fontId="1" fillId="0" borderId="7" xfId="0" quotePrefix="1" applyFont="1" applyBorder="1" applyAlignment="1">
      <alignment horizontal="center" wrapText="1"/>
    </xf>
    <xf numFmtId="166" fontId="1" fillId="0" borderId="14" xfId="0" applyNumberFormat="1" applyFont="1" applyBorder="1"/>
    <xf numFmtId="0" fontId="1" fillId="0" borderId="3" xfId="0" applyFont="1" applyBorder="1"/>
    <xf numFmtId="0" fontId="1" fillId="0" borderId="1" xfId="0" applyFont="1" applyBorder="1"/>
    <xf numFmtId="0" fontId="1" fillId="0" borderId="5" xfId="0" quotePrefix="1" applyFont="1" applyBorder="1" applyAlignment="1">
      <alignment horizontal="center" wrapText="1"/>
    </xf>
    <xf numFmtId="0" fontId="3" fillId="0" borderId="8" xfId="0" applyFont="1" applyBorder="1" applyAlignment="1">
      <alignment horizontal="center" wrapText="1"/>
    </xf>
    <xf numFmtId="166" fontId="3" fillId="0" borderId="1" xfId="0" applyNumberFormat="1" applyFont="1" applyBorder="1"/>
    <xf numFmtId="0" fontId="3" fillId="0" borderId="5" xfId="0" quotePrefix="1" applyFont="1" applyBorder="1" applyAlignment="1">
      <alignment horizontal="center" wrapText="1"/>
    </xf>
    <xf numFmtId="166" fontId="3" fillId="0" borderId="3" xfId="0" applyNumberFormat="1" applyFont="1" applyBorder="1"/>
    <xf numFmtId="171" fontId="1" fillId="0" borderId="0" xfId="0" applyNumberFormat="1" applyFont="1" applyAlignment="1" applyProtection="1">
      <alignment horizontal="right"/>
    </xf>
    <xf numFmtId="171" fontId="1" fillId="0" borderId="0" xfId="0" applyNumberFormat="1" applyFont="1"/>
    <xf numFmtId="171" fontId="1" fillId="0" borderId="0" xfId="0" applyNumberFormat="1" applyFont="1"/>
    <xf numFmtId="171" fontId="1" fillId="0" borderId="0" xfId="0" applyNumberFormat="1" applyFont="1" applyAlignment="1">
      <alignment horizontal="right"/>
    </xf>
    <xf numFmtId="171" fontId="1" fillId="0" borderId="0" xfId="0" applyNumberFormat="1" applyFont="1" applyAlignment="1" applyProtection="1">
      <alignment horizontal="right"/>
    </xf>
    <xf numFmtId="171" fontId="1" fillId="0" borderId="0" xfId="0" applyNumberFormat="1" applyFont="1" applyProtection="1"/>
    <xf numFmtId="172" fontId="1" fillId="0" borderId="0" xfId="0" applyNumberFormat="1" applyFont="1" applyAlignment="1" applyProtection="1">
      <alignment horizontal="right"/>
    </xf>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xf numFmtId="0" fontId="3" fillId="0" borderId="0" xfId="0" quotePrefix="1" applyFont="1" applyAlignment="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9" xfId="0" applyFont="1" applyBorder="1" applyAlignment="1" applyProtection="1">
      <alignment horizontal="right" wrapText="1"/>
    </xf>
    <xf numFmtId="0" fontId="1" fillId="0" borderId="9" xfId="0" quotePrefix="1" applyFont="1" applyBorder="1" applyAlignment="1">
      <alignment horizontal="center" wrapText="1"/>
    </xf>
    <xf numFmtId="0" fontId="1" fillId="0" borderId="0" xfId="0" applyFont="1" applyAlignment="1" applyProtection="1">
      <alignment horizontal="right"/>
    </xf>
    <xf numFmtId="166" fontId="1" fillId="0" borderId="2" xfId="0" applyNumberFormat="1" applyFont="1" applyBorder="1"/>
    <xf numFmtId="10" fontId="0" fillId="0" borderId="0" xfId="0" applyNumberFormat="1" applyFont="1"/>
    <xf numFmtId="164" fontId="0" fillId="0" borderId="0" xfId="0" applyNumberFormat="1" applyFont="1"/>
    <xf numFmtId="0" fontId="3" fillId="0" borderId="0" xfId="0" applyFont="1" applyFill="1" applyAlignment="1">
      <alignment horizontal="center"/>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0" fontId="6"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Alignment="1" applyProtection="1">
      <alignment horizontal="left"/>
    </xf>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0" xfId="0" applyFont="1" applyFill="1" applyAlignment="1">
      <alignment horizontal="left"/>
    </xf>
    <xf numFmtId="0" fontId="1" fillId="0" borderId="9" xfId="0" applyFont="1" applyFill="1" applyBorder="1" applyAlignment="1" applyProtection="1">
      <alignment horizontal="right" wrapText="1"/>
    </xf>
    <xf numFmtId="0" fontId="1" fillId="0" borderId="0" xfId="0" applyFont="1" applyFill="1" applyAlignment="1" applyProtection="1">
      <alignment horizontal="right"/>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4" borderId="0" xfId="0" applyNumberFormat="1" applyFont="1" applyFill="1" applyBorder="1" applyProtection="1"/>
    <xf numFmtId="167" fontId="1" fillId="3" borderId="13" xfId="0" applyNumberFormat="1" applyFont="1" applyFill="1" applyBorder="1" applyProtection="1"/>
    <xf numFmtId="10" fontId="1" fillId="3" borderId="4" xfId="0" applyNumberFormat="1" applyFont="1" applyFill="1" applyBorder="1" applyAlignment="1" applyProtection="1">
      <alignment horizontal="center"/>
    </xf>
    <xf numFmtId="167" fontId="1" fillId="0" borderId="0" xfId="0" applyNumberFormat="1" applyFont="1" applyFill="1" applyBorder="1" applyProtection="1"/>
    <xf numFmtId="167" fontId="1" fillId="0" borderId="13"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12"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10" fontId="1" fillId="3" borderId="12" xfId="0" applyNumberFormat="1" applyFont="1" applyFill="1" applyBorder="1" applyAlignment="1" applyProtection="1">
      <alignment horizontal="center"/>
    </xf>
    <xf numFmtId="10" fontId="1" fillId="3" borderId="2" xfId="0" applyNumberFormat="1" applyFont="1" applyFill="1" applyBorder="1" applyAlignment="1" applyProtection="1">
      <alignment horizontal="center"/>
    </xf>
    <xf numFmtId="0" fontId="1" fillId="0" borderId="0" xfId="0" applyFont="1" applyAlignment="1" applyProtection="1">
      <alignment horizontal="right"/>
    </xf>
    <xf numFmtId="0" fontId="1" fillId="0" borderId="0" xfId="0" applyFont="1" applyFill="1" applyAlignment="1" applyProtection="1">
      <alignment horizontal="right"/>
    </xf>
    <xf numFmtId="0" fontId="1" fillId="0" borderId="0" xfId="0" applyFont="1" applyAlignment="1">
      <alignment horizontal="center"/>
    </xf>
    <xf numFmtId="0" fontId="1" fillId="0" borderId="0" xfId="0" applyFont="1"/>
    <xf numFmtId="43" fontId="8" fillId="0" borderId="0" xfId="0" applyNumberFormat="1" applyFont="1" applyFill="1"/>
    <xf numFmtId="0" fontId="3" fillId="0" borderId="0" xfId="0" applyFont="1" applyAlignment="1">
      <alignment horizontal="center"/>
    </xf>
    <xf numFmtId="43" fontId="1" fillId="0" borderId="0" xfId="0" applyNumberFormat="1" applyFont="1"/>
    <xf numFmtId="43" fontId="3" fillId="0" borderId="0" xfId="0" applyNumberFormat="1" applyFont="1"/>
    <xf numFmtId="43" fontId="3" fillId="0" borderId="0" xfId="0" applyNumberFormat="1" applyFont="1" applyFill="1" applyAlignment="1">
      <alignment horizontal="center"/>
    </xf>
    <xf numFmtId="0" fontId="3" fillId="0" borderId="0" xfId="0" applyFont="1" applyFill="1" applyAlignment="1">
      <alignment horizontal="center"/>
    </xf>
    <xf numFmtId="43" fontId="9" fillId="0" borderId="0" xfId="0" applyNumberFormat="1" applyFont="1" applyFill="1" applyAlignment="1">
      <alignment horizontal="center"/>
    </xf>
    <xf numFmtId="0" fontId="3" fillId="0" borderId="0" xfId="0" applyFont="1" applyFill="1" applyBorder="1" applyAlignment="1">
      <alignment horizontal="center"/>
    </xf>
    <xf numFmtId="43" fontId="9" fillId="0" borderId="0"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6" xfId="0" applyNumberFormat="1" applyFont="1" applyFill="1" applyBorder="1" applyAlignment="1">
      <alignment horizontal="center"/>
    </xf>
    <xf numFmtId="2" fontId="1" fillId="0" borderId="0" xfId="0" applyNumberFormat="1" applyFont="1" applyFill="1"/>
    <xf numFmtId="0" fontId="3" fillId="0" borderId="0" xfId="0" applyNumberFormat="1" applyFont="1" applyFill="1" applyAlignment="1">
      <alignment horizontal="center"/>
    </xf>
    <xf numFmtId="39" fontId="8" fillId="0" borderId="0" xfId="0" applyNumberFormat="1" applyFont="1" applyFill="1"/>
    <xf numFmtId="0" fontId="1" fillId="0" borderId="0" xfId="0" applyFont="1" applyFill="1"/>
    <xf numFmtId="39" fontId="1" fillId="0" borderId="0" xfId="0" applyNumberFormat="1" applyFont="1" applyFill="1"/>
    <xf numFmtId="0" fontId="3" fillId="0" borderId="20" xfId="0" applyNumberFormat="1" applyFont="1" applyFill="1" applyBorder="1" applyAlignment="1">
      <alignment horizontal="center"/>
    </xf>
    <xf numFmtId="0" fontId="1" fillId="0" borderId="0" xfId="0" applyNumberFormat="1" applyFont="1" applyFill="1" applyAlignment="1">
      <alignment horizontal="left"/>
    </xf>
    <xf numFmtId="39" fontId="8" fillId="0" borderId="0" xfId="0" applyNumberFormat="1" applyFont="1" applyFill="1" applyBorder="1"/>
    <xf numFmtId="43" fontId="1" fillId="0" borderId="0" xfId="0" applyNumberFormat="1" applyFont="1" applyFill="1"/>
    <xf numFmtId="10" fontId="1" fillId="0" borderId="0" xfId="0" applyNumberFormat="1" applyFont="1" applyFill="1"/>
    <xf numFmtId="0" fontId="1" fillId="0" borderId="0" xfId="0" applyFont="1" applyFill="1" applyAlignment="1"/>
    <xf numFmtId="39" fontId="8" fillId="0" borderId="6" xfId="0" applyNumberFormat="1" applyFont="1" applyFill="1" applyBorder="1"/>
    <xf numFmtId="43" fontId="1" fillId="0" borderId="6" xfId="0" applyNumberFormat="1" applyFont="1" applyFill="1" applyBorder="1"/>
    <xf numFmtId="10" fontId="1" fillId="0" borderId="6" xfId="0" applyNumberFormat="1" applyFont="1" applyFill="1" applyBorder="1"/>
    <xf numFmtId="0" fontId="3" fillId="0" borderId="0" xfId="0" applyNumberFormat="1" applyFont="1" applyFill="1" applyAlignment="1">
      <alignment horizontal="left"/>
    </xf>
    <xf numFmtId="39" fontId="9" fillId="0" borderId="0" xfId="0" applyNumberFormat="1" applyFont="1" applyFill="1" applyBorder="1"/>
    <xf numFmtId="10" fontId="3" fillId="0" borderId="0" xfId="0" applyNumberFormat="1" applyFont="1"/>
    <xf numFmtId="10" fontId="3" fillId="0" borderId="0" xfId="0" applyNumberFormat="1" applyFont="1" applyFill="1"/>
    <xf numFmtId="0" fontId="7" fillId="0" borderId="17" xfId="0" applyFont="1" applyBorder="1"/>
    <xf numFmtId="0" fontId="7" fillId="0" borderId="18" xfId="0" applyFont="1" applyBorder="1"/>
    <xf numFmtId="10" fontId="7" fillId="0" borderId="18" xfId="0" applyNumberFormat="1" applyFont="1" applyBorder="1"/>
    <xf numFmtId="164" fontId="7" fillId="0" borderId="18" xfId="0" applyNumberFormat="1" applyFont="1" applyBorder="1"/>
    <xf numFmtId="0" fontId="7" fillId="0" borderId="19" xfId="0" applyFont="1" applyBorder="1"/>
    <xf numFmtId="0" fontId="7" fillId="0" borderId="18" xfId="0" applyFont="1" applyBorder="1" applyAlignment="1">
      <alignment horizontal="left"/>
    </xf>
    <xf numFmtId="164" fontId="7" fillId="0" borderId="18" xfId="0" applyNumberFormat="1" applyFont="1" applyBorder="1"/>
    <xf numFmtId="0" fontId="11" fillId="0" borderId="0" xfId="0" applyNumberFormat="1" applyFont="1" applyFill="1" applyAlignment="1"/>
    <xf numFmtId="174" fontId="11" fillId="0" borderId="0" xfId="0" applyNumberFormat="1" applyFont="1" applyFill="1" applyAlignment="1">
      <alignment horizontal="right"/>
    </xf>
    <xf numFmtId="0" fontId="11" fillId="0" borderId="8" xfId="0" applyNumberFormat="1" applyFont="1" applyFill="1" applyBorder="1" applyAlignment="1">
      <alignment horizontal="right"/>
    </xf>
    <xf numFmtId="0" fontId="1" fillId="0" borderId="0" xfId="0" applyNumberFormat="1" applyFont="1" applyAlignment="1"/>
    <xf numFmtId="0" fontId="11" fillId="0" borderId="0" xfId="0" applyNumberFormat="1" applyFont="1" applyFill="1" applyAlignment="1">
      <alignment horizontal="centerContinuous"/>
    </xf>
    <xf numFmtId="0" fontId="11" fillId="0" borderId="0" xfId="0" applyNumberFormat="1" applyFont="1" applyFill="1" applyAlignment="1" applyProtection="1">
      <alignment horizontal="centerContinuous"/>
      <protection locked="0"/>
    </xf>
    <xf numFmtId="0" fontId="11" fillId="0" borderId="0" xfId="0" applyNumberFormat="1" applyFont="1" applyFill="1" applyAlignment="1">
      <alignment horizontal="center"/>
    </xf>
    <xf numFmtId="0" fontId="11" fillId="0" borderId="6" xfId="0" applyNumberFormat="1" applyFont="1" applyFill="1" applyBorder="1" applyAlignment="1">
      <alignment horizontal="center"/>
    </xf>
    <xf numFmtId="0" fontId="11" fillId="0" borderId="6" xfId="0" applyNumberFormat="1" applyFont="1" applyFill="1" applyBorder="1" applyAlignment="1" applyProtection="1">
      <protection locked="0"/>
    </xf>
    <xf numFmtId="0" fontId="11" fillId="0" borderId="6" xfId="0" applyNumberFormat="1" applyFont="1" applyFill="1" applyBorder="1" applyAlignment="1"/>
    <xf numFmtId="0" fontId="11" fillId="0" borderId="6" xfId="0" applyNumberFormat="1" applyFont="1" applyFill="1" applyBorder="1" applyAlignment="1">
      <alignment horizontal="right"/>
    </xf>
    <xf numFmtId="0" fontId="12" fillId="0" borderId="0" xfId="0" applyNumberFormat="1" applyFont="1" applyFill="1" applyAlignment="1"/>
    <xf numFmtId="0" fontId="12" fillId="0" borderId="0" xfId="0" applyNumberFormat="1" applyFont="1" applyFill="1" applyAlignment="1">
      <alignment horizontal="center"/>
    </xf>
    <xf numFmtId="0" fontId="12" fillId="0" borderId="0" xfId="0" applyNumberFormat="1" applyFont="1" applyFill="1" applyAlignment="1">
      <alignment horizontal="left"/>
    </xf>
    <xf numFmtId="174" fontId="12" fillId="0" borderId="0" xfId="0" applyNumberFormat="1" applyFont="1" applyFill="1" applyAlignment="1"/>
    <xf numFmtId="166" fontId="12" fillId="0" borderId="0" xfId="0" applyNumberFormat="1" applyFont="1" applyFill="1" applyAlignment="1"/>
    <xf numFmtId="174" fontId="12" fillId="0" borderId="6" xfId="0" applyNumberFormat="1" applyFont="1" applyFill="1" applyBorder="1" applyAlignment="1"/>
    <xf numFmtId="174" fontId="12" fillId="0" borderId="0" xfId="0" applyNumberFormat="1" applyFont="1" applyFill="1" applyBorder="1" applyAlignment="1"/>
    <xf numFmtId="9" fontId="13" fillId="0" borderId="0" xfId="0" applyNumberFormat="1" applyFont="1" applyFill="1" applyAlignment="1"/>
    <xf numFmtId="174" fontId="13" fillId="0" borderId="0" xfId="0" applyNumberFormat="1" applyFont="1" applyFill="1" applyAlignment="1"/>
    <xf numFmtId="0" fontId="13" fillId="0" borderId="0" xfId="0" applyNumberFormat="1" applyFont="1" applyFill="1" applyAlignment="1"/>
    <xf numFmtId="174" fontId="13" fillId="0" borderId="21" xfId="0" applyNumberFormat="1" applyFont="1" applyFill="1" applyBorder="1" applyAlignment="1" applyProtection="1">
      <protection locked="0"/>
    </xf>
    <xf numFmtId="10" fontId="12" fillId="0" borderId="0" xfId="0" applyNumberFormat="1" applyFont="1"/>
    <xf numFmtId="0" fontId="14" fillId="0" borderId="0" xfId="0" applyFont="1" applyBorder="1" applyAlignment="1" applyProtection="1">
      <alignment horizontal="centerContinuous" vertical="center" wrapText="1"/>
    </xf>
    <xf numFmtId="10" fontId="3" fillId="0" borderId="0" xfId="0" applyNumberFormat="1" applyFont="1" applyAlignment="1">
      <alignment horizontal="centerContinuous"/>
    </xf>
    <xf numFmtId="10" fontId="12" fillId="0" borderId="0" xfId="0" applyNumberFormat="1" applyFont="1" applyAlignment="1">
      <alignment horizontal="centerContinuous"/>
    </xf>
    <xf numFmtId="175" fontId="3" fillId="0" borderId="0" xfId="0" applyNumberFormat="1" applyFont="1" applyBorder="1" applyAlignment="1" applyProtection="1">
      <alignment horizontal="centerContinuous" vertical="center" wrapText="1"/>
    </xf>
    <xf numFmtId="10" fontId="12" fillId="0" borderId="0" xfId="0" applyNumberFormat="1" applyFont="1" applyBorder="1" applyAlignment="1">
      <alignment horizontal="centerContinuous" vertical="center" wrapText="1"/>
    </xf>
    <xf numFmtId="1" fontId="12" fillId="0" borderId="0" xfId="0" applyNumberFormat="1" applyFont="1" applyAlignment="1" applyProtection="1">
      <alignment horizontal="center"/>
    </xf>
    <xf numFmtId="0" fontId="12" fillId="0" borderId="0" xfId="0" applyFont="1"/>
    <xf numFmtId="10" fontId="1" fillId="0" borderId="0" xfId="0" applyNumberFormat="1" applyFont="1"/>
    <xf numFmtId="1" fontId="4" fillId="0" borderId="0" xfId="0" applyNumberFormat="1" applyFont="1" applyAlignment="1" applyProtection="1">
      <alignment horizontal="center"/>
    </xf>
    <xf numFmtId="37" fontId="15" fillId="0" borderId="0" xfId="0" applyNumberFormat="1" applyFont="1" applyAlignment="1" applyProtection="1">
      <alignment horizontal="center"/>
    </xf>
    <xf numFmtId="10" fontId="3" fillId="0" borderId="0" xfId="0" applyNumberFormat="1" applyFont="1" applyFill="1" applyBorder="1" applyAlignment="1" applyProtection="1">
      <alignment horizontal="center" wrapText="1"/>
    </xf>
    <xf numFmtId="10" fontId="3" fillId="0" borderId="0" xfId="0" applyNumberFormat="1" applyFont="1" applyAlignment="1">
      <alignment horizontal="center"/>
    </xf>
    <xf numFmtId="10" fontId="3" fillId="0" borderId="0" xfId="0" applyNumberFormat="1" applyFont="1" applyAlignment="1" applyProtection="1">
      <alignment horizontal="center"/>
    </xf>
    <xf numFmtId="10" fontId="10" fillId="0" borderId="0" xfId="0" applyNumberFormat="1" applyFont="1" applyAlignment="1" applyProtection="1">
      <alignment horizontal="left"/>
    </xf>
    <xf numFmtId="10" fontId="10" fillId="0" borderId="0" xfId="0" applyNumberFormat="1" applyFont="1" applyAlignment="1" applyProtection="1">
      <alignment horizontal="center"/>
    </xf>
    <xf numFmtId="10" fontId="1" fillId="0" borderId="0" xfId="0" applyNumberFormat="1" applyFont="1" applyAlignment="1" applyProtection="1">
      <alignment horizontal="left"/>
    </xf>
    <xf numFmtId="10" fontId="1" fillId="0" borderId="0" xfId="0" applyNumberFormat="1" applyFont="1" applyAlignment="1" applyProtection="1">
      <alignment horizontal="left" indent="2"/>
    </xf>
    <xf numFmtId="167" fontId="1" fillId="0" borderId="0" xfId="0" applyNumberFormat="1" applyFont="1" applyAlignment="1" applyProtection="1"/>
    <xf numFmtId="10" fontId="1" fillId="0" borderId="0" xfId="0" applyNumberFormat="1" applyFont="1" applyAlignment="1" applyProtection="1"/>
    <xf numFmtId="10" fontId="1" fillId="0" borderId="0" xfId="0" applyNumberFormat="1" applyFont="1" applyAlignment="1">
      <alignment horizontal="left" indent="2"/>
    </xf>
    <xf numFmtId="10" fontId="1" fillId="0" borderId="6" xfId="0" applyNumberFormat="1" applyFont="1" applyBorder="1" applyAlignment="1">
      <alignment horizontal="left" indent="2"/>
    </xf>
    <xf numFmtId="37" fontId="15" fillId="0" borderId="6" xfId="0" applyNumberFormat="1" applyFont="1" applyBorder="1" applyAlignment="1" applyProtection="1">
      <alignment horizontal="center"/>
    </xf>
    <xf numFmtId="167" fontId="1" fillId="0" borderId="6" xfId="0" applyNumberFormat="1" applyFont="1" applyBorder="1" applyAlignment="1" applyProtection="1"/>
    <xf numFmtId="10" fontId="1" fillId="0" borderId="6" xfId="0" applyNumberFormat="1" applyFont="1" applyBorder="1" applyAlignment="1" applyProtection="1"/>
    <xf numFmtId="10" fontId="3" fillId="0" borderId="0" xfId="0" applyNumberFormat="1" applyFont="1" applyAlignment="1" applyProtection="1">
      <alignment horizontal="left" indent="1"/>
    </xf>
    <xf numFmtId="10" fontId="3" fillId="0" borderId="0" xfId="0" applyNumberFormat="1" applyFont="1" applyAlignment="1" applyProtection="1"/>
    <xf numFmtId="5" fontId="1" fillId="0" borderId="0" xfId="0" applyNumberFormat="1" applyFont="1" applyAlignment="1" applyProtection="1"/>
    <xf numFmtId="10" fontId="3" fillId="0" borderId="23" xfId="0" applyNumberFormat="1" applyFont="1" applyBorder="1" applyAlignment="1" applyProtection="1">
      <alignment horizontal="left" indent="1"/>
    </xf>
    <xf numFmtId="37" fontId="15" fillId="0" borderId="23" xfId="0" applyNumberFormat="1" applyFont="1" applyBorder="1" applyAlignment="1" applyProtection="1">
      <alignment horizontal="center"/>
    </xf>
    <xf numFmtId="167" fontId="1" fillId="0" borderId="23" xfId="0" applyNumberFormat="1" applyFont="1" applyBorder="1" applyAlignment="1" applyProtection="1"/>
    <xf numFmtId="10" fontId="1" fillId="0" borderId="23" xfId="0" applyNumberFormat="1" applyFont="1" applyBorder="1" applyAlignment="1" applyProtection="1"/>
    <xf numFmtId="10" fontId="3" fillId="0" borderId="23" xfId="0" applyNumberFormat="1" applyFont="1" applyBorder="1" applyAlignment="1" applyProtection="1"/>
    <xf numFmtId="10" fontId="3" fillId="0" borderId="0" xfId="0" applyNumberFormat="1" applyFont="1" applyAlignment="1" applyProtection="1">
      <alignment horizontal="left"/>
    </xf>
    <xf numFmtId="167" fontId="3" fillId="0" borderId="0" xfId="0" applyNumberFormat="1" applyFont="1" applyAlignment="1" applyProtection="1"/>
    <xf numFmtId="167" fontId="10" fillId="0" borderId="0" xfId="0" applyNumberFormat="1" applyFont="1" applyAlignment="1" applyProtection="1"/>
    <xf numFmtId="10" fontId="16" fillId="0" borderId="0" xfId="0" applyNumberFormat="1" applyFont="1" applyFill="1" applyBorder="1" applyAlignment="1" applyProtection="1">
      <alignment horizontal="right"/>
    </xf>
    <xf numFmtId="10" fontId="10" fillId="0" borderId="0" xfId="0" applyNumberFormat="1" applyFont="1" applyAlignment="1" applyProtection="1"/>
    <xf numFmtId="5" fontId="17" fillId="0" borderId="0" xfId="0" applyNumberFormat="1" applyFont="1" applyBorder="1" applyAlignment="1" applyProtection="1"/>
    <xf numFmtId="167" fontId="17" fillId="0" borderId="0" xfId="0" applyNumberFormat="1" applyFont="1" applyBorder="1" applyAlignment="1" applyProtection="1">
      <alignment horizontal="right"/>
    </xf>
    <xf numFmtId="10" fontId="17" fillId="0" borderId="0" xfId="0" applyNumberFormat="1" applyFont="1" applyBorder="1" applyAlignment="1" applyProtection="1">
      <alignment horizontal="right"/>
    </xf>
    <xf numFmtId="167" fontId="12" fillId="0" borderId="0" xfId="0" applyNumberFormat="1" applyFont="1" applyProtection="1"/>
    <xf numFmtId="10" fontId="18" fillId="0" borderId="0" xfId="0" applyNumberFormat="1" applyFont="1"/>
    <xf numFmtId="5" fontId="12" fillId="0" borderId="0" xfId="0" applyNumberFormat="1" applyFont="1" applyProtection="1"/>
    <xf numFmtId="10" fontId="1" fillId="4" borderId="0" xfId="0" applyNumberFormat="1" applyFont="1" applyFill="1" applyBorder="1" applyProtection="1"/>
    <xf numFmtId="0" fontId="5" fillId="0" borderId="0" xfId="0" quotePrefix="1"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1" fillId="0" borderId="9" xfId="0" quotePrefix="1" applyFont="1" applyFill="1" applyBorder="1" applyAlignment="1">
      <alignment horizontal="center"/>
    </xf>
    <xf numFmtId="0" fontId="5" fillId="0" borderId="0" xfId="0" quotePrefix="1" applyFont="1" applyAlignment="1">
      <alignment horizontal="center"/>
    </xf>
    <xf numFmtId="0" fontId="5" fillId="0" borderId="0" xfId="0" applyFont="1" applyAlignment="1">
      <alignment horizontal="center"/>
    </xf>
    <xf numFmtId="0" fontId="1" fillId="0" borderId="0" xfId="0" applyFont="1" applyAlignment="1" applyProtection="1">
      <alignment horizontal="right"/>
    </xf>
    <xf numFmtId="0" fontId="3" fillId="0" borderId="0" xfId="0" applyFont="1" applyAlignment="1">
      <alignment horizontal="center"/>
    </xf>
    <xf numFmtId="0" fontId="3" fillId="0" borderId="0" xfId="0" quotePrefix="1" applyFont="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Alignment="1">
      <alignment horizontal="left"/>
    </xf>
    <xf numFmtId="0" fontId="1" fillId="0" borderId="0" xfId="0" quotePrefix="1" applyFont="1" applyAlignment="1">
      <alignment horizontal="left"/>
    </xf>
    <xf numFmtId="0" fontId="1" fillId="0" borderId="0" xfId="0" applyFont="1" applyAlignment="1" applyProtection="1">
      <alignment horizontal="left"/>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3" fillId="0" borderId="0" xfId="0" quotePrefix="1" applyFont="1" applyFill="1" applyAlignment="1">
      <alignment horizontal="left"/>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19" xfId="0" quotePrefix="1" applyFont="1" applyFill="1" applyBorder="1" applyAlignment="1" applyProtection="1">
      <alignment horizontal="center"/>
    </xf>
    <xf numFmtId="0" fontId="1" fillId="0" borderId="0" xfId="0" quotePrefix="1" applyFont="1" applyAlignment="1">
      <alignment horizontal="left" wrapText="1"/>
    </xf>
    <xf numFmtId="0" fontId="1" fillId="3" borderId="10" xfId="0" applyFont="1" applyFill="1" applyBorder="1" applyAlignment="1">
      <alignment horizontal="right"/>
    </xf>
    <xf numFmtId="0" fontId="1" fillId="3" borderId="9" xfId="0" applyFont="1" applyFill="1" applyBorder="1" applyAlignment="1">
      <alignment horizontal="right"/>
    </xf>
    <xf numFmtId="0" fontId="1" fillId="3" borderId="15" xfId="0" quotePrefix="1" applyFont="1" applyFill="1" applyBorder="1" applyAlignment="1" applyProtection="1">
      <alignment horizontal="center"/>
    </xf>
    <xf numFmtId="0" fontId="1" fillId="3" borderId="16" xfId="0" quotePrefix="1" applyFont="1" applyFill="1" applyBorder="1" applyAlignment="1" applyProtection="1">
      <alignment horizontal="center"/>
    </xf>
    <xf numFmtId="0" fontId="1" fillId="3" borderId="7" xfId="0" quotePrefix="1" applyFont="1" applyFill="1" applyBorder="1" applyAlignment="1" applyProtection="1">
      <alignment horizontal="center"/>
    </xf>
    <xf numFmtId="0" fontId="10" fillId="0" borderId="0" xfId="0" applyFont="1" applyFill="1" applyBorder="1" applyAlignment="1">
      <alignment horizontal="center"/>
    </xf>
    <xf numFmtId="0" fontId="0" fillId="0" borderId="0" xfId="0" applyAlignment="1">
      <alignment horizontal="left"/>
    </xf>
    <xf numFmtId="0" fontId="7" fillId="0" borderId="0" xfId="0" applyFont="1" applyAlignment="1">
      <alignment horizontal="center"/>
    </xf>
    <xf numFmtId="0" fontId="11" fillId="0" borderId="0" xfId="0" applyNumberFormat="1" applyFont="1" applyFill="1" applyAlignment="1" applyProtection="1">
      <alignment horizontal="center"/>
      <protection locked="0"/>
    </xf>
    <xf numFmtId="0" fontId="11" fillId="0" borderId="0" xfId="0" applyNumberFormat="1" applyFont="1" applyAlignment="1">
      <alignment horizontal="center"/>
    </xf>
    <xf numFmtId="0" fontId="11" fillId="0" borderId="0" xfId="0" applyNumberFormat="1" applyFont="1" applyFill="1" applyAlignment="1">
      <alignment horizontal="center"/>
    </xf>
    <xf numFmtId="10" fontId="14" fillId="0" borderId="0" xfId="0" applyNumberFormat="1" applyFont="1" applyAlignment="1" applyProtection="1">
      <alignment horizontal="center"/>
    </xf>
    <xf numFmtId="175" fontId="14" fillId="0" borderId="0" xfId="0" applyNumberFormat="1" applyFont="1" applyAlignment="1" applyProtection="1">
      <alignment horizontal="center"/>
    </xf>
    <xf numFmtId="10" fontId="3" fillId="0" borderId="22" xfId="0" applyNumberFormat="1" applyFont="1" applyFill="1" applyBorder="1" applyAlignment="1" applyProtection="1">
      <alignment horizontal="center" wrapText="1"/>
    </xf>
    <xf numFmtId="10" fontId="3" fillId="0" borderId="23" xfId="0" applyNumberFormat="1" applyFont="1" applyFill="1" applyBorder="1" applyAlignment="1" applyProtection="1">
      <alignment horizontal="center" wrapText="1"/>
    </xf>
    <xf numFmtId="10" fontId="3" fillId="0" borderId="24"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293816</xdr:colOff>
      <xdr:row>0</xdr:row>
      <xdr:rowOff>0</xdr:rowOff>
    </xdr:from>
    <xdr:to>
      <xdr:col>17</xdr:col>
      <xdr:colOff>914399</xdr:colOff>
      <xdr:row>13</xdr:row>
      <xdr:rowOff>507323</xdr:rowOff>
    </xdr:to>
    <xdr:pic>
      <xdr:nvPicPr>
        <xdr:cNvPr id="3" name="Picture 2"/>
        <xdr:cNvPicPr>
          <a:picLocks noChangeAspect="1"/>
        </xdr:cNvPicPr>
      </xdr:nvPicPr>
      <xdr:blipFill>
        <a:blip xmlns:r="http://schemas.openxmlformats.org/officeDocument/2006/relationships" r:embed="rId1"/>
        <a:stretch>
          <a:fillRect/>
        </a:stretch>
      </xdr:blipFill>
      <xdr:spPr>
        <a:xfrm>
          <a:off x="8538656" y="0"/>
          <a:ext cx="5192583" cy="27018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Rates/Public/2018/2018%20Tax%20Reform%20WP/RevReq%20WP/@%20170033-Electric%20Dep%20Stdy%20Settle%20Tax%20Re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ates/Public/2018/2018%20Tax%20Reform%20WP/RevReq%20WP/3.03E%20&amp;%203.03G%20Conversion%20Factor%2017GR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ates/Public/2018/2018%20Tax%20Reform%20WP/RevReq%20WP/3.02E%20&amp;%203.02G%20Cost%20of%20Capital%2017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Depr Rates Sept 07"/>
      <sheetName val="Depreciation Recon"/>
      <sheetName val="Lead E"/>
      <sheetName val="Electric"/>
      <sheetName val="Elec Study Rpt"/>
      <sheetName val="Col 1&amp;2 $18.5M"/>
      <sheetName val="Col 3&amp;4 2027"/>
      <sheetName val="Common"/>
      <sheetName val="Comm Study Rpt"/>
      <sheetName val="DFIT Depr Stdy 8.06E"/>
      <sheetName val="403.1 Depr"/>
      <sheetName val="Elec Accretion"/>
      <sheetName val="Depr Oct15-Sep16 Revised"/>
      <sheetName val="CC300"/>
      <sheetName val="RB&amp;ISbyFERC"/>
    </sheetNames>
    <sheetDataSet>
      <sheetData sheetId="0"/>
      <sheetData sheetId="1"/>
      <sheetData sheetId="2">
        <row r="4">
          <cell r="A4" t="str">
            <v>PUGET SOUND ENERGY - ELECTRIC (PER SETTLEMENT)</v>
          </cell>
        </row>
        <row r="5">
          <cell r="A5" t="str">
            <v>DEPRECIATION STUDY</v>
          </cell>
        </row>
        <row r="6">
          <cell r="A6" t="str">
            <v>FOR THE TWELVE MONTHS ENDED SEPTEMBER 30, 2016</v>
          </cell>
        </row>
        <row r="7">
          <cell r="A7" t="str">
            <v>2017 GENERAL RATE CASE</v>
          </cell>
        </row>
      </sheetData>
      <sheetData sheetId="3">
        <row r="362">
          <cell r="B362" t="str">
            <v xml:space="preserve">DISTRIBUTION PLANT </v>
          </cell>
        </row>
        <row r="363">
          <cell r="B363"/>
        </row>
        <row r="364">
          <cell r="A364">
            <v>360.1</v>
          </cell>
          <cell r="B364" t="str">
            <v>EASEMENTS</v>
          </cell>
          <cell r="C364">
            <v>6192997.7800000003</v>
          </cell>
          <cell r="D364">
            <v>137458.86999999997</v>
          </cell>
          <cell r="E364">
            <v>2.2400000000000002</v>
          </cell>
          <cell r="F364">
            <v>2.2400000000000003E-2</v>
          </cell>
          <cell r="G364">
            <v>1.1296952216895514E-2</v>
          </cell>
          <cell r="H364">
            <v>0.5043282239685497</v>
          </cell>
          <cell r="I364">
            <v>69324.387775823736</v>
          </cell>
          <cell r="J364">
            <v>-68134.48222417623</v>
          </cell>
        </row>
        <row r="365">
          <cell r="A365">
            <v>361</v>
          </cell>
          <cell r="B365" t="str">
            <v xml:space="preserve">STRUCTURES AND IMPROVEMENTS          </v>
          </cell>
          <cell r="C365">
            <v>7980826.7300000004</v>
          </cell>
          <cell r="D365">
            <v>144277.32</v>
          </cell>
          <cell r="E365">
            <v>1.81</v>
          </cell>
          <cell r="F365">
            <v>1.8100000000000002E-2</v>
          </cell>
          <cell r="G365">
            <v>1.7604567139875744E-2</v>
          </cell>
          <cell r="H365">
            <v>0.97262801877766536</v>
          </cell>
          <cell r="I365">
            <v>140328.16390615125</v>
          </cell>
          <cell r="J365">
            <v>-3949.1560938487528</v>
          </cell>
        </row>
        <row r="366">
          <cell r="A366">
            <v>362</v>
          </cell>
          <cell r="B366" t="str">
            <v xml:space="preserve">STATION EQUIPMENT                   </v>
          </cell>
          <cell r="C366">
            <v>434912648.51999998</v>
          </cell>
          <cell r="D366">
            <v>8235583.0600000005</v>
          </cell>
          <cell r="E366">
            <v>1.97</v>
          </cell>
          <cell r="F366">
            <v>1.9699999999999999E-2</v>
          </cell>
          <cell r="G366">
            <v>2.0398169678875266E-2</v>
          </cell>
          <cell r="H366">
            <v>1.0354400852220949</v>
          </cell>
          <cell r="I366">
            <v>8527452.8255000412</v>
          </cell>
          <cell r="J366">
            <v>291869.76550004072</v>
          </cell>
        </row>
        <row r="367">
          <cell r="A367">
            <v>363</v>
          </cell>
          <cell r="B367" t="str">
            <v>BATTERY STORAGE EQUIPMENT</v>
          </cell>
          <cell r="C367">
            <v>1194182.8600000001</v>
          </cell>
          <cell r="D367">
            <v>23908.840000000004</v>
          </cell>
          <cell r="E367">
            <v>5</v>
          </cell>
          <cell r="F367">
            <v>0.05</v>
          </cell>
          <cell r="G367">
            <v>4.9922840125171446E-2</v>
          </cell>
          <cell r="H367">
            <v>0.99845680250342883</v>
          </cell>
          <cell r="I367">
            <v>23871.943937966083</v>
          </cell>
          <cell r="J367">
            <v>-36.896062033920316</v>
          </cell>
        </row>
        <row r="368">
          <cell r="A368">
            <v>364</v>
          </cell>
          <cell r="B368" t="str">
            <v xml:space="preserve">POLES, TOWERS AND FIXTURES          </v>
          </cell>
          <cell r="C368">
            <v>340904415.12</v>
          </cell>
          <cell r="D368">
            <v>10261211.340000002</v>
          </cell>
          <cell r="E368">
            <v>3.11</v>
          </cell>
          <cell r="F368">
            <v>3.1099999999999999E-2</v>
          </cell>
          <cell r="G368">
            <v>3.1427873986990325E-2</v>
          </cell>
          <cell r="H368">
            <v>1.0105425719289494</v>
          </cell>
          <cell r="I368">
            <v>10369390.898630103</v>
          </cell>
          <cell r="J368">
            <v>108179.55863010138</v>
          </cell>
        </row>
        <row r="369">
          <cell r="D369">
            <v>11214.9</v>
          </cell>
          <cell r="E369">
            <v>4.24</v>
          </cell>
          <cell r="F369">
            <v>4.24E-2</v>
          </cell>
          <cell r="G369">
            <v>3.1427873986990325E-2</v>
          </cell>
          <cell r="H369">
            <v>0.74122344308939447</v>
          </cell>
          <cell r="I369">
            <v>8312.7467919032497</v>
          </cell>
          <cell r="J369">
            <v>-2902.1532080967499</v>
          </cell>
        </row>
        <row r="370">
          <cell r="A370">
            <v>365</v>
          </cell>
          <cell r="B370" t="str">
            <v xml:space="preserve">OVERHEAD CONDUCTORS AND DEVICES     </v>
          </cell>
          <cell r="C370">
            <v>409216186.50999999</v>
          </cell>
          <cell r="D370">
            <v>11091701.539999999</v>
          </cell>
          <cell r="E370">
            <v>2.83</v>
          </cell>
          <cell r="F370">
            <v>2.8300000000000002E-2</v>
          </cell>
          <cell r="G370">
            <v>3.7404563906774872E-2</v>
          </cell>
          <cell r="H370">
            <v>1.3217160391086527</v>
          </cell>
          <cell r="I370">
            <v>14660079.826424142</v>
          </cell>
          <cell r="J370">
            <v>3568378.2864241432</v>
          </cell>
        </row>
        <row r="371">
          <cell r="D371">
            <v>7476.5999999999995</v>
          </cell>
          <cell r="E371">
            <v>4.24</v>
          </cell>
          <cell r="F371">
            <v>4.24E-2</v>
          </cell>
          <cell r="G371">
            <v>3.7404563906774872E-2</v>
          </cell>
          <cell r="H371">
            <v>0.88218311100884128</v>
          </cell>
          <cell r="I371">
            <v>6595.7302477687026</v>
          </cell>
          <cell r="J371">
            <v>-880.86975223129684</v>
          </cell>
        </row>
        <row r="372">
          <cell r="A372">
            <v>366</v>
          </cell>
          <cell r="B372" t="str">
            <v xml:space="preserve">UNDERGROUND CONDUIT                 </v>
          </cell>
          <cell r="C372">
            <v>672272622.88</v>
          </cell>
          <cell r="D372">
            <v>14888909.970000001</v>
          </cell>
          <cell r="E372">
            <v>2.2599999999999998</v>
          </cell>
          <cell r="F372">
            <v>2.2599999999999999E-2</v>
          </cell>
          <cell r="G372">
            <v>1.7720071581921921E-2</v>
          </cell>
          <cell r="H372">
            <v>0.7840739638018549</v>
          </cell>
          <cell r="I372">
            <v>11674006.656866858</v>
          </cell>
          <cell r="J372">
            <v>-3214903.3131331429</v>
          </cell>
        </row>
        <row r="373">
          <cell r="A373">
            <v>367</v>
          </cell>
          <cell r="B373" t="str">
            <v xml:space="preserve">UNDERGROUND CONDUCTORS AND DEVICES  </v>
          </cell>
          <cell r="C373">
            <v>844856752.28999996</v>
          </cell>
          <cell r="D373">
            <v>28926476.950000007</v>
          </cell>
          <cell r="E373">
            <v>3.53</v>
          </cell>
          <cell r="F373">
            <v>3.5299999999999998E-2</v>
          </cell>
          <cell r="G373">
            <v>3.9321450541708852E-2</v>
          </cell>
          <cell r="H373">
            <v>1.1139221116631404</v>
          </cell>
          <cell r="I373">
            <v>32221842.287119165</v>
          </cell>
          <cell r="J373">
            <v>3295365.3371191584</v>
          </cell>
        </row>
        <row r="374">
          <cell r="D374">
            <v>796615.70000000019</v>
          </cell>
          <cell r="E374">
            <v>4.24</v>
          </cell>
          <cell r="F374">
            <v>4.24E-2</v>
          </cell>
          <cell r="G374">
            <v>3.9321450541708852E-2</v>
          </cell>
          <cell r="H374">
            <v>0.92739270145539743</v>
          </cell>
          <cell r="I374">
            <v>738775.58604478266</v>
          </cell>
          <cell r="J374">
            <v>-57840.11395521753</v>
          </cell>
        </row>
        <row r="375">
          <cell r="A375">
            <v>368</v>
          </cell>
          <cell r="B375" t="str">
            <v xml:space="preserve">LINE TRANSFORMERS                   </v>
          </cell>
          <cell r="C375">
            <v>462673680.60000002</v>
          </cell>
          <cell r="D375">
            <v>14908913.550000001</v>
          </cell>
          <cell r="E375">
            <v>3.26</v>
          </cell>
          <cell r="F375">
            <v>3.2599999999999997E-2</v>
          </cell>
          <cell r="G375">
            <v>4.0645875891648892E-2</v>
          </cell>
          <cell r="H375">
            <v>1.2468060089462851</v>
          </cell>
          <cell r="I375">
            <v>18588523.001000691</v>
          </cell>
          <cell r="J375">
            <v>3679609.4510006905</v>
          </cell>
        </row>
        <row r="376">
          <cell r="A376">
            <v>369</v>
          </cell>
          <cell r="B376" t="str">
            <v xml:space="preserve">SERVICES                            </v>
          </cell>
          <cell r="C376">
            <v>182057677.19</v>
          </cell>
          <cell r="D376">
            <v>4214546.3500000006</v>
          </cell>
          <cell r="E376">
            <v>2.33</v>
          </cell>
          <cell r="F376">
            <v>2.3300000000000001E-2</v>
          </cell>
          <cell r="G376">
            <v>3.1460354149320122E-2</v>
          </cell>
          <cell r="H376">
            <v>1.3502297918163142</v>
          </cell>
          <cell r="I376">
            <v>5690606.040760708</v>
          </cell>
          <cell r="J376">
            <v>1476059.6907607075</v>
          </cell>
        </row>
        <row r="377">
          <cell r="A377">
            <v>370</v>
          </cell>
          <cell r="B377" t="str">
            <v xml:space="preserve">METERS **            </v>
          </cell>
          <cell r="C377">
            <v>140665913.55000001</v>
          </cell>
          <cell r="D377">
            <v>3156227.3000000007</v>
          </cell>
          <cell r="E377">
            <v>2.3199999999999998</v>
          </cell>
          <cell r="F377">
            <v>2.3199999999999998E-2</v>
          </cell>
          <cell r="G377">
            <v>8.3392143156489656E-2</v>
          </cell>
          <cell r="H377">
            <v>3.5944889291590369</v>
          </cell>
          <cell r="I377">
            <v>11345024.087759521</v>
          </cell>
          <cell r="J377">
            <v>8188796.7877595201</v>
          </cell>
        </row>
        <row r="378">
          <cell r="A378">
            <v>373</v>
          </cell>
          <cell r="B378" t="str">
            <v xml:space="preserve">STREET LIGHTING AND SIGNAL SYSTEMS  </v>
          </cell>
          <cell r="C378">
            <v>53727968.479999997</v>
          </cell>
          <cell r="D378">
            <v>1745428.26</v>
          </cell>
          <cell r="E378">
            <v>3.34</v>
          </cell>
          <cell r="F378">
            <v>3.3399999999999999E-2</v>
          </cell>
          <cell r="G378">
            <v>4.7508180045001402E-2</v>
          </cell>
          <cell r="H378">
            <v>1.4224006001497427</v>
          </cell>
          <cell r="I378">
            <v>2482698.2045423212</v>
          </cell>
          <cell r="J378">
            <v>737269.94454232114</v>
          </cell>
        </row>
        <row r="380">
          <cell r="B380" t="str">
            <v xml:space="preserve">    TOTAL DISTRIBUTION PLANT </v>
          </cell>
          <cell r="C380">
            <v>3556655872.5100002</v>
          </cell>
          <cell r="D380">
            <v>98549950.549999997</v>
          </cell>
          <cell r="E380">
            <v>2.7708598774401922E-2</v>
          </cell>
          <cell r="F380">
            <v>2.7708598774401922E-2</v>
          </cell>
          <cell r="G380">
            <v>3.2768655884905337E-2</v>
          </cell>
          <cell r="H380">
            <v>1.1826168530462846</v>
          </cell>
          <cell r="I380">
            <v>116546832.38730796</v>
          </cell>
          <cell r="J380">
            <v>17996881.837307937</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4 E"/>
      <sheetName val="3.05 G"/>
      <sheetName val="Annual Filing Fee"/>
      <sheetName val="Pub Util Tax"/>
      <sheetName val="3.03E &amp; 3"/>
    </sheetNames>
    <sheetDataSet>
      <sheetData sheetId="0">
        <row r="5">
          <cell r="E5" t="str">
            <v>Page 3.04</v>
          </cell>
        </row>
        <row r="6">
          <cell r="B6" t="str">
            <v>PUGET SOUND ENERGY-ELECTRIC</v>
          </cell>
        </row>
        <row r="7">
          <cell r="B7" t="str">
            <v>CONVERSION FACTOR - ELECTRIC</v>
          </cell>
        </row>
        <row r="8">
          <cell r="B8" t="str">
            <v>FOR THE TWELVE MONTHS ENDED SEPTEMBER 30, 2016</v>
          </cell>
        </row>
        <row r="11">
          <cell r="A11" t="str">
            <v>LINE</v>
          </cell>
        </row>
        <row r="12">
          <cell r="A12" t="str">
            <v>NO.</v>
          </cell>
          <cell r="B12" t="str">
            <v>DESCRIPTION</v>
          </cell>
          <cell r="E12" t="str">
            <v>RATE</v>
          </cell>
        </row>
        <row r="14">
          <cell r="A14">
            <v>1</v>
          </cell>
          <cell r="B14" t="str">
            <v>BAD DEBTS</v>
          </cell>
          <cell r="E14">
            <v>7.1570000000000002E-3</v>
          </cell>
        </row>
        <row r="15">
          <cell r="A15">
            <v>2</v>
          </cell>
          <cell r="B15" t="str">
            <v>ANNUAL FILING FEE</v>
          </cell>
          <cell r="E15">
            <v>2E-3</v>
          </cell>
        </row>
        <row r="16">
          <cell r="A16">
            <v>3</v>
          </cell>
          <cell r="B16" t="str">
            <v>STATE UTILITY TAX - NET OF BAD DEBTS ( 3.8734% - ( LINE 1 * 3.8734%) )</v>
          </cell>
          <cell r="D16">
            <v>3.8733999999999998E-2</v>
          </cell>
          <cell r="E16">
            <v>3.8456999999999998E-2</v>
          </cell>
        </row>
        <row r="17">
          <cell r="A17">
            <v>4</v>
          </cell>
        </row>
        <row r="18">
          <cell r="A18">
            <v>5</v>
          </cell>
          <cell r="B18" t="str">
            <v>SUM OF TAXES OTHER</v>
          </cell>
          <cell r="E18">
            <v>4.7613999999999997E-2</v>
          </cell>
        </row>
        <row r="19">
          <cell r="A19">
            <v>6</v>
          </cell>
        </row>
        <row r="20">
          <cell r="A20">
            <v>7</v>
          </cell>
          <cell r="B20" t="str">
            <v>CONVERSION FACTOR EXCLUDING FEDERAL INCOME TAX ( 1 - LINE 5)</v>
          </cell>
          <cell r="E20">
            <v>0.95238599999999995</v>
          </cell>
        </row>
        <row r="21">
          <cell r="A21">
            <v>8</v>
          </cell>
          <cell r="B21" t="str">
            <v>FEDERAL INCOME TAX ( LINE 7 * 35%)</v>
          </cell>
          <cell r="D21">
            <v>0.21</v>
          </cell>
          <cell r="E21">
            <v>0.20000100000000001</v>
          </cell>
        </row>
        <row r="22">
          <cell r="A22">
            <v>9</v>
          </cell>
          <cell r="B22" t="str">
            <v xml:space="preserve">CONVERSION FACTOR INCL FEDERAL INCOME TAX ( LINE 5 + LINE 8 ) </v>
          </cell>
          <cell r="E22">
            <v>0.75238499999999997</v>
          </cell>
        </row>
      </sheetData>
      <sheetData sheetId="1">
        <row r="13">
          <cell r="E13">
            <v>5.1399999999999996E-3</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3.02E &amp; 3"/>
    </sheetNames>
    <sheetDataSet>
      <sheetData sheetId="0">
        <row r="1">
          <cell r="B1" t="str">
            <v>PUGET SOUND ENERGY, INC.</v>
          </cell>
        </row>
        <row r="3">
          <cell r="B3" t="str">
            <v>Utility Capital Structure</v>
          </cell>
        </row>
        <row r="4">
          <cell r="B4" t="str">
            <v>Settlement Cost of Capital and Rate of Return</v>
          </cell>
        </row>
        <row r="5">
          <cell r="A5" t="str">
            <v>Requested For Rate Year January 2018 through December 2018</v>
          </cell>
        </row>
        <row r="8">
          <cell r="A8">
            <v>1</v>
          </cell>
          <cell r="B8" t="str">
            <v>(A)</v>
          </cell>
          <cell r="C8" t="str">
            <v>(B)</v>
          </cell>
          <cell r="D8" t="str">
            <v>(C)</v>
          </cell>
          <cell r="E8" t="str">
            <v>(D)</v>
          </cell>
          <cell r="F8" t="str">
            <v>(E)</v>
          </cell>
        </row>
        <row r="9">
          <cell r="A9">
            <v>2</v>
          </cell>
          <cell r="B9" t="str">
            <v>General Rate Case Request</v>
          </cell>
        </row>
        <row r="10">
          <cell r="A10">
            <v>3</v>
          </cell>
        </row>
        <row r="11">
          <cell r="A11">
            <v>4</v>
          </cell>
          <cell r="E11" t="str">
            <v>Cost</v>
          </cell>
          <cell r="F11" t="str">
            <v>Cost of</v>
          </cell>
        </row>
        <row r="12">
          <cell r="A12">
            <v>5</v>
          </cell>
          <cell r="B12" t="str">
            <v>Description</v>
          </cell>
          <cell r="D12" t="str">
            <v>Ratio</v>
          </cell>
          <cell r="E12" t="str">
            <v>Rates</v>
          </cell>
          <cell r="F12" t="str">
            <v>Capital</v>
          </cell>
        </row>
        <row r="13">
          <cell r="A13">
            <v>6</v>
          </cell>
        </row>
        <row r="14">
          <cell r="A14">
            <v>7</v>
          </cell>
          <cell r="B14" t="str">
            <v>Marginal Short-Term Debt Rate</v>
          </cell>
          <cell r="D14">
            <v>0.01</v>
          </cell>
          <cell r="E14">
            <v>3.0599999999999999E-2</v>
          </cell>
          <cell r="F14">
            <v>2.9999999999999997E-4</v>
          </cell>
        </row>
        <row r="15">
          <cell r="A15">
            <v>8</v>
          </cell>
          <cell r="B15" t="str">
            <v>Commitment Fees</v>
          </cell>
          <cell r="F15">
            <v>2.0000000000000001E-4</v>
          </cell>
        </row>
        <row r="16">
          <cell r="A16">
            <v>9</v>
          </cell>
          <cell r="B16" t="str">
            <v xml:space="preserve">Amortization of Short-Term Debt Issue Cost </v>
          </cell>
          <cell r="F16">
            <v>1E-4</v>
          </cell>
        </row>
        <row r="17">
          <cell r="A17">
            <v>10</v>
          </cell>
          <cell r="B17" t="str">
            <v>Weighted Short-Term Debt Rate</v>
          </cell>
          <cell r="F17">
            <v>6.0000000000000006E-4</v>
          </cell>
        </row>
        <row r="18">
          <cell r="A18">
            <v>11</v>
          </cell>
          <cell r="B18" t="str">
            <v>Marginal Long-Term Debt Rate</v>
          </cell>
          <cell r="D18">
            <v>0.505</v>
          </cell>
          <cell r="E18">
            <v>5.7332756117079067E-2</v>
          </cell>
          <cell r="F18">
            <v>2.9000000000000001E-2</v>
          </cell>
        </row>
        <row r="19">
          <cell r="A19">
            <v>12</v>
          </cell>
          <cell r="B19" t="str">
            <v>Amortization of Reacquired Debt</v>
          </cell>
          <cell r="F19">
            <v>2.9999999999999997E-4</v>
          </cell>
        </row>
        <row r="20">
          <cell r="A20">
            <v>13</v>
          </cell>
          <cell r="B20" t="str">
            <v>Weighted Long-Term Debt Rate</v>
          </cell>
          <cell r="F20">
            <v>2.9300000000000003E-2</v>
          </cell>
        </row>
        <row r="21">
          <cell r="A21">
            <v>14</v>
          </cell>
          <cell r="B21" t="str">
            <v>Total Debt</v>
          </cell>
          <cell r="D21">
            <v>0.51500000000000001</v>
          </cell>
          <cell r="E21">
            <v>5.8058252427184473E-2</v>
          </cell>
          <cell r="F21">
            <v>2.9900000000000003E-2</v>
          </cell>
        </row>
        <row r="22">
          <cell r="A22">
            <v>15</v>
          </cell>
          <cell r="B22" t="str">
            <v>Common Equity</v>
          </cell>
          <cell r="D22">
            <v>0.48499999999999999</v>
          </cell>
          <cell r="E22">
            <v>9.5000000000000001E-2</v>
          </cell>
          <cell r="F22">
            <v>4.6100000000000002E-2</v>
          </cell>
        </row>
        <row r="23">
          <cell r="A23">
            <v>16</v>
          </cell>
          <cell r="B23" t="str">
            <v xml:space="preserve">Total </v>
          </cell>
          <cell r="D23">
            <v>1</v>
          </cell>
          <cell r="F23">
            <v>7.6000000000000012E-2</v>
          </cell>
        </row>
        <row r="25">
          <cell r="B25" t="str">
            <v>Adapted from Exhibit No. BJL-04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18" sqref="B18"/>
    </sheetView>
  </sheetViews>
  <sheetFormatPr defaultColWidth="9.109375" defaultRowHeight="13.2" x14ac:dyDescent="0.25"/>
  <cols>
    <col min="1" max="1" width="19" style="1" customWidth="1"/>
    <col min="2" max="2" width="88.109375" style="1" customWidth="1"/>
    <col min="3" max="3" width="9.109375" style="1"/>
    <col min="4" max="4" width="9.109375" style="2"/>
    <col min="5" max="5" width="16.109375" style="2" customWidth="1"/>
    <col min="6" max="9" width="9.109375" style="2"/>
    <col min="10" max="16384" width="9.109375" style="1"/>
  </cols>
  <sheetData>
    <row r="1" spans="1:11" x14ac:dyDescent="0.25">
      <c r="A1" s="5"/>
      <c r="B1" s="5"/>
      <c r="C1" s="5"/>
    </row>
    <row r="2" spans="1:11" x14ac:dyDescent="0.25">
      <c r="A2" s="5"/>
      <c r="B2" s="5"/>
      <c r="C2" s="5"/>
    </row>
    <row r="3" spans="1:11" x14ac:dyDescent="0.25">
      <c r="A3" s="5"/>
      <c r="B3" s="5"/>
      <c r="C3" s="5"/>
    </row>
    <row r="4" spans="1:11" x14ac:dyDescent="0.25">
      <c r="A4" s="5"/>
      <c r="B4" s="8"/>
      <c r="C4" s="8"/>
    </row>
    <row r="5" spans="1:11" x14ac:dyDescent="0.25">
      <c r="A5" s="5"/>
      <c r="B5" s="8"/>
      <c r="C5" s="8"/>
      <c r="J5" s="7"/>
      <c r="K5" s="7"/>
    </row>
    <row r="6" spans="1:11" ht="19.2" x14ac:dyDescent="0.35">
      <c r="A6" s="5"/>
      <c r="B6" s="9" t="s">
        <v>45</v>
      </c>
      <c r="C6" s="8"/>
      <c r="J6" s="7"/>
      <c r="K6" s="7"/>
    </row>
    <row r="7" spans="1:11" ht="19.2" x14ac:dyDescent="0.35">
      <c r="A7" s="5"/>
      <c r="B7" s="9" t="s">
        <v>69</v>
      </c>
      <c r="C7" s="8"/>
      <c r="J7" s="7"/>
      <c r="K7" s="7"/>
    </row>
    <row r="8" spans="1:11" ht="19.2" x14ac:dyDescent="0.35">
      <c r="A8" s="5"/>
      <c r="B8" s="6" t="s">
        <v>70</v>
      </c>
      <c r="C8" s="8"/>
      <c r="J8" s="7"/>
      <c r="K8" s="7"/>
    </row>
    <row r="9" spans="1:11" ht="19.2" x14ac:dyDescent="0.35">
      <c r="A9" s="5"/>
      <c r="B9" s="6" t="s">
        <v>71</v>
      </c>
      <c r="C9" s="5"/>
    </row>
    <row r="10" spans="1:11" x14ac:dyDescent="0.25">
      <c r="A10" s="5"/>
      <c r="B10" s="5"/>
      <c r="C10" s="5"/>
    </row>
    <row r="11" spans="1:11" x14ac:dyDescent="0.25">
      <c r="A11" s="5"/>
      <c r="B11" s="5"/>
      <c r="C11" s="5"/>
    </row>
    <row r="14" spans="1:11" ht="39.6" x14ac:dyDescent="0.25">
      <c r="A14" s="1" t="s">
        <v>3</v>
      </c>
      <c r="B14" s="45" t="s">
        <v>46</v>
      </c>
    </row>
    <row r="16" spans="1:11" ht="26.4" x14ac:dyDescent="0.25">
      <c r="A16" s="1" t="s">
        <v>2</v>
      </c>
      <c r="B16" s="4" t="s">
        <v>1</v>
      </c>
    </row>
    <row r="18" spans="1:5" s="1" customFormat="1" ht="39.6" x14ac:dyDescent="0.25">
      <c r="A18" s="1" t="s">
        <v>0</v>
      </c>
      <c r="B18" s="45" t="s">
        <v>72</v>
      </c>
      <c r="D18" s="2"/>
      <c r="E18" s="2"/>
    </row>
    <row r="20" spans="1:5" s="1" customFormat="1" x14ac:dyDescent="0.25">
      <c r="B20" s="3" t="str">
        <f ca="1">CONCATENATE("Cost of Capital updated for Docket No. UE-170033 @ ",('Lvl FCR Sub Equip'!L9*100),"0%")</f>
        <v>Cost of Capital updated for Docket No. UE-170033 @ 7.60%</v>
      </c>
      <c r="D20" s="2"/>
      <c r="E20" s="2"/>
    </row>
    <row r="21" spans="1:5" x14ac:dyDescent="0.25">
      <c r="C21" s="3"/>
    </row>
  </sheetData>
  <printOptions horizontalCentered="1"/>
  <pageMargins left="0.25" right="0.25" top="0.75" bottom="0.75" header="0.3" footer="0.3"/>
  <pageSetup orientation="landscape" r:id="rId1"/>
  <headerFooter alignWithMargins="0">
    <oddFooter>&amp;L&amp;"Arial,Regular"&amp;8&amp;F&amp;C&amp;A&amp;R&amp;"Arial,Regular"2017 GRC Compliance Filing
Docket No. UE-170033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M24" sqref="M24"/>
    </sheetView>
  </sheetViews>
  <sheetFormatPr defaultColWidth="5.88671875" defaultRowHeight="14.4" x14ac:dyDescent="0.3"/>
  <cols>
    <col min="1" max="1" width="2.33203125" bestFit="1" customWidth="1"/>
    <col min="2" max="2" width="40.21875" bestFit="1" customWidth="1"/>
    <col min="3" max="3" width="6.33203125" bestFit="1" customWidth="1"/>
    <col min="4" max="4" width="7.33203125" bestFit="1" customWidth="1"/>
    <col min="5" max="5" width="6.33203125" bestFit="1" customWidth="1"/>
    <col min="6" max="6" width="7.33203125" bestFit="1" customWidth="1"/>
  </cols>
  <sheetData>
    <row r="1" spans="1:6" ht="15.6" x14ac:dyDescent="0.3">
      <c r="A1" s="177"/>
      <c r="B1" s="178" t="str">
        <f ca="1">'[3]Pg 1 CofCap'!B1</f>
        <v>PUGET SOUND ENERGY, INC.</v>
      </c>
      <c r="C1" s="178"/>
      <c r="D1" s="178"/>
      <c r="E1" s="178"/>
      <c r="F1" s="178"/>
    </row>
    <row r="2" spans="1:6" x14ac:dyDescent="0.3">
      <c r="A2" s="179"/>
      <c r="B2" s="180"/>
      <c r="C2" s="180"/>
      <c r="D2" s="180"/>
      <c r="E2" s="180"/>
      <c r="F2" s="180"/>
    </row>
    <row r="3" spans="1:6" ht="15.6" x14ac:dyDescent="0.3">
      <c r="A3" s="177"/>
      <c r="B3" s="259" t="str">
        <f ca="1">'[3]Pg 1 CofCap'!B3</f>
        <v>Utility Capital Structure</v>
      </c>
      <c r="C3" s="259"/>
      <c r="D3" s="259"/>
      <c r="E3" s="259"/>
      <c r="F3" s="259"/>
    </row>
    <row r="4" spans="1:6" ht="15.6" x14ac:dyDescent="0.3">
      <c r="A4" s="177"/>
      <c r="B4" s="260" t="str">
        <f ca="1">'[3]Pg 1 CofCap'!B4</f>
        <v>Settlement Cost of Capital and Rate of Return</v>
      </c>
      <c r="C4" s="260"/>
      <c r="D4" s="260"/>
      <c r="E4" s="260"/>
      <c r="F4" s="260"/>
    </row>
    <row r="5" spans="1:6" x14ac:dyDescent="0.3">
      <c r="A5" s="181" t="str">
        <f ca="1">'[3]Pg 1 CofCap'!A5</f>
        <v>Requested For Rate Year January 2018 through December 2018</v>
      </c>
      <c r="B5" s="182"/>
      <c r="C5" s="181"/>
      <c r="D5" s="181"/>
      <c r="E5" s="181"/>
      <c r="F5" s="181"/>
    </row>
    <row r="6" spans="1:6" x14ac:dyDescent="0.3">
      <c r="A6" s="183"/>
      <c r="B6" s="177"/>
      <c r="C6" s="184"/>
      <c r="D6" s="177"/>
      <c r="E6" s="177"/>
      <c r="F6" s="177"/>
    </row>
    <row r="7" spans="1:6" x14ac:dyDescent="0.3">
      <c r="A7" s="183"/>
      <c r="B7" s="185"/>
      <c r="C7" s="185"/>
      <c r="D7" s="185"/>
      <c r="E7" s="185"/>
      <c r="F7" s="185"/>
    </row>
    <row r="8" spans="1:6" x14ac:dyDescent="0.3">
      <c r="A8" s="186">
        <f ca="1">'[3]Pg 1 CofCap'!A8</f>
        <v>1</v>
      </c>
      <c r="B8" s="187" t="str">
        <f ca="1">'[3]Pg 1 CofCap'!B8</f>
        <v>(A)</v>
      </c>
      <c r="C8" s="187" t="str">
        <f ca="1">'[3]Pg 1 CofCap'!C8</f>
        <v>(B)</v>
      </c>
      <c r="D8" s="187" t="str">
        <f ca="1">'[3]Pg 1 CofCap'!D8</f>
        <v>(C)</v>
      </c>
      <c r="E8" s="187" t="str">
        <f ca="1">'[3]Pg 1 CofCap'!E8</f>
        <v>(D)</v>
      </c>
      <c r="F8" s="187" t="str">
        <f ca="1">'[3]Pg 1 CofCap'!F8</f>
        <v>(E)</v>
      </c>
    </row>
    <row r="9" spans="1:6" x14ac:dyDescent="0.3">
      <c r="A9" s="186">
        <f ca="1">'[3]Pg 1 CofCap'!A9</f>
        <v>2</v>
      </c>
      <c r="B9" s="261" t="str">
        <f ca="1">'[3]Pg 1 CofCap'!B9</f>
        <v>General Rate Case Request</v>
      </c>
      <c r="C9" s="262"/>
      <c r="D9" s="262"/>
      <c r="E9" s="262"/>
      <c r="F9" s="263"/>
    </row>
    <row r="10" spans="1:6" x14ac:dyDescent="0.3">
      <c r="A10" s="186">
        <f ca="1">'[3]Pg 1 CofCap'!A10</f>
        <v>3</v>
      </c>
      <c r="B10" s="188"/>
      <c r="C10" s="188"/>
      <c r="D10" s="188"/>
      <c r="E10" s="188"/>
      <c r="F10" s="188"/>
    </row>
    <row r="11" spans="1:6" x14ac:dyDescent="0.3">
      <c r="A11" s="186">
        <f ca="1">'[3]Pg 1 CofCap'!A11</f>
        <v>4</v>
      </c>
      <c r="B11" s="187"/>
      <c r="C11" s="187"/>
      <c r="D11" s="189"/>
      <c r="E11" s="190" t="str">
        <f ca="1">'[3]Pg 1 CofCap'!E11</f>
        <v>Cost</v>
      </c>
      <c r="F11" s="190" t="str">
        <f ca="1">'[3]Pg 1 CofCap'!F11</f>
        <v>Cost of</v>
      </c>
    </row>
    <row r="12" spans="1:6" x14ac:dyDescent="0.3">
      <c r="A12" s="186">
        <f ca="1">'[3]Pg 1 CofCap'!A12</f>
        <v>5</v>
      </c>
      <c r="B12" s="191" t="str">
        <f ca="1">'[3]Pg 1 CofCap'!B12</f>
        <v>Description</v>
      </c>
      <c r="C12" s="192"/>
      <c r="D12" s="192" t="str">
        <f ca="1">'[3]Pg 1 CofCap'!D12</f>
        <v>Ratio</v>
      </c>
      <c r="E12" s="192" t="str">
        <f ca="1">'[3]Pg 1 CofCap'!E12</f>
        <v>Rates</v>
      </c>
      <c r="F12" s="192" t="str">
        <f ca="1">'[3]Pg 1 CofCap'!F12</f>
        <v>Capital</v>
      </c>
    </row>
    <row r="13" spans="1:6" x14ac:dyDescent="0.3">
      <c r="A13" s="186">
        <f ca="1">'[3]Pg 1 CofCap'!A13</f>
        <v>6</v>
      </c>
      <c r="B13" s="193"/>
      <c r="C13" s="187"/>
      <c r="D13" s="187"/>
      <c r="E13" s="187"/>
      <c r="F13" s="187"/>
    </row>
    <row r="14" spans="1:6" x14ac:dyDescent="0.3">
      <c r="A14" s="186">
        <f ca="1">'[3]Pg 1 CofCap'!A14</f>
        <v>7</v>
      </c>
      <c r="B14" s="194" t="str">
        <f ca="1">'[3]Pg 1 CofCap'!B14</f>
        <v>Marginal Short-Term Debt Rate</v>
      </c>
      <c r="C14" s="187"/>
      <c r="D14" s="195">
        <f ca="1">'[3]Pg 1 CofCap'!D14</f>
        <v>0.01</v>
      </c>
      <c r="E14" s="196">
        <f ca="1">'[3]Pg 1 CofCap'!E14</f>
        <v>3.0599999999999999E-2</v>
      </c>
      <c r="F14" s="196">
        <f ca="1">'[3]Pg 1 CofCap'!F14</f>
        <v>2.9999999999999997E-4</v>
      </c>
    </row>
    <row r="15" spans="1:6" x14ac:dyDescent="0.3">
      <c r="A15" s="186">
        <f ca="1">'[3]Pg 1 CofCap'!A15</f>
        <v>8</v>
      </c>
      <c r="B15" s="197" t="str">
        <f ca="1">'[3]Pg 1 CofCap'!B15</f>
        <v>Commitment Fees</v>
      </c>
      <c r="C15" s="187"/>
      <c r="D15" s="195"/>
      <c r="E15" s="196"/>
      <c r="F15" s="196">
        <f ca="1">'[3]Pg 1 CofCap'!F15</f>
        <v>2.0000000000000001E-4</v>
      </c>
    </row>
    <row r="16" spans="1:6" x14ac:dyDescent="0.3">
      <c r="A16" s="186">
        <f ca="1">'[3]Pg 1 CofCap'!A16</f>
        <v>9</v>
      </c>
      <c r="B16" s="198" t="str">
        <f ca="1">'[3]Pg 1 CofCap'!B16</f>
        <v xml:space="preserve">Amortization of Short-Term Debt Issue Cost </v>
      </c>
      <c r="C16" s="199"/>
      <c r="D16" s="200"/>
      <c r="E16" s="201"/>
      <c r="F16" s="201">
        <f ca="1">'[3]Pg 1 CofCap'!F16</f>
        <v>1E-4</v>
      </c>
    </row>
    <row r="17" spans="1:6" x14ac:dyDescent="0.3">
      <c r="A17" s="186">
        <f ca="1">'[3]Pg 1 CofCap'!A17</f>
        <v>10</v>
      </c>
      <c r="B17" s="202" t="str">
        <f ca="1">'[3]Pg 1 CofCap'!B17</f>
        <v>Weighted Short-Term Debt Rate</v>
      </c>
      <c r="C17" s="187"/>
      <c r="D17" s="195"/>
      <c r="E17" s="196"/>
      <c r="F17" s="203">
        <f ca="1">'[3]Pg 1 CofCap'!F17</f>
        <v>6.0000000000000006E-4</v>
      </c>
    </row>
    <row r="18" spans="1:6" x14ac:dyDescent="0.3">
      <c r="A18" s="186">
        <f ca="1">'[3]Pg 1 CofCap'!A18</f>
        <v>11</v>
      </c>
      <c r="B18" s="194" t="str">
        <f ca="1">'[3]Pg 1 CofCap'!B18</f>
        <v>Marginal Long-Term Debt Rate</v>
      </c>
      <c r="C18" s="204"/>
      <c r="D18" s="195">
        <f ca="1">'[3]Pg 1 CofCap'!D18</f>
        <v>0.505</v>
      </c>
      <c r="E18" s="196">
        <f ca="1">'[3]Pg 1 CofCap'!E18</f>
        <v>5.7332756117079067E-2</v>
      </c>
      <c r="F18" s="196">
        <f ca="1">'[3]Pg 1 CofCap'!F18</f>
        <v>2.9000000000000001E-2</v>
      </c>
    </row>
    <row r="19" spans="1:6" x14ac:dyDescent="0.3">
      <c r="A19" s="186">
        <f ca="1">'[3]Pg 1 CofCap'!A19</f>
        <v>12</v>
      </c>
      <c r="B19" s="198" t="str">
        <f ca="1">'[3]Pg 1 CofCap'!B19</f>
        <v>Amortization of Reacquired Debt</v>
      </c>
      <c r="C19" s="199"/>
      <c r="D19" s="200"/>
      <c r="E19" s="201"/>
      <c r="F19" s="201">
        <f ca="1">'[3]Pg 1 CofCap'!F19</f>
        <v>2.9999999999999997E-4</v>
      </c>
    </row>
    <row r="20" spans="1:6" x14ac:dyDescent="0.3">
      <c r="A20" s="186">
        <f ca="1">'[3]Pg 1 CofCap'!A20</f>
        <v>13</v>
      </c>
      <c r="B20" s="205" t="str">
        <f ca="1">'[3]Pg 1 CofCap'!B20</f>
        <v>Weighted Long-Term Debt Rate</v>
      </c>
      <c r="C20" s="206"/>
      <c r="D20" s="207"/>
      <c r="E20" s="208"/>
      <c r="F20" s="209">
        <f ca="1">'[3]Pg 1 CofCap'!F20</f>
        <v>2.9300000000000003E-2</v>
      </c>
    </row>
    <row r="21" spans="1:6" x14ac:dyDescent="0.3">
      <c r="A21" s="186">
        <f ca="1">'[3]Pg 1 CofCap'!A21</f>
        <v>14</v>
      </c>
      <c r="B21" s="210" t="str">
        <f ca="1">'[3]Pg 1 CofCap'!B21</f>
        <v>Total Debt</v>
      </c>
      <c r="C21" s="187"/>
      <c r="D21" s="211">
        <f ca="1">'[3]Pg 1 CofCap'!D21</f>
        <v>0.51500000000000001</v>
      </c>
      <c r="E21" s="196">
        <f ca="1">'[3]Pg 1 CofCap'!E21</f>
        <v>5.8058252427184473E-2</v>
      </c>
      <c r="F21" s="203">
        <f ca="1">'[3]Pg 1 CofCap'!F21</f>
        <v>2.9900000000000003E-2</v>
      </c>
    </row>
    <row r="22" spans="1:6" x14ac:dyDescent="0.3">
      <c r="A22" s="186">
        <f ca="1">'[3]Pg 1 CofCap'!A22</f>
        <v>15</v>
      </c>
      <c r="B22" s="210" t="str">
        <f ca="1">'[3]Pg 1 CofCap'!B22</f>
        <v>Common Equity</v>
      </c>
      <c r="C22" s="187"/>
      <c r="D22" s="212">
        <f ca="1">'[3]Pg 1 CofCap'!D22</f>
        <v>0.48499999999999999</v>
      </c>
      <c r="E22" s="213">
        <f ca="1">'[3]Pg 1 CofCap'!E22</f>
        <v>9.5000000000000001E-2</v>
      </c>
      <c r="F22" s="214">
        <f ca="1">'[3]Pg 1 CofCap'!F22</f>
        <v>4.6100000000000002E-2</v>
      </c>
    </row>
    <row r="23" spans="1:6" x14ac:dyDescent="0.3">
      <c r="A23" s="186">
        <f ca="1">'[3]Pg 1 CofCap'!A23</f>
        <v>16</v>
      </c>
      <c r="B23" s="210" t="str">
        <f ca="1">'[3]Pg 1 CofCap'!B23</f>
        <v xml:space="preserve">Total </v>
      </c>
      <c r="C23" s="215"/>
      <c r="D23" s="216">
        <f ca="1">'[3]Pg 1 CofCap'!D23</f>
        <v>1</v>
      </c>
      <c r="E23" s="196"/>
      <c r="F23" s="217">
        <f ca="1">'[3]Pg 1 CofCap'!F23</f>
        <v>7.6000000000000012E-2</v>
      </c>
    </row>
    <row r="24" spans="1:6" x14ac:dyDescent="0.3">
      <c r="A24" s="177"/>
      <c r="B24" s="177"/>
      <c r="C24" s="177"/>
      <c r="D24" s="218"/>
      <c r="E24" s="177"/>
      <c r="F24" s="177"/>
    </row>
    <row r="25" spans="1:6" x14ac:dyDescent="0.3">
      <c r="A25" s="177"/>
      <c r="B25" s="219" t="str">
        <f ca="1">'[3]Pg 1 CofCap'!B25</f>
        <v>Adapted from Exhibit No. BJL-04</v>
      </c>
      <c r="C25" s="220"/>
      <c r="D25" s="218"/>
      <c r="E25" s="177"/>
      <c r="F25" s="177"/>
    </row>
  </sheetData>
  <mergeCells count="3">
    <mergeCell ref="B3:F3"/>
    <mergeCell ref="B4:F4"/>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activeCell="A57" sqref="A57:XFD57"/>
    </sheetView>
  </sheetViews>
  <sheetFormatPr defaultColWidth="9.109375" defaultRowHeight="13.2" x14ac:dyDescent="0.25"/>
  <cols>
    <col min="1" max="1" width="14.5546875" style="2" customWidth="1"/>
    <col min="2" max="2" width="19.77734375" style="2" customWidth="1"/>
    <col min="3" max="3" width="18.44140625" style="2" customWidth="1"/>
    <col min="4" max="4" width="17.77734375" style="2" customWidth="1"/>
    <col min="5" max="16384" width="9.109375" style="2"/>
  </cols>
  <sheetData>
    <row r="1" spans="1:5" ht="15.6" x14ac:dyDescent="0.3">
      <c r="A1" s="222" t="s">
        <v>47</v>
      </c>
      <c r="B1" s="222"/>
      <c r="C1" s="223"/>
      <c r="D1" s="223"/>
    </row>
    <row r="2" spans="1:5" ht="25.2" customHeight="1" x14ac:dyDescent="0.25">
      <c r="A2" s="224" t="str">
        <f ca="1">CONCATENATE("Docket No. UE-170033 + Weighted Cost of Capital = ",('Lvl FCR Sub Equip'!L9*100),"0% + 49 Year Substation Plant Life + 35 Year Feeder Plant Life")</f>
        <v>Docket No. UE-170033 + Weighted Cost of Capital = 7.60% + 49 Year Substation Plant Life + 35 Year Feeder Plant Life</v>
      </c>
      <c r="B2" s="224"/>
      <c r="C2" s="224"/>
      <c r="D2" s="224"/>
    </row>
    <row r="3" spans="1:5" x14ac:dyDescent="0.25">
      <c r="A3" s="225" t="s">
        <v>48</v>
      </c>
      <c r="B3" s="225"/>
      <c r="C3" s="225"/>
      <c r="D3" s="225"/>
    </row>
    <row r="4" spans="1:5" x14ac:dyDescent="0.25">
      <c r="A4" s="64"/>
      <c r="B4" s="64"/>
      <c r="C4" s="64"/>
      <c r="D4" s="64"/>
    </row>
    <row r="5" spans="1:5" ht="15" customHeight="1" thickBot="1" x14ac:dyDescent="0.3">
      <c r="A5" s="65"/>
      <c r="B5" s="226" t="s">
        <v>43</v>
      </c>
      <c r="C5" s="226"/>
      <c r="D5" s="226"/>
    </row>
    <row r="6" spans="1:5" ht="40.200000000000003" thickBot="1" x14ac:dyDescent="0.3">
      <c r="A6" s="20" t="s">
        <v>26</v>
      </c>
      <c r="B6" s="46" t="s">
        <v>37</v>
      </c>
      <c r="C6" s="47" t="s">
        <v>35</v>
      </c>
      <c r="D6" s="47" t="s">
        <v>36</v>
      </c>
    </row>
    <row r="7" spans="1:5" x14ac:dyDescent="0.25">
      <c r="A7" s="28">
        <v>0</v>
      </c>
      <c r="B7" s="48">
        <f ca="1">+'LvlFCR Land'!G7</f>
        <v>9.1354726579609066E-2</v>
      </c>
      <c r="C7" s="17">
        <f ca="1">+'FCR Rates Feeder'!D5</f>
        <v>8.9372582615905138E-2</v>
      </c>
      <c r="D7" s="16">
        <f ca="1">+'FCR Rates Sub'!I5</f>
        <v>0.10055297513164314</v>
      </c>
      <c r="E7" s="10"/>
    </row>
    <row r="8" spans="1:5" x14ac:dyDescent="0.25">
      <c r="A8" s="28">
        <v>1</v>
      </c>
      <c r="B8" s="49"/>
      <c r="C8" s="17">
        <f ca="1">+'FCR Rates Feeder'!D6</f>
        <v>8.93939629923301E-2</v>
      </c>
      <c r="D8" s="16">
        <f ca="1">+'FCR Rates Sub'!I6</f>
        <v>9.9985576167679099E-2</v>
      </c>
      <c r="E8" s="10"/>
    </row>
    <row r="9" spans="1:5" x14ac:dyDescent="0.25">
      <c r="A9" s="28">
        <f t="shared" ref="A9:A56" si="0">A8+1</f>
        <v>2</v>
      </c>
      <c r="B9" s="49"/>
      <c r="C9" s="17">
        <f ca="1">+'FCR Rates Feeder'!D7</f>
        <v>8.9572536277129175E-2</v>
      </c>
      <c r="D9" s="16">
        <f ca="1">+'FCR Rates Sub'!I7</f>
        <v>9.9612111045201887E-2</v>
      </c>
      <c r="E9" s="10"/>
    </row>
    <row r="10" spans="1:5" x14ac:dyDescent="0.25">
      <c r="A10" s="28">
        <f t="shared" si="0"/>
        <v>3</v>
      </c>
      <c r="B10" s="49"/>
      <c r="C10" s="17">
        <f ca="1">+'FCR Rates Feeder'!D8</f>
        <v>8.9818076622133231E-2</v>
      </c>
      <c r="D10" s="16">
        <f ca="1">+'FCR Rates Sub'!I8</f>
        <v>9.9259681469330549E-2</v>
      </c>
      <c r="E10" s="10"/>
    </row>
    <row r="11" spans="1:5" x14ac:dyDescent="0.25">
      <c r="A11" s="28">
        <f t="shared" si="0"/>
        <v>4</v>
      </c>
      <c r="B11" s="49"/>
      <c r="C11" s="17">
        <f ca="1">+'FCR Rates Feeder'!D9</f>
        <v>9.0132176752108287E-2</v>
      </c>
      <c r="D11" s="16">
        <f ca="1">+'FCR Rates Sub'!I9</f>
        <v>9.8917329835737006E-2</v>
      </c>
      <c r="E11" s="10"/>
    </row>
    <row r="12" spans="1:5" x14ac:dyDescent="0.25">
      <c r="A12" s="28">
        <f t="shared" si="0"/>
        <v>5</v>
      </c>
      <c r="B12" s="49"/>
      <c r="C12" s="17">
        <f ca="1">+'FCR Rates Feeder'!D10</f>
        <v>9.0516064949685726E-2</v>
      </c>
      <c r="D12" s="16">
        <f ca="1">+'FCR Rates Sub'!I10</f>
        <v>9.8572141687167159E-2</v>
      </c>
      <c r="E12" s="10"/>
    </row>
    <row r="13" spans="1:5" x14ac:dyDescent="0.25">
      <c r="A13" s="28">
        <f t="shared" si="0"/>
        <v>6</v>
      </c>
      <c r="B13" s="49"/>
      <c r="C13" s="17">
        <f ca="1">+'FCR Rates Feeder'!D11</f>
        <v>9.0975656829447943E-2</v>
      </c>
      <c r="D13" s="16">
        <f ca="1">+'FCR Rates Sub'!I11</f>
        <v>9.8217281170201107E-2</v>
      </c>
      <c r="E13" s="10"/>
    </row>
    <row r="14" spans="1:5" x14ac:dyDescent="0.25">
      <c r="A14" s="28">
        <f t="shared" si="0"/>
        <v>7</v>
      </c>
      <c r="B14" s="49"/>
      <c r="C14" s="17">
        <f ca="1">+'FCR Rates Feeder'!D12</f>
        <v>9.1514156859175882E-2</v>
      </c>
      <c r="D14" s="16">
        <f ca="1">+'FCR Rates Sub'!I12</f>
        <v>9.7839477750319009E-2</v>
      </c>
      <c r="E14" s="10"/>
    </row>
    <row r="15" spans="1:5" x14ac:dyDescent="0.25">
      <c r="A15" s="28">
        <f t="shared" si="0"/>
        <v>8</v>
      </c>
      <c r="B15" s="49"/>
      <c r="C15" s="17">
        <f ca="1">+'FCR Rates Feeder'!D13</f>
        <v>9.2134584573126857E-2</v>
      </c>
      <c r="D15" s="16">
        <f ca="1">+'FCR Rates Sub'!I13</f>
        <v>9.7423186834848061E-2</v>
      </c>
      <c r="E15" s="10"/>
    </row>
    <row r="16" spans="1:5" x14ac:dyDescent="0.25">
      <c r="A16" s="28">
        <f t="shared" si="0"/>
        <v>9</v>
      </c>
      <c r="B16" s="49"/>
      <c r="C16" s="17">
        <f ca="1">+'FCR Rates Feeder'!D14</f>
        <v>9.2863655117495059E-2</v>
      </c>
      <c r="D16" s="16">
        <f ca="1">+'FCR Rates Sub'!I14</f>
        <v>9.6986081373603553E-2</v>
      </c>
      <c r="E16" s="10"/>
    </row>
    <row r="17" spans="1:5" x14ac:dyDescent="0.25">
      <c r="A17" s="28">
        <f t="shared" si="0"/>
        <v>10</v>
      </c>
      <c r="B17" s="49"/>
      <c r="C17" s="17">
        <f ca="1">+'FCR Rates Feeder'!D15</f>
        <v>9.371900028296011E-2</v>
      </c>
      <c r="D17" s="16">
        <f ca="1">+'FCR Rates Sub'!I15</f>
        <v>9.6526560247679818E-2</v>
      </c>
      <c r="E17" s="10"/>
    </row>
    <row r="18" spans="1:5" x14ac:dyDescent="0.25">
      <c r="A18" s="28">
        <f t="shared" si="0"/>
        <v>11</v>
      </c>
      <c r="B18" s="49"/>
      <c r="C18" s="17">
        <f ca="1">+'FCR Rates Feeder'!D16</f>
        <v>9.4721818336803973E-2</v>
      </c>
      <c r="D18" s="16">
        <f ca="1">+'FCR Rates Sub'!I16</f>
        <v>9.6169843043430431E-2</v>
      </c>
      <c r="E18" s="10"/>
    </row>
    <row r="19" spans="1:5" x14ac:dyDescent="0.25">
      <c r="A19" s="28">
        <f t="shared" si="0"/>
        <v>12</v>
      </c>
      <c r="B19" s="49"/>
      <c r="C19" s="17">
        <f ca="1">+'FCR Rates Feeder'!D17</f>
        <v>9.5897790349641604E-2</v>
      </c>
      <c r="D19" s="16">
        <f ca="1">+'FCR Rates Sub'!I17</f>
        <v>9.5932887081696686E-2</v>
      </c>
      <c r="E19" s="10"/>
    </row>
    <row r="20" spans="1:5" x14ac:dyDescent="0.25">
      <c r="A20" s="28">
        <f t="shared" si="0"/>
        <v>13</v>
      </c>
      <c r="B20" s="49"/>
      <c r="C20" s="17">
        <f ca="1">+'FCR Rates Feeder'!D18</f>
        <v>9.7278287260613203E-2</v>
      </c>
      <c r="D20" s="16">
        <f ca="1">+'FCR Rates Sub'!I18</f>
        <v>9.5786316518425424E-2</v>
      </c>
      <c r="E20" s="10"/>
    </row>
    <row r="21" spans="1:5" x14ac:dyDescent="0.25">
      <c r="A21" s="28">
        <f t="shared" si="0"/>
        <v>14</v>
      </c>
      <c r="B21" s="49"/>
      <c r="C21" s="17">
        <f ca="1">+'FCR Rates Feeder'!D19</f>
        <v>9.8901978890415465E-2</v>
      </c>
      <c r="D21" s="16">
        <f ca="1">+'FCR Rates Sub'!I19</f>
        <v>9.5745973295095682E-2</v>
      </c>
      <c r="E21" s="10"/>
    </row>
    <row r="22" spans="1:5" x14ac:dyDescent="0.25">
      <c r="A22" s="28">
        <f t="shared" si="0"/>
        <v>15</v>
      </c>
      <c r="B22" s="49"/>
      <c r="C22" s="17">
        <f ca="1">+'FCR Rates Feeder'!D20</f>
        <v>0.10081700659633357</v>
      </c>
      <c r="D22" s="16">
        <f ca="1">+'FCR Rates Sub'!I20</f>
        <v>9.5830196396109957E-2</v>
      </c>
      <c r="E22" s="10"/>
    </row>
    <row r="23" spans="1:5" x14ac:dyDescent="0.25">
      <c r="A23" s="28">
        <f t="shared" si="0"/>
        <v>16</v>
      </c>
      <c r="B23" s="49"/>
      <c r="C23" s="17">
        <f ca="1">+'FCR Rates Feeder'!D21</f>
        <v>0.10308395865366585</v>
      </c>
      <c r="D23" s="16">
        <f ca="1">+'FCR Rates Sub'!I21</f>
        <v>9.6060249776773785E-2</v>
      </c>
      <c r="E23" s="10"/>
    </row>
    <row r="24" spans="1:5" x14ac:dyDescent="0.25">
      <c r="A24" s="28">
        <f t="shared" si="0"/>
        <v>17</v>
      </c>
      <c r="B24" s="49"/>
      <c r="C24" s="17">
        <f ca="1">+'FCR Rates Feeder'!D22</f>
        <v>0.10578000844541775</v>
      </c>
      <c r="D24" s="16">
        <f ca="1">+'FCR Rates Sub'!I22</f>
        <v>9.6460834414242094E-2</v>
      </c>
      <c r="E24" s="10"/>
    </row>
    <row r="25" spans="1:5" x14ac:dyDescent="0.25">
      <c r="A25" s="28">
        <f t="shared" si="0"/>
        <v>18</v>
      </c>
      <c r="B25" s="49"/>
      <c r="C25" s="17">
        <f ca="1">+'FCR Rates Feeder'!D23</f>
        <v>0.10900476885770152</v>
      </c>
      <c r="D25" s="16">
        <f ca="1">+'FCR Rates Sub'!I23</f>
        <v>9.7060703781840674E-2</v>
      </c>
      <c r="E25" s="10"/>
    </row>
    <row r="26" spans="1:5" x14ac:dyDescent="0.25">
      <c r="A26" s="28">
        <f t="shared" si="0"/>
        <v>19</v>
      </c>
      <c r="B26" s="49"/>
      <c r="C26" s="17">
        <f ca="1">+'FCR Rates Feeder'!D24</f>
        <v>0.11288873259631342</v>
      </c>
      <c r="D26" s="16">
        <f ca="1">+'FCR Rates Sub'!I24</f>
        <v>9.7893407217892386E-2</v>
      </c>
      <c r="E26" s="10"/>
    </row>
    <row r="27" spans="1:5" x14ac:dyDescent="0.25">
      <c r="A27" s="28">
        <f t="shared" si="0"/>
        <v>20</v>
      </c>
      <c r="B27" s="49"/>
      <c r="C27" s="17">
        <f ca="1">+'FCR Rates Feeder'!D25</f>
        <v>0.11760569960438103</v>
      </c>
      <c r="D27" s="16">
        <f ca="1">+'FCR Rates Sub'!I25</f>
        <v>9.8998192437485213E-2</v>
      </c>
      <c r="E27" s="10"/>
    </row>
    <row r="28" spans="1:5" x14ac:dyDescent="0.25">
      <c r="A28" s="28">
        <f t="shared" si="0"/>
        <v>21</v>
      </c>
      <c r="B28" s="49"/>
      <c r="C28" s="17">
        <f ca="1">+'FCR Rates Feeder'!D26</f>
        <v>0.12297683193566911</v>
      </c>
      <c r="D28" s="16">
        <f ca="1">+'FCR Rates Sub'!I26</f>
        <v>0.10006258588367062</v>
      </c>
      <c r="E28" s="10"/>
    </row>
    <row r="29" spans="1:5" x14ac:dyDescent="0.25">
      <c r="A29" s="28">
        <f t="shared" si="0"/>
        <v>22</v>
      </c>
      <c r="B29" s="49"/>
      <c r="C29" s="17">
        <f ca="1">+'FCR Rates Feeder'!D27</f>
        <v>0.12914303943838007</v>
      </c>
      <c r="D29" s="16">
        <f ca="1">+'FCR Rates Sub'!I27</f>
        <v>0.10107637450967134</v>
      </c>
      <c r="E29" s="10"/>
    </row>
    <row r="30" spans="1:5" x14ac:dyDescent="0.25">
      <c r="A30" s="28">
        <f t="shared" si="0"/>
        <v>23</v>
      </c>
      <c r="B30" s="49"/>
      <c r="C30" s="17">
        <f ca="1">+'FCR Rates Feeder'!D28</f>
        <v>0.13648155587681532</v>
      </c>
      <c r="D30" s="16">
        <f ca="1">+'FCR Rates Sub'!I28</f>
        <v>0.10216814687613364</v>
      </c>
      <c r="E30" s="10"/>
    </row>
    <row r="31" spans="1:5" x14ac:dyDescent="0.25">
      <c r="A31" s="28">
        <f t="shared" si="0"/>
        <v>24</v>
      </c>
      <c r="B31" s="49"/>
      <c r="C31" s="17">
        <f ca="1">+'FCR Rates Feeder'!D29</f>
        <v>0.14533608713281182</v>
      </c>
      <c r="D31" s="16">
        <f ca="1">+'FCR Rates Sub'!I29</f>
        <v>0.10334726103191294</v>
      </c>
      <c r="E31" s="10"/>
    </row>
    <row r="32" spans="1:5" x14ac:dyDescent="0.25">
      <c r="A32" s="28">
        <f t="shared" si="0"/>
        <v>25</v>
      </c>
      <c r="B32" s="49"/>
      <c r="C32" s="17">
        <f ca="1">+'FCR Rates Feeder'!D30</f>
        <v>0.15619786542009914</v>
      </c>
      <c r="D32" s="16">
        <f ca="1">+'FCR Rates Sub'!I30</f>
        <v>0.10462463470067378</v>
      </c>
      <c r="E32" s="10"/>
    </row>
    <row r="33" spans="1:5" x14ac:dyDescent="0.25">
      <c r="A33" s="28">
        <f t="shared" si="0"/>
        <v>26</v>
      </c>
      <c r="B33" s="49"/>
      <c r="C33" s="17">
        <f ca="1">+'FCR Rates Feeder'!D31</f>
        <v>0.16979384787703997</v>
      </c>
      <c r="D33" s="16">
        <f ca="1">+'FCR Rates Sub'!I31</f>
        <v>0.10601308434063127</v>
      </c>
      <c r="E33" s="10"/>
    </row>
    <row r="34" spans="1:5" x14ac:dyDescent="0.25">
      <c r="A34" s="28">
        <f t="shared" si="0"/>
        <v>27</v>
      </c>
      <c r="B34" s="49"/>
      <c r="C34" s="17">
        <f ca="1">+'FCR Rates Feeder'!D32</f>
        <v>0.18724633233402441</v>
      </c>
      <c r="D34" s="16">
        <f ca="1">+'FCR Rates Sub'!I32</f>
        <v>0.10752775667513036</v>
      </c>
      <c r="E34" s="10"/>
    </row>
    <row r="35" spans="1:5" x14ac:dyDescent="0.25">
      <c r="A35" s="28">
        <f t="shared" si="0"/>
        <v>28</v>
      </c>
      <c r="B35" s="49"/>
      <c r="C35" s="17">
        <f ca="1">+'FCR Rates Feeder'!D33</f>
        <v>0.21038142799078391</v>
      </c>
      <c r="D35" s="16">
        <f ca="1">+'FCR Rates Sub'!I33</f>
        <v>0.10918668351767695</v>
      </c>
      <c r="E35" s="10"/>
    </row>
    <row r="36" spans="1:5" x14ac:dyDescent="0.25">
      <c r="A36" s="28">
        <f t="shared" si="0"/>
        <v>29</v>
      </c>
      <c r="B36" s="49"/>
      <c r="C36" s="17">
        <f ca="1">+'FCR Rates Feeder'!D34</f>
        <v>0.24237643431574435</v>
      </c>
      <c r="D36" s="16">
        <f ca="1">+'FCR Rates Sub'!I34</f>
        <v>0.11101150304447822</v>
      </c>
      <c r="E36" s="10"/>
    </row>
    <row r="37" spans="1:5" x14ac:dyDescent="0.25">
      <c r="A37" s="28">
        <f t="shared" si="0"/>
        <v>30</v>
      </c>
      <c r="B37" s="49"/>
      <c r="C37" s="17">
        <f ca="1">+'FCR Rates Feeder'!D35</f>
        <v>0.28927173406727447</v>
      </c>
      <c r="D37" s="16">
        <f ca="1">+'FCR Rates Sub'!I35</f>
        <v>0.11302840883725855</v>
      </c>
      <c r="E37" s="10"/>
    </row>
    <row r="38" spans="1:5" x14ac:dyDescent="0.25">
      <c r="A38" s="28">
        <f t="shared" si="0"/>
        <v>31</v>
      </c>
      <c r="B38" s="49"/>
      <c r="C38" s="17">
        <f ca="1">+'FCR Rates Feeder'!D36</f>
        <v>0.364051854003211</v>
      </c>
      <c r="D38" s="16">
        <f ca="1">+'FCR Rates Sub'!I36</f>
        <v>0.11526941527368116</v>
      </c>
      <c r="E38" s="10"/>
    </row>
    <row r="39" spans="1:5" x14ac:dyDescent="0.25">
      <c r="A39" s="28">
        <f t="shared" si="0"/>
        <v>32</v>
      </c>
      <c r="B39" s="49"/>
      <c r="C39" s="17">
        <f ca="1">+'FCR Rates Feeder'!D37</f>
        <v>0.5002278809951437</v>
      </c>
      <c r="D39" s="16">
        <f ca="1">+'FCR Rates Sub'!I37</f>
        <v>0.11777406952615349</v>
      </c>
      <c r="E39" s="10"/>
    </row>
    <row r="40" spans="1:5" x14ac:dyDescent="0.25">
      <c r="A40" s="28">
        <f t="shared" si="0"/>
        <v>33</v>
      </c>
      <c r="B40" s="49"/>
      <c r="C40" s="17">
        <f ca="1">+'FCR Rates Feeder'!D38</f>
        <v>0.81520695045066449</v>
      </c>
      <c r="D40" s="16">
        <f ca="1">+'FCR Rates Sub'!I38</f>
        <v>0.12059180556018483</v>
      </c>
      <c r="E40" s="10"/>
    </row>
    <row r="41" spans="1:5" x14ac:dyDescent="0.25">
      <c r="A41" s="28">
        <f t="shared" si="0"/>
        <v>34</v>
      </c>
      <c r="B41" s="49"/>
      <c r="C41" s="17">
        <f ca="1">+'FCR Rates Feeder'!D39</f>
        <v>2.0985158257799204</v>
      </c>
      <c r="D41" s="16">
        <f ca="1">+'FCR Rates Sub'!I39</f>
        <v>0.12378523973208705</v>
      </c>
      <c r="E41" s="10"/>
    </row>
    <row r="42" spans="1:5" x14ac:dyDescent="0.25">
      <c r="A42" s="28">
        <f t="shared" si="0"/>
        <v>35</v>
      </c>
      <c r="B42" s="49"/>
      <c r="C42" s="17"/>
      <c r="D42" s="16">
        <f ca="1">+'FCR Rates Sub'!I40</f>
        <v>0.12743487878568954</v>
      </c>
      <c r="E42" s="10"/>
    </row>
    <row r="43" spans="1:5" x14ac:dyDescent="0.25">
      <c r="A43" s="28">
        <f t="shared" si="0"/>
        <v>36</v>
      </c>
      <c r="B43" s="49"/>
      <c r="C43" s="17"/>
      <c r="D43" s="16">
        <f ca="1">+'FCR Rates Sub'!I41</f>
        <v>0.12439026050006773</v>
      </c>
      <c r="E43" s="10"/>
    </row>
    <row r="44" spans="1:5" x14ac:dyDescent="0.25">
      <c r="A44" s="28">
        <f t="shared" si="0"/>
        <v>37</v>
      </c>
      <c r="B44" s="49"/>
      <c r="C44" s="17"/>
      <c r="D44" s="16">
        <f ca="1">+'FCR Rates Sub'!I42</f>
        <v>0.12066697456438914</v>
      </c>
      <c r="E44" s="10"/>
    </row>
    <row r="45" spans="1:5" x14ac:dyDescent="0.25">
      <c r="A45" s="28">
        <f t="shared" si="0"/>
        <v>38</v>
      </c>
      <c r="B45" s="49"/>
      <c r="C45" s="17"/>
      <c r="D45" s="16">
        <f ca="1">+'FCR Rates Sub'!I43</f>
        <v>0.11606573317250761</v>
      </c>
      <c r="E45" s="10"/>
    </row>
    <row r="46" spans="1:5" x14ac:dyDescent="0.25">
      <c r="A46" s="28">
        <f t="shared" si="0"/>
        <v>39</v>
      </c>
      <c r="B46" s="49"/>
      <c r="C46" s="17"/>
      <c r="D46" s="16">
        <f ca="1">+'FCR Rates Sub'!I44</f>
        <v>0.12205699665777235</v>
      </c>
      <c r="E46" s="10"/>
    </row>
    <row r="47" spans="1:5" x14ac:dyDescent="0.25">
      <c r="A47" s="28">
        <f t="shared" si="0"/>
        <v>40</v>
      </c>
      <c r="B47" s="49"/>
      <c r="C47" s="17"/>
      <c r="D47" s="16">
        <f ca="1">+'FCR Rates Sub'!I45</f>
        <v>0.12937965202865148</v>
      </c>
      <c r="E47" s="10"/>
    </row>
    <row r="48" spans="1:5" x14ac:dyDescent="0.25">
      <c r="A48" s="28">
        <f t="shared" si="0"/>
        <v>41</v>
      </c>
      <c r="B48" s="49"/>
      <c r="C48" s="17"/>
      <c r="D48" s="16">
        <f ca="1">+'FCR Rates Sub'!I46</f>
        <v>0.13853297124225036</v>
      </c>
      <c r="E48" s="10"/>
    </row>
    <row r="49" spans="1:5" x14ac:dyDescent="0.25">
      <c r="A49" s="28">
        <f t="shared" si="0"/>
        <v>42</v>
      </c>
      <c r="B49" s="49"/>
      <c r="C49" s="17"/>
      <c r="D49" s="16">
        <f ca="1">+'FCR Rates Sub'!I47</f>
        <v>0.15030152451687745</v>
      </c>
      <c r="E49" s="10"/>
    </row>
    <row r="50" spans="1:5" x14ac:dyDescent="0.25">
      <c r="A50" s="28">
        <f t="shared" si="0"/>
        <v>43</v>
      </c>
      <c r="B50" s="49"/>
      <c r="C50" s="17"/>
      <c r="D50" s="16">
        <f ca="1">+'FCR Rates Sub'!I48</f>
        <v>0.1506556606842763</v>
      </c>
      <c r="E50" s="10"/>
    </row>
    <row r="51" spans="1:5" x14ac:dyDescent="0.25">
      <c r="A51" s="28">
        <f t="shared" si="0"/>
        <v>44</v>
      </c>
      <c r="B51" s="49"/>
      <c r="C51" s="17"/>
      <c r="D51" s="16">
        <f ca="1">+'FCR Rates Sub'!I49</f>
        <v>0.1510268370493387</v>
      </c>
      <c r="E51" s="10"/>
    </row>
    <row r="52" spans="1:5" x14ac:dyDescent="0.25">
      <c r="A52" s="28">
        <f t="shared" si="0"/>
        <v>45</v>
      </c>
      <c r="B52" s="49"/>
      <c r="C52" s="17"/>
      <c r="D52" s="16">
        <f ca="1">+'FCR Rates Sub'!I50</f>
        <v>0.15141599540472925</v>
      </c>
      <c r="E52" s="10"/>
    </row>
    <row r="53" spans="1:5" x14ac:dyDescent="0.25">
      <c r="A53" s="28">
        <f t="shared" si="0"/>
        <v>46</v>
      </c>
      <c r="B53" s="49"/>
      <c r="C53" s="17"/>
      <c r="D53" s="16">
        <f ca="1">+'FCR Rates Sub'!I51</f>
        <v>0.15182413364663286</v>
      </c>
      <c r="E53" s="10"/>
    </row>
    <row r="54" spans="1:5" x14ac:dyDescent="0.25">
      <c r="A54" s="28">
        <f t="shared" si="0"/>
        <v>47</v>
      </c>
      <c r="B54" s="49"/>
      <c r="C54" s="17"/>
      <c r="D54" s="16">
        <f ca="1">+'FCR Rates Sub'!I52</f>
        <v>0.152252309276872</v>
      </c>
      <c r="E54" s="10"/>
    </row>
    <row r="55" spans="1:5" x14ac:dyDescent="0.25">
      <c r="A55" s="28">
        <f t="shared" si="0"/>
        <v>48</v>
      </c>
      <c r="B55" s="49"/>
      <c r="C55" s="17"/>
      <c r="D55" s="16">
        <f ca="1">+'FCR Rates Sub'!I53</f>
        <v>0.15270164313071075</v>
      </c>
      <c r="E55" s="10"/>
    </row>
    <row r="56" spans="1:5" x14ac:dyDescent="0.25">
      <c r="A56" s="28">
        <f t="shared" si="0"/>
        <v>49</v>
      </c>
      <c r="B56" s="49"/>
      <c r="C56" s="17"/>
      <c r="D56" s="16"/>
      <c r="E56" s="10"/>
    </row>
    <row r="57" spans="1:5" ht="13.8" thickBot="1" x14ac:dyDescent="0.3">
      <c r="A57" s="28"/>
      <c r="B57" s="50"/>
      <c r="C57" s="75"/>
      <c r="D57" s="12"/>
      <c r="E57" s="10"/>
    </row>
  </sheetData>
  <mergeCells count="4">
    <mergeCell ref="A1:D1"/>
    <mergeCell ref="A2:D2"/>
    <mergeCell ref="A3:D3"/>
    <mergeCell ref="B5:D5"/>
  </mergeCells>
  <printOptions horizontalCentered="1"/>
  <pageMargins left="0.25" right="0.25" top="0.75" bottom="0.75" header="0.3" footer="0.3"/>
  <pageSetup scale="60" orientation="landscape" r:id="rId1"/>
  <headerFooter alignWithMargins="0">
    <oddFooter>&amp;L&amp;"Arial,Regular"&amp;8&amp;F&amp;C&amp;A&amp;R&amp;"Arial,Regular"2017 GRC Compliance Filing
Docket No. UE-170033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23" activePane="bottomRight" state="frozen"/>
      <selection activeCell="B7" sqref="B7"/>
      <selection pane="topRight" activeCell="B7" sqref="B7"/>
      <selection pane="bottomLeft" activeCell="B7" sqref="B7"/>
      <selection pane="bottomRight" activeCell="A40" sqref="A40"/>
    </sheetView>
  </sheetViews>
  <sheetFormatPr defaultColWidth="9.109375" defaultRowHeight="13.2" x14ac:dyDescent="0.25"/>
  <cols>
    <col min="1" max="2" width="17.33203125" style="2" customWidth="1"/>
    <col min="3" max="3" width="14" style="2" customWidth="1"/>
    <col min="4" max="4" width="17.33203125" style="2" customWidth="1"/>
    <col min="5" max="16384" width="9.109375" style="2"/>
  </cols>
  <sheetData>
    <row r="1" spans="1:5" ht="15.6" x14ac:dyDescent="0.3">
      <c r="A1" s="227" t="s">
        <v>49</v>
      </c>
      <c r="B1" s="228"/>
      <c r="C1" s="228"/>
      <c r="D1" s="228"/>
    </row>
    <row r="2" spans="1:5" ht="26.4" customHeight="1" x14ac:dyDescent="0.25">
      <c r="A2" s="224" t="str">
        <f ca="1">CONCATENATE("Docket No. UE-170033 + Weighted Cost of Capital = ",('Lvl FCR Sub Equip'!L9*100),"0% + 35 Year Feeder Plant Life")</f>
        <v>Docket No. UE-170033 + Weighted Cost of Capital = 7.60% + 35 Year Feeder Plant Life</v>
      </c>
      <c r="B2" s="224"/>
      <c r="C2" s="224"/>
      <c r="D2" s="224"/>
    </row>
    <row r="3" spans="1:5" ht="13.8" thickBot="1" x14ac:dyDescent="0.3"/>
    <row r="4" spans="1:5" ht="27" thickBot="1" x14ac:dyDescent="0.3">
      <c r="A4" s="73" t="s">
        <v>65</v>
      </c>
      <c r="B4" s="20" t="s">
        <v>10</v>
      </c>
      <c r="C4" s="20" t="s">
        <v>9</v>
      </c>
      <c r="D4" s="51" t="s">
        <v>40</v>
      </c>
    </row>
    <row r="5" spans="1:5" x14ac:dyDescent="0.25">
      <c r="A5" s="28">
        <v>0</v>
      </c>
      <c r="B5" s="11">
        <f ca="1">NPV('Lvl FCR Feeder'!$L$9,OFFSET('Lvl FCR Feeder'!$L$17,A5,0,1,1):'Lvl FCR Feeder'!L$52)</f>
        <v>108538.98618154878</v>
      </c>
      <c r="C5" s="11">
        <f ca="1">-PMT('Lvl FCR Feeder'!$L$9,'Lvl FCR Feeder'!$H$12-A5,B5)</f>
        <v>8937.2582615905139</v>
      </c>
      <c r="D5" s="16">
        <f ca="1">C5/('Lvl FCR Feeder'!$D$12*('Lvl FCR Feeder'!$H$12-A5)/'Lvl FCR Feeder'!$H$12)</f>
        <v>8.9372582615905138E-2</v>
      </c>
      <c r="E5" s="10"/>
    </row>
    <row r="6" spans="1:5" x14ac:dyDescent="0.25">
      <c r="A6" s="28">
        <v>1</v>
      </c>
      <c r="B6" s="11">
        <f ca="1">NPV('Lvl FCR Feeder'!$L$9,OFFSET('Lvl FCR Feeder'!$L$17,A6,0,1,1):'Lvl FCR Feeder'!L$52)</f>
        <v>104794.30623955197</v>
      </c>
      <c r="C6" s="11">
        <f ca="1">-PMT('Lvl FCR Feeder'!$L$9,'Lvl FCR Feeder'!$H$12-A6,B6)</f>
        <v>8683.9849763977818</v>
      </c>
      <c r="D6" s="16">
        <f ca="1">C6/('Lvl FCR Feeder'!$D$12*('Lvl FCR Feeder'!$H$12-A6)/'Lvl FCR Feeder'!$H$12)</f>
        <v>8.93939629923301E-2</v>
      </c>
      <c r="E6" s="10"/>
    </row>
    <row r="7" spans="1:5" x14ac:dyDescent="0.25">
      <c r="A7" s="28">
        <f t="shared" ref="A7:A40" ca="1" si="0">A6+1</f>
        <v>2</v>
      </c>
      <c r="B7" s="11">
        <f ca="1">NPV('Lvl FCR Feeder'!$L$9,OFFSET('Lvl FCR Feeder'!$L$17,A7,0,1,1):'Lvl FCR Feeder'!L$52)</f>
        <v>101215.45308191951</v>
      </c>
      <c r="C7" s="11">
        <f ca="1">-PMT('Lvl FCR Feeder'!$L$9,'Lvl FCR Feeder'!$H$12-A7,B7)</f>
        <v>8445.4105632721803</v>
      </c>
      <c r="D7" s="16">
        <f ca="1">C7/('Lvl FCR Feeder'!$D$12*('Lvl FCR Feeder'!$H$12-A7)/'Lvl FCR Feeder'!$H$12)</f>
        <v>8.9572536277129175E-2</v>
      </c>
      <c r="E7" s="10"/>
    </row>
    <row r="8" spans="1:5" x14ac:dyDescent="0.25">
      <c r="A8" s="28">
        <f t="shared" ca="1" si="0"/>
        <v>3</v>
      </c>
      <c r="B8" s="11">
        <f ca="1">NPV('Lvl FCR Feeder'!$L$9,OFFSET('Lvl FCR Feeder'!$L$17,A8,0,1,1):'Lvl FCR Feeder'!L$52)</f>
        <v>97685.148255310065</v>
      </c>
      <c r="C8" s="11">
        <f ca="1">-PMT('Lvl FCR Feeder'!$L$9,'Lvl FCR Feeder'!$H$12-A8,B8)</f>
        <v>8211.9384340236102</v>
      </c>
      <c r="D8" s="16">
        <f ca="1">C8/('Lvl FCR Feeder'!$D$12*('Lvl FCR Feeder'!$H$12-A8)/'Lvl FCR Feeder'!$H$12)</f>
        <v>8.9818076622133231E-2</v>
      </c>
      <c r="E8" s="10"/>
    </row>
    <row r="9" spans="1:5" x14ac:dyDescent="0.25">
      <c r="A9" s="28">
        <f t="shared" ca="1" si="0"/>
        <v>4</v>
      </c>
      <c r="B9" s="11">
        <f ca="1">NPV('Lvl FCR Feeder'!$L$9,OFFSET('Lvl FCR Feeder'!$L$17,A9,0,1,1):'Lvl FCR Feeder'!L$52)</f>
        <v>94197.50839154287</v>
      </c>
      <c r="C9" s="11">
        <f ca="1">-PMT('Lvl FCR Feeder'!$L$9,'Lvl FCR Feeder'!$H$12-A9,B9)</f>
        <v>7983.1356551867329</v>
      </c>
      <c r="D9" s="16">
        <f ca="1">C9/('Lvl FCR Feeder'!$D$12*('Lvl FCR Feeder'!$H$12-A9)/'Lvl FCR Feeder'!$H$12)</f>
        <v>9.0132176752108287E-2</v>
      </c>
      <c r="E9" s="10"/>
    </row>
    <row r="10" spans="1:5" x14ac:dyDescent="0.25">
      <c r="A10" s="28">
        <f t="shared" ca="1" si="0"/>
        <v>5</v>
      </c>
      <c r="B10" s="11">
        <f ca="1">NPV('Lvl FCR Feeder'!$L$9,OFFSET('Lvl FCR Feeder'!$L$17,A10,0,1,1):'Lvl FCR Feeder'!L$52)</f>
        <v>90746.202986455362</v>
      </c>
      <c r="C10" s="11">
        <f ca="1">-PMT('Lvl FCR Feeder'!$L$9,'Lvl FCR Feeder'!$H$12-A10,B10)</f>
        <v>7758.5198528302053</v>
      </c>
      <c r="D10" s="16">
        <f ca="1">C10/('Lvl FCR Feeder'!$D$12*('Lvl FCR Feeder'!$H$12-A10)/'Lvl FCR Feeder'!$H$12)</f>
        <v>9.0516064949685726E-2</v>
      </c>
      <c r="E10" s="10"/>
    </row>
    <row r="11" spans="1:5" x14ac:dyDescent="0.25">
      <c r="A11" s="28">
        <f t="shared" ca="1" si="0"/>
        <v>6</v>
      </c>
      <c r="B11" s="11">
        <f ca="1">NPV('Lvl FCR Feeder'!$L$9,OFFSET('Lvl FCR Feeder'!$L$17,A11,0,1,1):'Lvl FCR Feeder'!L$52)</f>
        <v>87329.419852698236</v>
      </c>
      <c r="C11" s="11">
        <f ca="1">-PMT('Lvl FCR Feeder'!$L$9,'Lvl FCR Feeder'!$H$12-A11,B11)</f>
        <v>7537.9829944399717</v>
      </c>
      <c r="D11" s="16">
        <f ca="1">C11/('Lvl FCR Feeder'!$D$12*('Lvl FCR Feeder'!$H$12-A11)/'Lvl FCR Feeder'!$H$12)</f>
        <v>9.0975656829447943E-2</v>
      </c>
      <c r="E11" s="10"/>
    </row>
    <row r="12" spans="1:5" x14ac:dyDescent="0.25">
      <c r="A12" s="28">
        <f t="shared" ca="1" si="0"/>
        <v>7</v>
      </c>
      <c r="B12" s="11">
        <f ca="1">NPV('Lvl FCR Feeder'!$L$9,OFFSET('Lvl FCR Feeder'!$L$17,A12,0,1,1):'Lvl FCR Feeder'!L$52)</f>
        <v>83942.124249821762</v>
      </c>
      <c r="C12" s="11">
        <f ca="1">-PMT('Lvl FCR Feeder'!$L$9,'Lvl FCR Feeder'!$H$12-A12,B12)</f>
        <v>7321.132548734071</v>
      </c>
      <c r="D12" s="16">
        <f ca="1">C12/('Lvl FCR Feeder'!$D$12*('Lvl FCR Feeder'!$H$12-A12)/'Lvl FCR Feeder'!$H$12)</f>
        <v>9.1514156859175882E-2</v>
      </c>
      <c r="E12" s="10"/>
    </row>
    <row r="13" spans="1:5" x14ac:dyDescent="0.25">
      <c r="A13" s="28">
        <f t="shared" ca="1" si="0"/>
        <v>8</v>
      </c>
      <c r="B13" s="11">
        <f ca="1">NPV('Lvl FCR Feeder'!$L$9,OFFSET('Lvl FCR Feeder'!$L$17,A13,0,1,1):'Lvl FCR Feeder'!L$52)</f>
        <v>80578.898797102127</v>
      </c>
      <c r="C13" s="11">
        <f ca="1">-PMT('Lvl FCR Feeder'!$L$9,'Lvl FCR Feeder'!$H$12-A13,B13)</f>
        <v>7107.5250956412146</v>
      </c>
      <c r="D13" s="16">
        <f ca="1">C13/('Lvl FCR Feeder'!$D$12*('Lvl FCR Feeder'!$H$12-A13)/'Lvl FCR Feeder'!$H$12)</f>
        <v>9.2134584573126857E-2</v>
      </c>
      <c r="E13" s="10"/>
    </row>
    <row r="14" spans="1:5" x14ac:dyDescent="0.25">
      <c r="A14" s="28">
        <f t="shared" ca="1" si="0"/>
        <v>9</v>
      </c>
      <c r="B14" s="11">
        <f ca="1">NPV('Lvl FCR Feeder'!$L$9,OFFSET('Lvl FCR Feeder'!$L$17,A14,0,1,1):'Lvl FCR Feeder'!L$52)</f>
        <v>77253.912133398742</v>
      </c>
      <c r="C14" s="11">
        <f ca="1">-PMT('Lvl FCR Feeder'!$L$9,'Lvl FCR Feeder'!$H$12-A14,B14)</f>
        <v>6898.4429515853481</v>
      </c>
      <c r="D14" s="16">
        <f ca="1">C14/('Lvl FCR Feeder'!$D$12*('Lvl FCR Feeder'!$H$12-A14)/'Lvl FCR Feeder'!$H$12)</f>
        <v>9.2863655117495059E-2</v>
      </c>
      <c r="E14" s="10"/>
    </row>
    <row r="15" spans="1:5" x14ac:dyDescent="0.25">
      <c r="A15" s="28">
        <f t="shared" ca="1" si="0"/>
        <v>10</v>
      </c>
      <c r="B15" s="11">
        <f ca="1">NPV('Lvl FCR Feeder'!$L$9,OFFSET('Lvl FCR Feeder'!$L$17,A15,0,1,1):'Lvl FCR Feeder'!L$52)</f>
        <v>73970.070406677041</v>
      </c>
      <c r="C15" s="11">
        <f ca="1">-PMT('Lvl FCR Feeder'!$L$9,'Lvl FCR Feeder'!$H$12-A15,B15)</f>
        <v>6694.2143059257232</v>
      </c>
      <c r="D15" s="16">
        <f ca="1">C15/('Lvl FCR Feeder'!$D$12*('Lvl FCR Feeder'!$H$12-A15)/'Lvl FCR Feeder'!$H$12)</f>
        <v>9.371900028296011E-2</v>
      </c>
      <c r="E15" s="10"/>
    </row>
    <row r="16" spans="1:5" x14ac:dyDescent="0.25">
      <c r="A16" s="28">
        <f t="shared" ca="1" si="0"/>
        <v>11</v>
      </c>
      <c r="B16" s="11">
        <f ca="1">NPV('Lvl FCR Feeder'!$L$9,OFFSET('Lvl FCR Feeder'!$L$17,A16,0,1,1):'Lvl FCR Feeder'!L$52)</f>
        <v>70730.50063214745</v>
      </c>
      <c r="C16" s="11">
        <f ca="1">-PMT('Lvl FCR Feeder'!$L$9,'Lvl FCR Feeder'!$H$12-A16,B16)</f>
        <v>6495.2104002379865</v>
      </c>
      <c r="D16" s="16">
        <f ca="1">C16/('Lvl FCR Feeder'!$D$12*('Lvl FCR Feeder'!$H$12-A16)/'Lvl FCR Feeder'!$H$12)</f>
        <v>9.4721818336803973E-2</v>
      </c>
      <c r="E16" s="10"/>
    </row>
    <row r="17" spans="1:5" x14ac:dyDescent="0.25">
      <c r="A17" s="28">
        <f t="shared" ca="1" si="0"/>
        <v>12</v>
      </c>
      <c r="B17" s="11">
        <f ca="1">NPV('Lvl FCR Feeder'!$L$9,OFFSET('Lvl FCR Feeder'!$L$17,A17,0,1,1):'Lvl FCR Feeder'!L$52)</f>
        <v>67538.567478176701</v>
      </c>
      <c r="C17" s="11">
        <f ca="1">-PMT('Lvl FCR Feeder'!$L$9,'Lvl FCR Feeder'!$H$12-A17,B17)</f>
        <v>6301.8547944050197</v>
      </c>
      <c r="D17" s="16">
        <f ca="1">C17/('Lvl FCR Feeder'!$D$12*('Lvl FCR Feeder'!$H$12-A17)/'Lvl FCR Feeder'!$H$12)</f>
        <v>9.5897790349641604E-2</v>
      </c>
      <c r="E17" s="10"/>
    </row>
    <row r="18" spans="1:5" x14ac:dyDescent="0.25">
      <c r="A18" s="28">
        <f t="shared" ca="1" si="0"/>
        <v>13</v>
      </c>
      <c r="B18" s="11">
        <f ca="1">NPV('Lvl FCR Feeder'!$L$9,OFFSET('Lvl FCR Feeder'!$L$17,A18,0,1,1):'Lvl FCR Feeder'!L$52)</f>
        <v>64397.891327927202</v>
      </c>
      <c r="C18" s="11">
        <f ca="1">-PMT('Lvl FCR Feeder'!$L$9,'Lvl FCR Feeder'!$H$12-A18,B18)</f>
        <v>6114.6351992385444</v>
      </c>
      <c r="D18" s="16">
        <f ca="1">C18/('Lvl FCR Feeder'!$D$12*('Lvl FCR Feeder'!$H$12-A18)/'Lvl FCR Feeder'!$H$12)</f>
        <v>9.7278287260613203E-2</v>
      </c>
      <c r="E18" s="10"/>
    </row>
    <row r="19" spans="1:5" x14ac:dyDescent="0.25">
      <c r="A19" s="28">
        <f t="shared" ca="1" si="0"/>
        <v>14</v>
      </c>
      <c r="B19" s="11">
        <f ca="1">NPV('Lvl FCR Feeder'!$L$9,OFFSET('Lvl FCR Feeder'!$L$17,A19,0,1,1):'Lvl FCR Feeder'!L$52)</f>
        <v>61312.367713681771</v>
      </c>
      <c r="C19" s="11">
        <f ca="1">-PMT('Lvl FCR Feeder'!$L$9,'Lvl FCR Feeder'!$H$12-A19,B19)</f>
        <v>5934.118733424928</v>
      </c>
      <c r="D19" s="16">
        <f ca="1">C19/('Lvl FCR Feeder'!$D$12*('Lvl FCR Feeder'!$H$12-A19)/'Lvl FCR Feeder'!$H$12)</f>
        <v>9.8901978890415465E-2</v>
      </c>
      <c r="E19" s="10"/>
    </row>
    <row r="20" spans="1:5" x14ac:dyDescent="0.25">
      <c r="A20" s="28">
        <f t="shared" ca="1" si="0"/>
        <v>15</v>
      </c>
      <c r="B20" s="11">
        <f ca="1">NPV('Lvl FCR Feeder'!$L$9,OFFSET('Lvl FCR Feeder'!$L$17,A20,0,1,1):'Lvl FCR Feeder'!L$52)</f>
        <v>58286.188228176739</v>
      </c>
      <c r="C20" s="11">
        <f ca="1">-PMT('Lvl FCR Feeder'!$L$9,'Lvl FCR Feeder'!$H$12-A20,B20)</f>
        <v>5760.9718055047751</v>
      </c>
      <c r="D20" s="16">
        <f ca="1">C20/('Lvl FCR Feeder'!$D$12*('Lvl FCR Feeder'!$H$12-A20)/'Lvl FCR Feeder'!$H$12)</f>
        <v>0.10081700659633357</v>
      </c>
      <c r="E20" s="10"/>
    </row>
    <row r="21" spans="1:5" x14ac:dyDescent="0.25">
      <c r="A21" s="28">
        <f t="shared" ca="1" si="0"/>
        <v>16</v>
      </c>
      <c r="B21" s="11">
        <f ca="1">NPV('Lvl FCR Feeder'!$L$9,OFFSET('Lvl FCR Feeder'!$L$17,A21,0,1,1):'Lvl FCR Feeder'!L$52)</f>
        <v>55323.863025196348</v>
      </c>
      <c r="C21" s="11">
        <f ca="1">-PMT('Lvl FCR Feeder'!$L$9,'Lvl FCR Feeder'!$H$12-A21,B21)</f>
        <v>5595.9863269132884</v>
      </c>
      <c r="D21" s="16">
        <f ca="1">C21/('Lvl FCR Feeder'!$D$12*('Lvl FCR Feeder'!$H$12-A21)/'Lvl FCR Feeder'!$H$12)</f>
        <v>0.10308395865366585</v>
      </c>
      <c r="E21" s="10"/>
    </row>
    <row r="22" spans="1:5" x14ac:dyDescent="0.25">
      <c r="A22" s="28">
        <f t="shared" ca="1" si="0"/>
        <v>17</v>
      </c>
      <c r="B22" s="11">
        <f ca="1">NPV('Lvl FCR Feeder'!$L$9,OFFSET('Lvl FCR Feeder'!$L$17,A22,0,1,1):'Lvl FCR Feeder'!L$52)</f>
        <v>52430.245030212493</v>
      </c>
      <c r="C22" s="11">
        <f ca="1">-PMT('Lvl FCR Feeder'!$L$9,'Lvl FCR Feeder'!$H$12-A22,B22)</f>
        <v>5440.1147200500554</v>
      </c>
      <c r="D22" s="16">
        <f ca="1">C22/('Lvl FCR Feeder'!$D$12*('Lvl FCR Feeder'!$H$12-A22)/'Lvl FCR Feeder'!$H$12)</f>
        <v>0.10578000844541775</v>
      </c>
      <c r="E22" s="10"/>
    </row>
    <row r="23" spans="1:5" x14ac:dyDescent="0.25">
      <c r="A23" s="28">
        <f t="shared" ca="1" si="0"/>
        <v>18</v>
      </c>
      <c r="B23" s="11">
        <f ca="1">NPV('Lvl FCR Feeder'!$L$9,OFFSET('Lvl FCR Feeder'!$L$17,A23,0,1,1):'Lvl FCR Feeder'!L$52)</f>
        <v>49610.555991032888</v>
      </c>
      <c r="C23" s="11">
        <f ca="1">-PMT('Lvl FCR Feeder'!$L$9,'Lvl FCR Feeder'!$H$12-A23,B23)</f>
        <v>5294.5173445169312</v>
      </c>
      <c r="D23" s="16">
        <f ca="1">C23/('Lvl FCR Feeder'!$D$12*('Lvl FCR Feeder'!$H$12-A23)/'Lvl FCR Feeder'!$H$12)</f>
        <v>0.10900476885770152</v>
      </c>
      <c r="E23" s="10"/>
    </row>
    <row r="24" spans="1:5" x14ac:dyDescent="0.25">
      <c r="A24" s="28">
        <f t="shared" ca="1" si="0"/>
        <v>19</v>
      </c>
      <c r="B24" s="11">
        <f ca="1">NPV('Lvl FCR Feeder'!$L$9,OFFSET('Lvl FCR Feeder'!$L$17,A24,0,1,1):'Lvl FCR Feeder'!L$52)</f>
        <v>46870.41450829868</v>
      </c>
      <c r="C24" s="11">
        <f ca="1">-PMT('Lvl FCR Feeder'!$L$9,'Lvl FCR Feeder'!$H$12-A24,B24)</f>
        <v>5160.6277758314709</v>
      </c>
      <c r="D24" s="16">
        <f ca="1">C24/('Lvl FCR Feeder'!$D$12*('Lvl FCR Feeder'!$H$12-A24)/'Lvl FCR Feeder'!$H$12)</f>
        <v>0.11288873259631342</v>
      </c>
      <c r="E24" s="10"/>
    </row>
    <row r="25" spans="1:5" x14ac:dyDescent="0.25">
      <c r="A25" s="28">
        <f t="shared" ca="1" si="0"/>
        <v>20</v>
      </c>
      <c r="B25" s="11">
        <f ca="1">NPV('Lvl FCR Feeder'!$L$9,OFFSET('Lvl FCR Feeder'!$L$17,A25,0,1,1):'Lvl FCR Feeder'!L$52)</f>
        <v>44215.866196299721</v>
      </c>
      <c r="C25" s="11">
        <f ca="1">-PMT('Lvl FCR Feeder'!$L$9,'Lvl FCR Feeder'!$H$12-A25,B25)</f>
        <v>5040.2442687591865</v>
      </c>
      <c r="D25" s="16">
        <f ca="1">C25/('Lvl FCR Feeder'!$D$12*('Lvl FCR Feeder'!$H$12-A25)/'Lvl FCR Feeder'!$H$12)</f>
        <v>0.11760569960438103</v>
      </c>
      <c r="E25" s="10"/>
    </row>
    <row r="26" spans="1:5" x14ac:dyDescent="0.25">
      <c r="A26" s="28">
        <f t="shared" ca="1" si="0"/>
        <v>21</v>
      </c>
      <c r="B26" s="11">
        <f ca="1">NPV('Lvl FCR Feeder'!$L$9,OFFSET('Lvl FCR Feeder'!$L$17,A26,0,1,1):'Lvl FCR Feeder'!L$52)</f>
        <v>41513.431952382474</v>
      </c>
      <c r="C26" s="11">
        <f ca="1">-PMT('Lvl FCR Feeder'!$L$9,'Lvl FCR Feeder'!$H$12-A26,B26)</f>
        <v>4919.0732774267644</v>
      </c>
      <c r="D26" s="16">
        <f ca="1">C26/('Lvl FCR Feeder'!$D$12*('Lvl FCR Feeder'!$H$12-A26)/'Lvl FCR Feeder'!$H$12)</f>
        <v>0.12297683193566911</v>
      </c>
      <c r="E26" s="10"/>
    </row>
    <row r="27" spans="1:5" x14ac:dyDescent="0.25">
      <c r="A27" s="28">
        <f t="shared" ca="1" si="0"/>
        <v>22</v>
      </c>
      <c r="B27" s="11">
        <f ca="1">NPV('Lvl FCR Feeder'!$L$9,OFFSET('Lvl FCR Feeder'!$L$17,A27,0,1,1):'Lvl FCR Feeder'!L$52)</f>
        <v>38760.857200651153</v>
      </c>
      <c r="C27" s="11">
        <f ca="1">-PMT('Lvl FCR Feeder'!$L$9,'Lvl FCR Feeder'!$H$12-A27,B27)</f>
        <v>4796.7414648541171</v>
      </c>
      <c r="D27" s="16">
        <f ca="1">C27/('Lvl FCR Feeder'!$D$12*('Lvl FCR Feeder'!$H$12-A27)/'Lvl FCR Feeder'!$H$12)</f>
        <v>0.12914303943838007</v>
      </c>
      <c r="E27" s="10"/>
    </row>
    <row r="28" spans="1:5" x14ac:dyDescent="0.25">
      <c r="A28" s="28">
        <f t="shared" ca="1" si="0"/>
        <v>23</v>
      </c>
      <c r="B28" s="11">
        <f ca="1">NPV('Lvl FCR Feeder'!$L$9,OFFSET('Lvl FCR Feeder'!$L$17,A28,0,1,1):'Lvl FCR Feeder'!L$52)</f>
        <v>36006.7733191644</v>
      </c>
      <c r="C28" s="11">
        <f ca="1">-PMT('Lvl FCR Feeder'!$L$9,'Lvl FCR Feeder'!$H$12-A28,B28)</f>
        <v>4679.3676300622392</v>
      </c>
      <c r="D28" s="16">
        <f ca="1">C28/('Lvl FCR Feeder'!$D$12*('Lvl FCR Feeder'!$H$12-A28)/'Lvl FCR Feeder'!$H$12)</f>
        <v>0.13648155587681532</v>
      </c>
      <c r="E28" s="10"/>
    </row>
    <row r="29" spans="1:5" x14ac:dyDescent="0.25">
      <c r="A29" s="28">
        <f t="shared" ca="1" si="0"/>
        <v>24</v>
      </c>
      <c r="B29" s="11">
        <f ca="1">NPV('Lvl FCR Feeder'!$L$9,OFFSET('Lvl FCR Feeder'!$L$17,A29,0,1,1):'Lvl FCR Feeder'!L$52)</f>
        <v>33251.065614060812</v>
      </c>
      <c r="C29" s="11">
        <f ca="1">-PMT('Lvl FCR Feeder'!$L$9,'Lvl FCR Feeder'!$H$12-A29,B29)</f>
        <v>4567.705595602657</v>
      </c>
      <c r="D29" s="16">
        <f ca="1">C29/('Lvl FCR Feeder'!$D$12*('Lvl FCR Feeder'!$H$12-A29)/'Lvl FCR Feeder'!$H$12)</f>
        <v>0.14533608713281182</v>
      </c>
      <c r="E29" s="10"/>
    </row>
    <row r="30" spans="1:5" x14ac:dyDescent="0.25">
      <c r="A30" s="28">
        <f t="shared" ca="1" si="0"/>
        <v>25</v>
      </c>
      <c r="B30" s="11">
        <f ca="1">NPV('Lvl FCR Feeder'!$L$9,OFFSET('Lvl FCR Feeder'!$L$17,A30,0,1,1):'Lvl FCR Feeder'!L$52)</f>
        <v>30493.610674745491</v>
      </c>
      <c r="C30" s="11">
        <f ca="1">-PMT('Lvl FCR Feeder'!$L$9,'Lvl FCR Feeder'!$H$12-A30,B30)</f>
        <v>4462.796154859976</v>
      </c>
      <c r="D30" s="16">
        <f ca="1">C30/('Lvl FCR Feeder'!$D$12*('Lvl FCR Feeder'!$H$12-A30)/'Lvl FCR Feeder'!$H$12)</f>
        <v>0.15619786542009914</v>
      </c>
      <c r="E30" s="10"/>
    </row>
    <row r="31" spans="1:5" x14ac:dyDescent="0.25">
      <c r="A31" s="28">
        <f t="shared" ca="1" si="0"/>
        <v>26</v>
      </c>
      <c r="B31" s="11">
        <f ca="1">NPV('Lvl FCR Feeder'!$L$9,OFFSET('Lvl FCR Feeder'!$L$17,A31,0,1,1):'Lvl FCR Feeder'!L$52)</f>
        <v>27734.275711418351</v>
      </c>
      <c r="C31" s="11">
        <f ca="1">-PMT('Lvl FCR Feeder'!$L$9,'Lvl FCR Feeder'!$H$12-A31,B31)</f>
        <v>4366.1275168381708</v>
      </c>
      <c r="D31" s="16">
        <f ca="1">C31/('Lvl FCR Feeder'!$D$12*('Lvl FCR Feeder'!$H$12-A31)/'Lvl FCR Feeder'!$H$12)</f>
        <v>0.16979384787703997</v>
      </c>
      <c r="E31" s="10"/>
    </row>
    <row r="32" spans="1:5" x14ac:dyDescent="0.25">
      <c r="A32" s="28">
        <f t="shared" ca="1" si="0"/>
        <v>27</v>
      </c>
      <c r="B32" s="11">
        <f ca="1">NPV('Lvl FCR Feeder'!$L$9,OFFSET('Lvl FCR Feeder'!$L$17,A32,0,1,1):'Lvl FCR Feeder'!L$52)</f>
        <v>24972.917842254497</v>
      </c>
      <c r="C32" s="11">
        <f ca="1">-PMT('Lvl FCR Feeder'!$L$9,'Lvl FCR Feeder'!$H$12-A32,B32)</f>
        <v>4279.916167634844</v>
      </c>
      <c r="D32" s="16">
        <f ca="1">C32/('Lvl FCR Feeder'!$D$12*('Lvl FCR Feeder'!$H$12-A32)/'Lvl FCR Feeder'!$H$12)</f>
        <v>0.18724633233402441</v>
      </c>
      <c r="E32" s="10"/>
    </row>
    <row r="33" spans="1:5" x14ac:dyDescent="0.25">
      <c r="A33" s="28">
        <f t="shared" ca="1" si="0"/>
        <v>28</v>
      </c>
      <c r="B33" s="11">
        <f ca="1">NPV('Lvl FCR Feeder'!$L$9,OFFSET('Lvl FCR Feeder'!$L$17,A33,0,1,1):'Lvl FCR Feeder'!L$52)</f>
        <v>22209.383326410338</v>
      </c>
      <c r="C33" s="11">
        <f ca="1">-PMT('Lvl FCR Feeder'!$L$9,'Lvl FCR Feeder'!$H$12-A33,B33)</f>
        <v>4207.6285598156783</v>
      </c>
      <c r="D33" s="16">
        <f ca="1">C33/('Lvl FCR Feeder'!$D$12*('Lvl FCR Feeder'!$H$12-A33)/'Lvl FCR Feeder'!$H$12)</f>
        <v>0.21038142799078391</v>
      </c>
      <c r="E33" s="10"/>
    </row>
    <row r="34" spans="1:5" x14ac:dyDescent="0.25">
      <c r="A34" s="28">
        <f t="shared" ca="1" si="0"/>
        <v>29</v>
      </c>
      <c r="B34" s="11">
        <f ca="1">NPV('Lvl FCR Feeder'!$L$9,OFFSET('Lvl FCR Feeder'!$L$17,A34,0,1,1):'Lvl FCR Feeder'!L$52)</f>
        <v>19443.506738738171</v>
      </c>
      <c r="C34" s="11">
        <f ca="1">-PMT('Lvl FCR Feeder'!$L$9,'Lvl FCR Feeder'!$H$12-A34,B34)</f>
        <v>4155.0245882699028</v>
      </c>
      <c r="D34" s="16">
        <f ca="1">C34/('Lvl FCR Feeder'!$D$12*('Lvl FCR Feeder'!$H$12-A34)/'Lvl FCR Feeder'!$H$12)</f>
        <v>0.24237643431574435</v>
      </c>
      <c r="E34" s="10"/>
    </row>
    <row r="35" spans="1:5" x14ac:dyDescent="0.25">
      <c r="A35" s="28">
        <f t="shared" ca="1" si="0"/>
        <v>30</v>
      </c>
      <c r="B35" s="11">
        <f ca="1">NPV('Lvl FCR Feeder'!$L$9,OFFSET('Lvl FCR Feeder'!$L$17,A35,0,1,1):'Lvl FCR Feeder'!L$52)</f>
        <v>16675.110081779068</v>
      </c>
      <c r="C35" s="11">
        <f ca="1">-PMT('Lvl FCR Feeder'!$L$9,'Lvl FCR Feeder'!$H$12-A35,B35)</f>
        <v>4132.453343818207</v>
      </c>
      <c r="D35" s="16">
        <f ca="1">C35/('Lvl FCR Feeder'!$D$12*('Lvl FCR Feeder'!$H$12-A35)/'Lvl FCR Feeder'!$H$12)</f>
        <v>0.28927173406727447</v>
      </c>
      <c r="E35" s="10"/>
    </row>
    <row r="36" spans="1:5" x14ac:dyDescent="0.25">
      <c r="A36" s="28">
        <f t="shared" ca="1" si="0"/>
        <v>31</v>
      </c>
      <c r="B36" s="11">
        <f ca="1">NPV('Lvl FCR Feeder'!$L$9,OFFSET('Lvl FCR Feeder'!$L$17,A36,0,1,1):'Lvl FCR Feeder'!L$52)</f>
        <v>13904.001830267216</v>
      </c>
      <c r="C36" s="11">
        <f ca="1">-PMT('Lvl FCR Feeder'!$L$9,'Lvl FCR Feeder'!$H$12-A36,B36)</f>
        <v>4160.5926171795545</v>
      </c>
      <c r="D36" s="16">
        <f ca="1">C36/('Lvl FCR Feeder'!$D$12*('Lvl FCR Feeder'!$H$12-A36)/'Lvl FCR Feeder'!$H$12)</f>
        <v>0.364051854003211</v>
      </c>
      <c r="E36" s="10"/>
    </row>
    <row r="37" spans="1:5" x14ac:dyDescent="0.25">
      <c r="A37" s="28">
        <f t="shared" ca="1" si="0"/>
        <v>32</v>
      </c>
      <c r="B37" s="11">
        <f ca="1">NPV('Lvl FCR Feeder'!$L$9,OFFSET('Lvl FCR Feeder'!$L$17,A37,0,1,1):'Lvl FCR Feeder'!L$52)</f>
        <v>11129.975903016611</v>
      </c>
      <c r="C37" s="11">
        <f ca="1">-PMT('Lvl FCR Feeder'!$L$9,'Lvl FCR Feeder'!$H$12-A37,B37)</f>
        <v>4287.6675513869459</v>
      </c>
      <c r="D37" s="16">
        <f ca="1">C37/('Lvl FCR Feeder'!$D$12*('Lvl FCR Feeder'!$H$12-A37)/'Lvl FCR Feeder'!$H$12)</f>
        <v>0.5002278809951437</v>
      </c>
      <c r="E37" s="10"/>
    </row>
    <row r="38" spans="1:5" x14ac:dyDescent="0.25">
      <c r="A38" s="28">
        <f t="shared" ca="1" si="0"/>
        <v>33</v>
      </c>
      <c r="B38" s="11">
        <f ca="1">NPV('Lvl FCR Feeder'!$L$9,OFFSET('Lvl FCR Feeder'!$L$17,A38,0,1,1):'Lvl FCR Feeder'!L$52)</f>
        <v>8352.8105566711129</v>
      </c>
      <c r="C38" s="11">
        <f ca="1">-PMT('Lvl FCR Feeder'!$L$9,'Lvl FCR Feeder'!$H$12-A38,B38)</f>
        <v>4658.3254311466544</v>
      </c>
      <c r="D38" s="16">
        <f ca="1">C38/('Lvl FCR Feeder'!$D$12*('Lvl FCR Feeder'!$H$12-A38)/'Lvl FCR Feeder'!$H$12)</f>
        <v>0.81520695045066449</v>
      </c>
      <c r="E38" s="10"/>
    </row>
    <row r="39" spans="1:5" x14ac:dyDescent="0.25">
      <c r="A39" s="28">
        <f t="shared" ca="1" si="0"/>
        <v>34</v>
      </c>
      <c r="B39" s="11">
        <f ca="1">NPV('Lvl FCR Feeder'!$L$9,OFFSET('Lvl FCR Feeder'!$L$17,A39,0,1,1):'Lvl FCR Feeder'!L$52)</f>
        <v>5572.2671953795016</v>
      </c>
      <c r="C39" s="11">
        <f ca="1">-PMT('Lvl FCR Feeder'!$L$9,'Lvl FCR Feeder'!$H$12-A39,B39)</f>
        <v>5995.759502228344</v>
      </c>
      <c r="D39" s="16">
        <f ca="1">C39/('Lvl FCR Feeder'!$D$12*('Lvl FCR Feeder'!$H$12-A39)/'Lvl FCR Feeder'!$H$12)</f>
        <v>2.0985158257799204</v>
      </c>
      <c r="E39" s="10"/>
    </row>
    <row r="40" spans="1:5" x14ac:dyDescent="0.25">
      <c r="A40" s="28">
        <f t="shared" ca="1" si="0"/>
        <v>35</v>
      </c>
      <c r="B40" s="11"/>
      <c r="C40" s="11"/>
      <c r="D40" s="16"/>
      <c r="E40" s="10"/>
    </row>
    <row r="41" spans="1:5" ht="13.8" thickBot="1" x14ac:dyDescent="0.3">
      <c r="B41" s="11"/>
      <c r="C41" s="11"/>
      <c r="D41" s="12"/>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&amp;L&amp;"Arial,Regular"&amp;8&amp;F&amp;C&amp;A&amp;R&amp;"Arial,Regular"2017 GRC Compliance Filing
Docket No. UE-170033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activeCell="B7" sqref="B7"/>
      <selection pane="topRight" activeCell="B7" sqref="B7"/>
      <selection pane="bottomLeft" activeCell="B7" sqref="B7"/>
      <selection pane="bottomRight" activeCell="A2" sqref="A2:I2"/>
    </sheetView>
  </sheetViews>
  <sheetFormatPr defaultColWidth="9.109375" defaultRowHeight="13.2" x14ac:dyDescent="0.25"/>
  <cols>
    <col min="1" max="1" width="9.109375" style="2"/>
    <col min="2" max="2" width="13.33203125" style="2" customWidth="1"/>
    <col min="3" max="3" width="10.109375" style="2" bestFit="1" customWidth="1"/>
    <col min="4" max="4" width="10.6640625" style="2" bestFit="1" customWidth="1"/>
    <col min="5" max="5" width="9.109375" style="2"/>
    <col min="6" max="6" width="22.21875" style="2" bestFit="1" customWidth="1"/>
    <col min="7" max="7" width="11.109375" style="2" bestFit="1" customWidth="1"/>
    <col min="8" max="8" width="10.5546875" style="2" customWidth="1"/>
    <col min="9" max="9" width="11.21875" style="2" bestFit="1" customWidth="1"/>
    <col min="10" max="16384" width="9.109375" style="2"/>
  </cols>
  <sheetData>
    <row r="1" spans="1:10" ht="15.6" x14ac:dyDescent="0.3">
      <c r="A1" s="227" t="s">
        <v>49</v>
      </c>
      <c r="B1" s="228"/>
      <c r="C1" s="228"/>
      <c r="D1" s="228"/>
      <c r="E1" s="228"/>
      <c r="F1" s="228"/>
      <c r="G1" s="228"/>
      <c r="H1" s="228"/>
      <c r="I1" s="228"/>
    </row>
    <row r="2" spans="1:10" x14ac:dyDescent="0.25">
      <c r="A2" s="224" t="str">
        <f ca="1">CONCATENATE("Docket No. UE-170033 + Weighted Cost of Capital = ",('Lvl FCR Sub Equip'!L9*100),"0% + 49 Year Sub Plant Life")</f>
        <v>Docket No. UE-170033 + Weighted Cost of Capital = 7.60% + 49 Year Sub Plant Life</v>
      </c>
      <c r="B2" s="224"/>
      <c r="C2" s="224"/>
      <c r="D2" s="224"/>
      <c r="E2" s="224"/>
      <c r="F2" s="224"/>
      <c r="G2" s="224"/>
      <c r="H2" s="224"/>
      <c r="I2" s="224"/>
    </row>
    <row r="3" spans="1:10" ht="13.8" thickBot="1" x14ac:dyDescent="0.3"/>
    <row r="4" spans="1:10" ht="53.4" thickBot="1" x14ac:dyDescent="0.3">
      <c r="A4" s="20" t="s">
        <v>26</v>
      </c>
      <c r="B4" s="20" t="s">
        <v>10</v>
      </c>
      <c r="C4" s="20" t="s">
        <v>9</v>
      </c>
      <c r="D4" s="52" t="s">
        <v>8</v>
      </c>
      <c r="E4" s="18" t="s">
        <v>7</v>
      </c>
      <c r="F4" s="19" t="s">
        <v>6</v>
      </c>
      <c r="G4" s="19" t="s">
        <v>5</v>
      </c>
      <c r="H4" s="18" t="s">
        <v>4</v>
      </c>
      <c r="I4" s="54" t="s">
        <v>39</v>
      </c>
    </row>
    <row r="5" spans="1:10" ht="13.8" thickBot="1" x14ac:dyDescent="0.3">
      <c r="A5" s="28">
        <v>0</v>
      </c>
      <c r="B5" s="11">
        <f ca="1">NPV('Lvl FCR Sub Equip'!$L$9,OFFSET('Lvl FCR Sub Equip'!$L$17,A5,0,1,1):'Lvl FCR Sub Equip'!L66)</f>
        <v>107520.96200038529</v>
      </c>
      <c r="C5" s="11">
        <f ca="1">-PMT('Lvl FCR Sub Equip'!$L$9,'Lvl FCR Sub Equip'!$H$12-A5,B5)</f>
        <v>8403.6896762894321</v>
      </c>
      <c r="D5" s="53">
        <f ca="1">C5/'Lvl FCR Sub Equip'!$D$12</f>
        <v>8.4036896762894317E-2</v>
      </c>
      <c r="E5" s="15">
        <f ca="1">'Lvl FCR Sub Equip'!B17</f>
        <v>100000</v>
      </c>
      <c r="F5" s="14">
        <f t="shared" ref="F5:F38" ca="1" si="0">$C$5/E5</f>
        <v>8.4036896762894317E-2</v>
      </c>
      <c r="G5" s="13">
        <f ca="1">NPV('Lvl FCR Sub Equip'!$L$9,'Lvl FCR Sub Equip'!L17:L26)</f>
        <v>68706.326021917455</v>
      </c>
      <c r="H5" s="13">
        <f ca="1">-PMT('Lvl FCR Sub Equip'!$L$9,10,G5)</f>
        <v>10055.297513164314</v>
      </c>
      <c r="I5" s="55">
        <f t="shared" ref="I5:I38" ca="1" si="1">H5/E5</f>
        <v>0.10055297513164314</v>
      </c>
      <c r="J5" s="10"/>
    </row>
    <row r="6" spans="1:10" x14ac:dyDescent="0.25">
      <c r="A6" s="28">
        <v>1</v>
      </c>
      <c r="B6" s="11"/>
      <c r="C6" s="11"/>
      <c r="D6" s="16"/>
      <c r="E6" s="15">
        <f ca="1">'Lvl FCR Sub Equip'!B18</f>
        <v>97959.183673469393</v>
      </c>
      <c r="F6" s="14">
        <f t="shared" ca="1" si="0"/>
        <v>8.5787665445454617E-2</v>
      </c>
      <c r="G6" s="13">
        <f ca="1">NPV('Lvl FCR Sub Equip'!$L$9,'Lvl FCR Sub Equip'!L18:L27)</f>
        <v>66924.373124097183</v>
      </c>
      <c r="H6" s="13">
        <f ca="1">-PMT('Lvl FCR Sub Equip'!$L$9,10,G6)</f>
        <v>9794.5054205073411</v>
      </c>
      <c r="I6" s="55">
        <f t="shared" ca="1" si="1"/>
        <v>9.9985576167679099E-2</v>
      </c>
      <c r="J6" s="10"/>
    </row>
    <row r="7" spans="1:10" x14ac:dyDescent="0.25">
      <c r="A7" s="28">
        <f t="shared" ref="A7:A54" si="2">A6+1</f>
        <v>2</v>
      </c>
      <c r="B7" s="11"/>
      <c r="C7" s="11"/>
      <c r="D7" s="16"/>
      <c r="E7" s="15">
        <f ca="1">'Lvl FCR Sub Equip'!B19</f>
        <v>95918.367346938787</v>
      </c>
      <c r="F7" s="14">
        <f t="shared" ca="1" si="0"/>
        <v>8.7612934923017471E-2</v>
      </c>
      <c r="G7" s="13">
        <f ca="1">NPV('Lvl FCR Sub Equip'!$L$9,'Lvl FCR Sub Equip'!L19:L28)</f>
        <v>65285.347920280889</v>
      </c>
      <c r="H7" s="13">
        <f ca="1">-PMT('Lvl FCR Sub Equip'!$L$9,10,G7)</f>
        <v>9554.6310594377337</v>
      </c>
      <c r="I7" s="55">
        <f t="shared" ca="1" si="1"/>
        <v>9.9612111045201887E-2</v>
      </c>
      <c r="J7" s="10"/>
    </row>
    <row r="8" spans="1:10" x14ac:dyDescent="0.25">
      <c r="A8" s="28">
        <f t="shared" si="2"/>
        <v>3</v>
      </c>
      <c r="B8" s="11"/>
      <c r="C8" s="11"/>
      <c r="D8" s="16"/>
      <c r="E8" s="15">
        <f ca="1">'Lvl FCR Sub Equip'!B20</f>
        <v>93877.55102040818</v>
      </c>
      <c r="F8" s="14">
        <f t="shared" ca="1" si="0"/>
        <v>8.9517563943083064E-2</v>
      </c>
      <c r="G8" s="13">
        <f ca="1">NPV('Lvl FCR Sub Equip'!$L$9,'Lvl FCR Sub Equip'!L20:L29)</f>
        <v>63670.231626259687</v>
      </c>
      <c r="H8" s="13">
        <f ca="1">-PMT('Lvl FCR Sub Equip'!$L$9,10,G8)</f>
        <v>9318.2558114065432</v>
      </c>
      <c r="I8" s="55">
        <f t="shared" ca="1" si="1"/>
        <v>9.9259681469330549E-2</v>
      </c>
      <c r="J8" s="10"/>
    </row>
    <row r="9" spans="1:10" x14ac:dyDescent="0.25">
      <c r="A9" s="28">
        <f t="shared" si="2"/>
        <v>4</v>
      </c>
      <c r="B9" s="11"/>
      <c r="C9" s="11"/>
      <c r="D9" s="16"/>
      <c r="E9" s="15">
        <f ca="1">'Lvl FCR Sub Equip'!B21</f>
        <v>91836.734693877574</v>
      </c>
      <c r="F9" s="14">
        <f t="shared" ca="1" si="0"/>
        <v>9.1506843141818242E-2</v>
      </c>
      <c r="G9" s="13">
        <f ca="1">NPV('Lvl FCR Sub Equip'!$L$9,'Lvl FCR Sub Equip'!L21:L30)</f>
        <v>62071.268277839496</v>
      </c>
      <c r="H9" s="13">
        <f ca="1">-PMT('Lvl FCR Sub Equip'!$L$9,10,G9)</f>
        <v>9084.24457675136</v>
      </c>
      <c r="I9" s="55">
        <f t="shared" ca="1" si="1"/>
        <v>9.8917329835737006E-2</v>
      </c>
      <c r="J9" s="10"/>
    </row>
    <row r="10" spans="1:10" x14ac:dyDescent="0.25">
      <c r="A10" s="28">
        <f t="shared" si="2"/>
        <v>5</v>
      </c>
      <c r="B10" s="11"/>
      <c r="C10" s="11"/>
      <c r="D10" s="16"/>
      <c r="E10" s="15">
        <f ca="1">'Lvl FCR Sub Equip'!B22</f>
        <v>89795.918367346967</v>
      </c>
      <c r="F10" s="14">
        <f t="shared" ca="1" si="0"/>
        <v>9.3586544122314097E-2</v>
      </c>
      <c r="G10" s="13">
        <f ca="1">NPV('Lvl FCR Sub Equip'!$L$9,'Lvl FCR Sub Equip'!L22:L31)</f>
        <v>60480.112457547417</v>
      </c>
      <c r="H10" s="13">
        <f ca="1">-PMT('Lvl FCR Sub Equip'!$L$9,10,G10)</f>
        <v>8851.3759882354207</v>
      </c>
      <c r="I10" s="55">
        <f t="shared" ca="1" si="1"/>
        <v>9.8572141687167159E-2</v>
      </c>
      <c r="J10" s="10"/>
    </row>
    <row r="11" spans="1:10" x14ac:dyDescent="0.25">
      <c r="A11" s="28">
        <f t="shared" si="2"/>
        <v>6</v>
      </c>
      <c r="B11" s="11"/>
      <c r="C11" s="11"/>
      <c r="D11" s="16"/>
      <c r="E11" s="15">
        <f ca="1">'Lvl FCR Sub Equip'!B23</f>
        <v>87755.10204081636</v>
      </c>
      <c r="F11" s="14">
        <f t="shared" ca="1" si="0"/>
        <v>9.5762975380972559E-2</v>
      </c>
      <c r="G11" s="13">
        <f ca="1">NPV('Lvl FCR Sub Equip'!$L$9,'Lvl FCR Sub Equip'!L23:L32)</f>
        <v>58892.783931312304</v>
      </c>
      <c r="H11" s="13">
        <f ca="1">-PMT('Lvl FCR Sub Equip'!$L$9,10,G11)</f>
        <v>8619.0675312625499</v>
      </c>
      <c r="I11" s="55">
        <f t="shared" ca="1" si="1"/>
        <v>9.8217281170201107E-2</v>
      </c>
      <c r="J11" s="10"/>
    </row>
    <row r="12" spans="1:10" x14ac:dyDescent="0.25">
      <c r="A12" s="28">
        <f t="shared" si="2"/>
        <v>7</v>
      </c>
      <c r="B12" s="11"/>
      <c r="C12" s="11"/>
      <c r="D12" s="16"/>
      <c r="E12" s="15">
        <f ca="1">'Lvl FCR Sub Equip'!B24</f>
        <v>85714.285714285754</v>
      </c>
      <c r="F12" s="14">
        <f t="shared" ca="1" si="0"/>
        <v>9.8043046223376659E-2</v>
      </c>
      <c r="G12" s="13">
        <f ca="1">NPV('Lvl FCR Sub Equip'!$L$9,'Lvl FCR Sub Equip'!L24:L33)</f>
        <v>57301.915140411627</v>
      </c>
      <c r="H12" s="13">
        <f ca="1">-PMT('Lvl FCR Sub Equip'!$L$9,10,G12)</f>
        <v>8386.2409500273479</v>
      </c>
      <c r="I12" s="55">
        <f t="shared" ca="1" si="1"/>
        <v>9.7839477750319009E-2</v>
      </c>
      <c r="J12" s="10"/>
    </row>
    <row r="13" spans="1:10" x14ac:dyDescent="0.25">
      <c r="A13" s="28">
        <f t="shared" si="2"/>
        <v>8</v>
      </c>
      <c r="B13" s="11"/>
      <c r="C13" s="11"/>
      <c r="D13" s="16"/>
      <c r="E13" s="15">
        <f ca="1">'Lvl FCR Sub Equip'!B25</f>
        <v>83673.469387755147</v>
      </c>
      <c r="F13" s="14">
        <f t="shared" ca="1" si="0"/>
        <v>0.10043434003370291</v>
      </c>
      <c r="G13" s="13">
        <f ca="1">NPV('Lvl FCR Sub Equip'!$L$9,'Lvl FCR Sub Equip'!L25:L34)</f>
        <v>55699.578591659978</v>
      </c>
      <c r="H13" s="13">
        <f ca="1">-PMT('Lvl FCR Sub Equip'!$L$9,10,G13)</f>
        <v>8151.7360412832095</v>
      </c>
      <c r="I13" s="55">
        <f t="shared" ca="1" si="1"/>
        <v>9.7423186834848061E-2</v>
      </c>
      <c r="J13" s="10"/>
    </row>
    <row r="14" spans="1:10" x14ac:dyDescent="0.25">
      <c r="A14" s="28">
        <f t="shared" si="2"/>
        <v>9</v>
      </c>
      <c r="B14" s="11"/>
      <c r="C14" s="11"/>
      <c r="D14" s="16"/>
      <c r="E14" s="15">
        <f ca="1">'Lvl FCR Sub Equip'!B26</f>
        <v>81632.653061224541</v>
      </c>
      <c r="F14" s="14">
        <f t="shared" ca="1" si="0"/>
        <v>0.10294519853454548</v>
      </c>
      <c r="G14" s="13">
        <f ca="1">NPV('Lvl FCR Sub Equip'!$L$9,'Lvl FCR Sub Equip'!L26:L35)</f>
        <v>54097.242042908329</v>
      </c>
      <c r="H14" s="13">
        <f ca="1">-PMT('Lvl FCR Sub Equip'!$L$9,10,G14)</f>
        <v>7917.2311325390701</v>
      </c>
      <c r="I14" s="55">
        <f t="shared" ca="1" si="1"/>
        <v>9.6986081373603553E-2</v>
      </c>
      <c r="J14" s="10"/>
    </row>
    <row r="15" spans="1:10" x14ac:dyDescent="0.25">
      <c r="A15" s="28">
        <f t="shared" si="2"/>
        <v>10</v>
      </c>
      <c r="B15" s="11"/>
      <c r="C15" s="11"/>
      <c r="D15" s="16"/>
      <c r="E15" s="15">
        <f ca="1">'Lvl FCR Sub Equip'!B27</f>
        <v>79591.836734693934</v>
      </c>
      <c r="F15" s="14">
        <f t="shared" ca="1" si="0"/>
        <v>0.10558481900979022</v>
      </c>
      <c r="G15" s="13">
        <f ca="1">NPV('Lvl FCR Sub Equip'!$L$9,'Lvl FCR Sub Equip'!L27:L36)</f>
        <v>52494.905494156665</v>
      </c>
      <c r="H15" s="13">
        <f ca="1">-PMT('Lvl FCR Sub Equip'!$L$9,10,G15)</f>
        <v>7682.7262237949299</v>
      </c>
      <c r="I15" s="55">
        <f t="shared" ca="1" si="1"/>
        <v>9.6526560247679818E-2</v>
      </c>
      <c r="J15" s="10"/>
    </row>
    <row r="16" spans="1:10" x14ac:dyDescent="0.25">
      <c r="A16" s="28">
        <f t="shared" si="2"/>
        <v>11</v>
      </c>
      <c r="B16" s="11"/>
      <c r="C16" s="11"/>
      <c r="D16" s="16"/>
      <c r="E16" s="15">
        <f ca="1">'Lvl FCR Sub Equip'!B28</f>
        <v>77551.020408163327</v>
      </c>
      <c r="F16" s="14">
        <f t="shared" ca="1" si="0"/>
        <v>0.10836336687846891</v>
      </c>
      <c r="G16" s="13">
        <f ca="1">NPV('Lvl FCR Sub Equip'!$L$9,'Lvl FCR Sub Equip'!L28:L37)</f>
        <v>50959.859832801449</v>
      </c>
      <c r="H16" s="13">
        <f ca="1">-PMT('Lvl FCR Sub Equip'!$L$9,10,G16)</f>
        <v>7458.0694605109375</v>
      </c>
      <c r="I16" s="55">
        <f t="shared" ca="1" si="1"/>
        <v>9.6169843043430431E-2</v>
      </c>
      <c r="J16" s="10"/>
    </row>
    <row r="17" spans="1:10" x14ac:dyDescent="0.25">
      <c r="A17" s="28">
        <f t="shared" si="2"/>
        <v>12</v>
      </c>
      <c r="B17" s="11"/>
      <c r="C17" s="11"/>
      <c r="D17" s="16"/>
      <c r="E17" s="15">
        <f ca="1">'Lvl FCR Sub Equip'!B29</f>
        <v>75510.204081632721</v>
      </c>
      <c r="F17" s="14">
        <f t="shared" ca="1" si="0"/>
        <v>0.11129210652383292</v>
      </c>
      <c r="G17" s="13">
        <f ca="1">NPV('Lvl FCR Sub Equip'!$L$9,'Lvl FCR Sub Equip'!L29:L38)</f>
        <v>49496.553509739577</v>
      </c>
      <c r="H17" s="13">
        <f ca="1">-PMT('Lvl FCR Sub Equip'!$L$9,10,G17)</f>
        <v>7243.9118816791442</v>
      </c>
      <c r="I17" s="55">
        <f t="shared" ca="1" si="1"/>
        <v>9.5932887081696686E-2</v>
      </c>
      <c r="J17" s="10"/>
    </row>
    <row r="18" spans="1:10" x14ac:dyDescent="0.25">
      <c r="A18" s="28">
        <f t="shared" si="2"/>
        <v>13</v>
      </c>
      <c r="B18" s="11"/>
      <c r="C18" s="11"/>
      <c r="D18" s="16"/>
      <c r="E18" s="15">
        <f ca="1">'Lvl FCR Sub Equip'!B30</f>
        <v>73469.387755102114</v>
      </c>
      <c r="F18" s="14">
        <f t="shared" ca="1" si="0"/>
        <v>0.11438355392727272</v>
      </c>
      <c r="G18" s="13">
        <f ca="1">NPV('Lvl FCR Sub Equip'!$L$9,'Lvl FCR Sub Equip'!L30:L39)</f>
        <v>48085.229634358446</v>
      </c>
      <c r="H18" s="13">
        <f ca="1">-PMT('Lvl FCR Sub Equip'!$L$9,10,G18)</f>
        <v>7037.3620299251397</v>
      </c>
      <c r="I18" s="55">
        <f t="shared" ca="1" si="1"/>
        <v>9.5786316518425424E-2</v>
      </c>
      <c r="J18" s="10"/>
    </row>
    <row r="19" spans="1:10" x14ac:dyDescent="0.25">
      <c r="A19" s="28">
        <f t="shared" si="2"/>
        <v>14</v>
      </c>
      <c r="B19" s="11"/>
      <c r="C19" s="11"/>
      <c r="D19" s="16"/>
      <c r="E19" s="15">
        <f ca="1">'Lvl FCR Sub Equip'!B31</f>
        <v>71428.571428571508</v>
      </c>
      <c r="F19" s="14">
        <f t="shared" ca="1" si="0"/>
        <v>0.11765165546805192</v>
      </c>
      <c r="G19" s="13">
        <f ca="1">NPV('Lvl FCR Sub Equip'!$L$9,'Lvl FCR Sub Equip'!L31:L40)</f>
        <v>46729.838872681823</v>
      </c>
      <c r="H19" s="13">
        <f ca="1">-PMT('Lvl FCR Sub Equip'!$L$9,10,G19)</f>
        <v>6838.9980925068421</v>
      </c>
      <c r="I19" s="55">
        <f t="shared" ca="1" si="1"/>
        <v>9.5745973295095682E-2</v>
      </c>
      <c r="J19" s="10"/>
    </row>
    <row r="20" spans="1:10" x14ac:dyDescent="0.25">
      <c r="A20" s="28">
        <f t="shared" si="2"/>
        <v>15</v>
      </c>
      <c r="B20" s="11"/>
      <c r="C20" s="11"/>
      <c r="D20" s="16"/>
      <c r="E20" s="15">
        <f ca="1">'Lvl FCR Sub Equip'!B32</f>
        <v>69387.755102040901</v>
      </c>
      <c r="F20" s="14">
        <f t="shared" ca="1" si="0"/>
        <v>0.12111199827593579</v>
      </c>
      <c r="G20" s="13">
        <f ca="1">NPV('Lvl FCR Sub Equip'!$L$9,'Lvl FCR Sub Equip'!L32:L41)</f>
        <v>45434.632141351227</v>
      </c>
      <c r="H20" s="13">
        <f ca="1">-PMT('Lvl FCR Sub Equip'!$L$9,10,G20)</f>
        <v>6649.44219891376</v>
      </c>
      <c r="I20" s="55">
        <f t="shared" ca="1" si="1"/>
        <v>9.5830196396109957E-2</v>
      </c>
      <c r="J20" s="10"/>
    </row>
    <row r="21" spans="1:10" x14ac:dyDescent="0.25">
      <c r="A21" s="28">
        <f t="shared" si="2"/>
        <v>16</v>
      </c>
      <c r="B21" s="11"/>
      <c r="C21" s="11"/>
      <c r="D21" s="16"/>
      <c r="E21" s="15">
        <f ca="1">'Lvl FCR Sub Equip'!B33</f>
        <v>67346.938775510294</v>
      </c>
      <c r="F21" s="14">
        <f t="shared" ca="1" si="0"/>
        <v>0.124782058829752</v>
      </c>
      <c r="G21" s="13">
        <f ca="1">NPV('Lvl FCR Sub Equip'!$L$9,'Lvl FCR Sub Equip'!L33:L42)</f>
        <v>44204.183426672971</v>
      </c>
      <c r="H21" s="13">
        <f ca="1">-PMT('Lvl FCR Sub Equip'!$L$9,10,G21)</f>
        <v>6469.3637604766109</v>
      </c>
      <c r="I21" s="55">
        <f t="shared" ca="1" si="1"/>
        <v>9.6060249776773785E-2</v>
      </c>
      <c r="J21" s="10"/>
    </row>
    <row r="22" spans="1:10" x14ac:dyDescent="0.25">
      <c r="A22" s="28">
        <f t="shared" si="2"/>
        <v>17</v>
      </c>
      <c r="B22" s="11"/>
      <c r="C22" s="11"/>
      <c r="D22" s="16"/>
      <c r="E22" s="15">
        <f ca="1">'Lvl FCR Sub Equip'!B34</f>
        <v>65306.12244897968</v>
      </c>
      <c r="F22" s="14">
        <f t="shared" ca="1" si="0"/>
        <v>0.12868149816818175</v>
      </c>
      <c r="G22" s="13">
        <f ca="1">NPV('Lvl FCR Sub Equip'!$L$9,'Lvl FCR Sub Equip'!L34:L43)</f>
        <v>43043.414337912625</v>
      </c>
      <c r="H22" s="13">
        <f ca="1">-PMT('Lvl FCR Sub Equip'!$L$9,10,G22)</f>
        <v>6299.4830637872474</v>
      </c>
      <c r="I22" s="55">
        <f t="shared" ca="1" si="1"/>
        <v>9.6460834414242094E-2</v>
      </c>
      <c r="J22" s="10"/>
    </row>
    <row r="23" spans="1:10" x14ac:dyDescent="0.25">
      <c r="A23" s="28">
        <f t="shared" si="2"/>
        <v>18</v>
      </c>
      <c r="B23" s="11"/>
      <c r="C23" s="11"/>
      <c r="D23" s="16"/>
      <c r="E23" s="15">
        <f ca="1">'Lvl FCR Sub Equip'!B35</f>
        <v>63265.306122449067</v>
      </c>
      <c r="F23" s="14">
        <f t="shared" ca="1" si="0"/>
        <v>0.13283251423812309</v>
      </c>
      <c r="G23" s="13">
        <f ca="1">NPV('Lvl FCR Sub Equip'!$L$9,'Lvl FCR Sub Equip'!L35:L44)</f>
        <v>41957.620526639963</v>
      </c>
      <c r="H23" s="13">
        <f ca="1">-PMT('Lvl FCR Sub Equip'!$L$9,10,G23)</f>
        <v>6140.5751372185005</v>
      </c>
      <c r="I23" s="55">
        <f t="shared" ca="1" si="1"/>
        <v>9.7060703781840674E-2</v>
      </c>
      <c r="J23" s="10"/>
    </row>
    <row r="24" spans="1:10" x14ac:dyDescent="0.25">
      <c r="A24" s="28">
        <f t="shared" si="2"/>
        <v>19</v>
      </c>
      <c r="B24" s="11"/>
      <c r="C24" s="11"/>
      <c r="D24" s="16"/>
      <c r="E24" s="15">
        <f ca="1">'Lvl FCR Sub Equip'!B36</f>
        <v>61224.489795918453</v>
      </c>
      <c r="F24" s="14">
        <f t="shared" ca="1" si="0"/>
        <v>0.1372602647127272</v>
      </c>
      <c r="G24" s="13">
        <f ca="1">NPV('Lvl FCR Sub Equip'!$L$9,'Lvl FCR Sub Equip'!L36:L45)</f>
        <v>40952.500113944065</v>
      </c>
      <c r="H24" s="13">
        <f ca="1">-PMT('Lvl FCR Sub Equip'!$L$9,10,G24)</f>
        <v>5993.4739112995421</v>
      </c>
      <c r="I24" s="55">
        <f t="shared" ca="1" si="1"/>
        <v>9.7893407217892386E-2</v>
      </c>
      <c r="J24" s="10"/>
    </row>
    <row r="25" spans="1:10" x14ac:dyDescent="0.25">
      <c r="A25" s="28">
        <f t="shared" si="2"/>
        <v>20</v>
      </c>
      <c r="B25" s="11"/>
      <c r="C25" s="11"/>
      <c r="D25" s="16"/>
      <c r="E25" s="15">
        <f ca="1">'Lvl FCR Sub Equip'!B37</f>
        <v>59183.673469387839</v>
      </c>
      <c r="F25" s="14">
        <f t="shared" ca="1" si="0"/>
        <v>0.14199337728902814</v>
      </c>
      <c r="G25" s="13">
        <f ca="1">NPV('Lvl FCR Sub Equip'!$L$9,'Lvl FCR Sub Equip'!L37:L46)</f>
        <v>40034.184278116714</v>
      </c>
      <c r="H25" s="13">
        <f ca="1">-PMT('Lvl FCR Sub Equip'!$L$9,10,G25)</f>
        <v>5859.0766952797458</v>
      </c>
      <c r="I25" s="55">
        <f t="shared" ca="1" si="1"/>
        <v>9.8998192437485213E-2</v>
      </c>
      <c r="J25" s="10"/>
    </row>
    <row r="26" spans="1:10" x14ac:dyDescent="0.25">
      <c r="A26" s="28">
        <f t="shared" si="2"/>
        <v>21</v>
      </c>
      <c r="B26" s="11"/>
      <c r="C26" s="11"/>
      <c r="D26" s="16"/>
      <c r="E26" s="15">
        <f ca="1">'Lvl FCR Sub Equip'!B38</f>
        <v>57142.857142857225</v>
      </c>
      <c r="F26" s="14">
        <f t="shared" ca="1" si="0"/>
        <v>0.14706456933506484</v>
      </c>
      <c r="G26" s="13">
        <f ca="1">NPV('Lvl FCR Sub Equip'!$L$9,'Lvl FCR Sub Equip'!L38:L47)</f>
        <v>39069.285983370559</v>
      </c>
      <c r="H26" s="13">
        <f ca="1">-PMT('Lvl FCR Sub Equip'!$L$9,10,G26)</f>
        <v>5717.8620504954724</v>
      </c>
      <c r="I26" s="55">
        <f t="shared" ca="1" si="1"/>
        <v>0.10006258588367062</v>
      </c>
      <c r="J26" s="10"/>
    </row>
    <row r="27" spans="1:10" x14ac:dyDescent="0.25">
      <c r="A27" s="28">
        <f t="shared" si="2"/>
        <v>22</v>
      </c>
      <c r="B27" s="11"/>
      <c r="C27" s="11"/>
      <c r="D27" s="16"/>
      <c r="E27" s="15">
        <f ca="1">'Lvl FCR Sub Equip'!B39</f>
        <v>55102.040816326611</v>
      </c>
      <c r="F27" s="14">
        <f t="shared" ca="1" si="0"/>
        <v>0.15251140523636356</v>
      </c>
      <c r="G27" s="13">
        <f ca="1">NPV('Lvl FCR Sub Equip'!$L$9,'Lvl FCR Sub Equip'!L39:L48)</f>
        <v>38055.649717757769</v>
      </c>
      <c r="H27" s="13">
        <f ca="1">-PMT('Lvl FCR Sub Equip'!$L$9,10,G27)</f>
        <v>5569.5145137982254</v>
      </c>
      <c r="I27" s="55">
        <f t="shared" ca="1" si="1"/>
        <v>0.10107637450967134</v>
      </c>
      <c r="J27" s="10"/>
    </row>
    <row r="28" spans="1:10" x14ac:dyDescent="0.25">
      <c r="A28" s="28">
        <f t="shared" si="2"/>
        <v>23</v>
      </c>
      <c r="B28" s="11"/>
      <c r="C28" s="11"/>
      <c r="D28" s="16"/>
      <c r="E28" s="15">
        <f ca="1">'Lvl FCR Sub Equip'!B40</f>
        <v>53061.224489795997</v>
      </c>
      <c r="F28" s="14">
        <f t="shared" ca="1" si="0"/>
        <v>0.15837722851468522</v>
      </c>
      <c r="G28" s="13">
        <f ca="1">NPV('Lvl FCR Sub Equip'!$L$9,'Lvl FCR Sub Equip'!L40:L49)</f>
        <v>37042.013452144973</v>
      </c>
      <c r="H28" s="13">
        <f ca="1">-PMT('Lvl FCR Sub Equip'!$L$9,10,G28)</f>
        <v>5421.1669771009765</v>
      </c>
      <c r="I28" s="55">
        <f t="shared" ca="1" si="1"/>
        <v>0.10216814687613364</v>
      </c>
      <c r="J28" s="10"/>
    </row>
    <row r="29" spans="1:10" x14ac:dyDescent="0.25">
      <c r="A29" s="28">
        <f t="shared" si="2"/>
        <v>24</v>
      </c>
      <c r="B29" s="11"/>
      <c r="C29" s="11"/>
      <c r="D29" s="16"/>
      <c r="E29" s="15">
        <f ca="1">'Lvl FCR Sub Equip'!B41</f>
        <v>51020.408163265383</v>
      </c>
      <c r="F29" s="14">
        <f t="shared" ca="1" si="0"/>
        <v>0.16471231765527261</v>
      </c>
      <c r="G29" s="13">
        <f ca="1">NPV('Lvl FCR Sub Equip'!$L$9,'Lvl FCR Sub Equip'!L41:L50)</f>
        <v>36028.377186532183</v>
      </c>
      <c r="H29" s="13">
        <f ca="1">-PMT('Lvl FCR Sub Equip'!$L$9,10,G29)</f>
        <v>5272.8194404037295</v>
      </c>
      <c r="I29" s="55">
        <f t="shared" ca="1" si="1"/>
        <v>0.10334726103191294</v>
      </c>
      <c r="J29" s="10"/>
    </row>
    <row r="30" spans="1:10" x14ac:dyDescent="0.25">
      <c r="A30" s="28">
        <f t="shared" si="2"/>
        <v>25</v>
      </c>
      <c r="B30" s="11"/>
      <c r="C30" s="11"/>
      <c r="D30" s="16"/>
      <c r="E30" s="15">
        <f ca="1">'Lvl FCR Sub Equip'!B42</f>
        <v>48979.591836734769</v>
      </c>
      <c r="F30" s="14">
        <f t="shared" ca="1" si="0"/>
        <v>0.17157533089090898</v>
      </c>
      <c r="G30" s="13">
        <f ca="1">NPV('Lvl FCR Sub Equip'!$L$9,'Lvl FCR Sub Equip'!L42:L51)</f>
        <v>35014.740920919372</v>
      </c>
      <c r="H30" s="13">
        <f ca="1">-PMT('Lvl FCR Sub Equip'!$L$9,10,G30)</f>
        <v>5124.4719037064788</v>
      </c>
      <c r="I30" s="55">
        <f t="shared" ca="1" si="1"/>
        <v>0.10462463470067378</v>
      </c>
      <c r="J30" s="10"/>
    </row>
    <row r="31" spans="1:10" x14ac:dyDescent="0.25">
      <c r="A31" s="28">
        <f t="shared" si="2"/>
        <v>26</v>
      </c>
      <c r="B31" s="11"/>
      <c r="C31" s="11"/>
      <c r="D31" s="16"/>
      <c r="E31" s="15">
        <f ca="1">'Lvl FCR Sub Equip'!B43</f>
        <v>46938.775510204156</v>
      </c>
      <c r="F31" s="14">
        <f t="shared" ca="1" si="0"/>
        <v>0.17903512788616588</v>
      </c>
      <c r="G31" s="13">
        <f ca="1">NPV('Lvl FCR Sub Equip'!$L$9,'Lvl FCR Sub Equip'!L43:L52)</f>
        <v>34001.104655306575</v>
      </c>
      <c r="H31" s="13">
        <f ca="1">-PMT('Lvl FCR Sub Equip'!$L$9,10,G31)</f>
        <v>4976.1243670092308</v>
      </c>
      <c r="I31" s="55">
        <f t="shared" ca="1" si="1"/>
        <v>0.10601308434063127</v>
      </c>
      <c r="J31" s="10"/>
    </row>
    <row r="32" spans="1:10" x14ac:dyDescent="0.25">
      <c r="A32" s="28">
        <f t="shared" si="2"/>
        <v>27</v>
      </c>
      <c r="B32" s="11"/>
      <c r="C32" s="11"/>
      <c r="D32" s="16"/>
      <c r="E32" s="15">
        <f ca="1">'Lvl FCR Sub Equip'!B44</f>
        <v>44897.959183673542</v>
      </c>
      <c r="F32" s="14">
        <f t="shared" ca="1" si="0"/>
        <v>0.18717308824462797</v>
      </c>
      <c r="G32" s="13">
        <f ca="1">NPV('Lvl FCR Sub Equip'!$L$9,'Lvl FCR Sub Equip'!L44:L53)</f>
        <v>32987.468389693786</v>
      </c>
      <c r="H32" s="13">
        <f ca="1">-PMT('Lvl FCR Sub Equip'!$L$9,10,G32)</f>
        <v>4827.7768303119828</v>
      </c>
      <c r="I32" s="55">
        <f t="shared" ca="1" si="1"/>
        <v>0.10752775667513036</v>
      </c>
      <c r="J32" s="10"/>
    </row>
    <row r="33" spans="1:10" x14ac:dyDescent="0.25">
      <c r="A33" s="28">
        <f t="shared" si="2"/>
        <v>28</v>
      </c>
      <c r="B33" s="11"/>
      <c r="C33" s="11"/>
      <c r="D33" s="16"/>
      <c r="E33" s="15">
        <f ca="1">'Lvl FCR Sub Equip'!B45</f>
        <v>42857.142857142928</v>
      </c>
      <c r="F33" s="14">
        <f t="shared" ca="1" si="0"/>
        <v>0.1960860924467531</v>
      </c>
      <c r="G33" s="13">
        <f ca="1">NPV('Lvl FCR Sub Equip'!$L$9,'Lvl FCR Sub Equip'!L45:L54)</f>
        <v>31973.832124080986</v>
      </c>
      <c r="H33" s="13">
        <f ca="1">-PMT('Lvl FCR Sub Equip'!$L$9,10,G33)</f>
        <v>4679.429293614734</v>
      </c>
      <c r="I33" s="55">
        <f t="shared" ca="1" si="1"/>
        <v>0.10918668351767695</v>
      </c>
      <c r="J33" s="10"/>
    </row>
    <row r="34" spans="1:10" x14ac:dyDescent="0.25">
      <c r="A34" s="28">
        <f t="shared" si="2"/>
        <v>29</v>
      </c>
      <c r="B34" s="11"/>
      <c r="C34" s="11"/>
      <c r="D34" s="16"/>
      <c r="E34" s="15">
        <f ca="1">'Lvl FCR Sub Equip'!B46</f>
        <v>40816.326530612314</v>
      </c>
      <c r="F34" s="14">
        <f t="shared" ca="1" si="0"/>
        <v>0.20589039706909074</v>
      </c>
      <c r="G34" s="13">
        <f ca="1">NPV('Lvl FCR Sub Equip'!$L$9,'Lvl FCR Sub Equip'!L46:L55)</f>
        <v>30960.195858468189</v>
      </c>
      <c r="H34" s="13">
        <f ca="1">-PMT('Lvl FCR Sub Equip'!$L$9,10,G34)</f>
        <v>4531.081756917486</v>
      </c>
      <c r="I34" s="55">
        <f t="shared" ca="1" si="1"/>
        <v>0.11101150304447822</v>
      </c>
      <c r="J34" s="10"/>
    </row>
    <row r="35" spans="1:10" x14ac:dyDescent="0.25">
      <c r="A35" s="28">
        <f t="shared" si="2"/>
        <v>30</v>
      </c>
      <c r="B35" s="11"/>
      <c r="C35" s="11"/>
      <c r="D35" s="16"/>
      <c r="E35" s="15">
        <f ca="1">'Lvl FCR Sub Equip'!B47</f>
        <v>38775.5102040817</v>
      </c>
      <c r="F35" s="14">
        <f t="shared" ca="1" si="0"/>
        <v>0.2167267337569376</v>
      </c>
      <c r="G35" s="13">
        <f ca="1">NPV('Lvl FCR Sub Equip'!$L$9,'Lvl FCR Sub Equip'!L47:L56)</f>
        <v>29946.559592855392</v>
      </c>
      <c r="H35" s="13">
        <f ca="1">-PMT('Lvl FCR Sub Equip'!$L$9,10,G35)</f>
        <v>4382.7342202202371</v>
      </c>
      <c r="I35" s="55">
        <f t="shared" ca="1" si="1"/>
        <v>0.11302840883725855</v>
      </c>
      <c r="J35" s="10"/>
    </row>
    <row r="36" spans="1:10" x14ac:dyDescent="0.25">
      <c r="A36" s="28">
        <f t="shared" si="2"/>
        <v>31</v>
      </c>
      <c r="B36" s="11"/>
      <c r="C36" s="11"/>
      <c r="D36" s="16"/>
      <c r="E36" s="15">
        <f ca="1">'Lvl FCR Sub Equip'!B48</f>
        <v>36734.693877551086</v>
      </c>
      <c r="F36" s="14">
        <f t="shared" ca="1" si="0"/>
        <v>0.22876710785454524</v>
      </c>
      <c r="G36" s="13">
        <f ca="1">NPV('Lvl FCR Sub Equip'!$L$9,'Lvl FCR Sub Equip'!L48:L57)</f>
        <v>28932.923327242595</v>
      </c>
      <c r="H36" s="13">
        <f ca="1">-PMT('Lvl FCR Sub Equip'!$L$9,10,G36)</f>
        <v>4234.3866835229892</v>
      </c>
      <c r="I36" s="55">
        <f t="shared" ca="1" si="1"/>
        <v>0.11526941527368116</v>
      </c>
      <c r="J36" s="10"/>
    </row>
    <row r="37" spans="1:10" x14ac:dyDescent="0.25">
      <c r="A37" s="28">
        <f t="shared" si="2"/>
        <v>32</v>
      </c>
      <c r="B37" s="11"/>
      <c r="C37" s="11"/>
      <c r="D37" s="16"/>
      <c r="E37" s="15">
        <f ca="1">'Lvl FCR Sub Equip'!B49</f>
        <v>34693.877551020472</v>
      </c>
      <c r="F37" s="14">
        <f t="shared" ca="1" si="0"/>
        <v>0.24222399655187141</v>
      </c>
      <c r="G37" s="13">
        <f ca="1">NPV('Lvl FCR Sub Equip'!$L$9,'Lvl FCR Sub Equip'!L49:L58)</f>
        <v>27919.287061629802</v>
      </c>
      <c r="H37" s="13">
        <f ca="1">-PMT('Lvl FCR Sub Equip'!$L$9,10,G37)</f>
        <v>4086.0391468257408</v>
      </c>
      <c r="I37" s="55">
        <f t="shared" ca="1" si="1"/>
        <v>0.11777406952615349</v>
      </c>
      <c r="J37" s="10"/>
    </row>
    <row r="38" spans="1:10" x14ac:dyDescent="0.25">
      <c r="A38" s="28">
        <f t="shared" si="2"/>
        <v>33</v>
      </c>
      <c r="B38" s="11"/>
      <c r="C38" s="11"/>
      <c r="D38" s="16"/>
      <c r="E38" s="15">
        <f ca="1">'Lvl FCR Sub Equip'!B50</f>
        <v>32653.061224489858</v>
      </c>
      <c r="F38" s="14">
        <f t="shared" ca="1" si="0"/>
        <v>0.25736299633636339</v>
      </c>
      <c r="G38" s="13">
        <f ca="1">NPV('Lvl FCR Sub Equip'!$L$9,'Lvl FCR Sub Equip'!L50:L59)</f>
        <v>26905.650796016998</v>
      </c>
      <c r="H38" s="13">
        <f ca="1">-PMT('Lvl FCR Sub Equip'!$L$9,10,G38)</f>
        <v>3937.6916101284914</v>
      </c>
      <c r="I38" s="55">
        <f t="shared" ca="1" si="1"/>
        <v>0.12059180556018483</v>
      </c>
      <c r="J38" s="10"/>
    </row>
    <row r="39" spans="1:10" x14ac:dyDescent="0.25">
      <c r="A39" s="28">
        <f t="shared" si="2"/>
        <v>34</v>
      </c>
      <c r="B39" s="11"/>
      <c r="C39" s="11"/>
      <c r="D39" s="16"/>
      <c r="E39" s="15">
        <f ca="1">'Lvl FCR Sub Equip'!B51</f>
        <v>30612.244897959245</v>
      </c>
      <c r="F39" s="14">
        <f t="shared" ref="F39:F43" ca="1" si="3">$C$5/E39</f>
        <v>0.27452052942545424</v>
      </c>
      <c r="G39" s="13">
        <f ca="1">NPV('Lvl FCR Sub Equip'!$L$9,'Lvl FCR Sub Equip'!L51:L60)</f>
        <v>25892.014530404209</v>
      </c>
      <c r="H39" s="13">
        <f ca="1">-PMT('Lvl FCR Sub Equip'!$L$9,10,G39)</f>
        <v>3789.3440734312439</v>
      </c>
      <c r="I39" s="55">
        <f t="shared" ref="I39:I40" ca="1" si="4">H39/E39</f>
        <v>0.12378523973208705</v>
      </c>
      <c r="J39" s="10"/>
    </row>
    <row r="40" spans="1:10" x14ac:dyDescent="0.25">
      <c r="A40" s="28">
        <f t="shared" si="2"/>
        <v>35</v>
      </c>
      <c r="B40" s="11"/>
      <c r="C40" s="11"/>
      <c r="D40" s="16"/>
      <c r="E40" s="15">
        <f ca="1">'Lvl FCR Sub Equip'!B52</f>
        <v>28571.428571428631</v>
      </c>
      <c r="F40" s="14">
        <f t="shared" ca="1" si="3"/>
        <v>0.29412913867012952</v>
      </c>
      <c r="G40" s="13">
        <f ca="1">NPV('Lvl FCR Sub Equip'!$L$9,'Lvl FCR Sub Equip'!L52:L61)</f>
        <v>24878.378264791405</v>
      </c>
      <c r="H40" s="13">
        <f ca="1">-PMT('Lvl FCR Sub Equip'!$L$9,10,G40)</f>
        <v>3640.9965367339942</v>
      </c>
      <c r="I40" s="55">
        <f t="shared" ca="1" si="4"/>
        <v>0.12743487878568954</v>
      </c>
      <c r="J40" s="10"/>
    </row>
    <row r="41" spans="1:10" x14ac:dyDescent="0.25">
      <c r="A41" s="28">
        <f t="shared" si="2"/>
        <v>36</v>
      </c>
      <c r="B41" s="11"/>
      <c r="C41" s="11"/>
      <c r="D41" s="16"/>
      <c r="E41" s="15">
        <f ca="1">'Lvl FCR Sub Equip'!B53</f>
        <v>26530.612244898017</v>
      </c>
      <c r="F41" s="14">
        <f t="shared" ca="1" si="3"/>
        <v>0.31675445702937022</v>
      </c>
      <c r="G41" s="13">
        <f ca="1">NPV('Lvl FCR Sub Equip'!$L$9,'Lvl FCR Sub Equip'!L53:L61)</f>
        <v>22549.423884263844</v>
      </c>
      <c r="H41" s="13">
        <f ca="1">-PMT('Lvl FCR Sub Equip'!$L$9,10,G41)</f>
        <v>3300.1497683691509</v>
      </c>
      <c r="I41" s="55">
        <f t="shared" ref="I41:I43" ca="1" si="5">H41/E41</f>
        <v>0.12439026050006773</v>
      </c>
      <c r="J41" s="10"/>
    </row>
    <row r="42" spans="1:10" x14ac:dyDescent="0.25">
      <c r="A42" s="28">
        <f t="shared" si="2"/>
        <v>37</v>
      </c>
      <c r="B42" s="11"/>
      <c r="C42" s="11"/>
      <c r="D42" s="16"/>
      <c r="E42" s="15">
        <f ca="1">'Lvl FCR Sub Equip'!B54</f>
        <v>24489.795918367403</v>
      </c>
      <c r="F42" s="14">
        <f t="shared" ca="1" si="3"/>
        <v>0.34315066178181769</v>
      </c>
      <c r="G42" s="13">
        <f ca="1">NPV('Lvl FCR Sub Equip'!$L$9,'Lvl FCR Sub Equip'!L54:L61)</f>
        <v>20191.816507513438</v>
      </c>
      <c r="H42" s="13">
        <f ca="1">-PMT('Lvl FCR Sub Equip'!$L$9,10,G42)</f>
        <v>2955.1095811687205</v>
      </c>
      <c r="I42" s="55">
        <f t="shared" ca="1" si="5"/>
        <v>0.12066697456438914</v>
      </c>
      <c r="J42" s="10"/>
    </row>
    <row r="43" spans="1:10" x14ac:dyDescent="0.25">
      <c r="A43" s="28">
        <f t="shared" si="2"/>
        <v>38</v>
      </c>
      <c r="B43" s="11"/>
      <c r="C43" s="11"/>
      <c r="D43" s="16"/>
      <c r="E43" s="15">
        <f ca="1">'Lvl FCR Sub Equip'!B55</f>
        <v>22448.979591836789</v>
      </c>
      <c r="F43" s="14">
        <f t="shared" ca="1" si="3"/>
        <v>0.37434617648925561</v>
      </c>
      <c r="G43" s="13">
        <f ca="1">NPV('Lvl FCR Sub Equip'!$L$9,'Lvl FCR Sub Equip'!L55:L61)</f>
        <v>17803.378506827241</v>
      </c>
      <c r="H43" s="13">
        <f ca="1">-PMT('Lvl FCR Sub Equip'!$L$9,10,G43)</f>
        <v>2605.5572753011975</v>
      </c>
      <c r="I43" s="55">
        <f t="shared" ca="1" si="5"/>
        <v>0.11606573317250761</v>
      </c>
      <c r="J43" s="10"/>
    </row>
    <row r="44" spans="1:10" x14ac:dyDescent="0.25">
      <c r="A44" s="28">
        <f t="shared" si="2"/>
        <v>39</v>
      </c>
      <c r="B44" s="11"/>
      <c r="C44" s="11"/>
      <c r="D44" s="16"/>
      <c r="E44" s="15">
        <f ca="1">'Lvl FCR Sub Equip'!B56</f>
        <v>20408.163265306175</v>
      </c>
      <c r="F44" s="14">
        <f t="shared" ref="F44:F50" ca="1" si="6">$C$5/E44</f>
        <v>0.41178079413818108</v>
      </c>
      <c r="G44" s="13">
        <f ca="1">NPV('Lvl FCR Sub Equip'!$L$9,'Lvl FCR Sub Equip'!L56:L62)</f>
        <v>17020.346625281541</v>
      </c>
      <c r="H44" s="13">
        <f ca="1">-PMT('Lvl FCR Sub Equip'!$L$9,10,G44)</f>
        <v>2490.9591154647483</v>
      </c>
      <c r="I44" s="55">
        <f t="shared" ref="I44:I50" ca="1" si="7">H44/E44</f>
        <v>0.12205699665777235</v>
      </c>
      <c r="J44" s="10"/>
    </row>
    <row r="45" spans="1:10" x14ac:dyDescent="0.25">
      <c r="A45" s="28">
        <f t="shared" si="2"/>
        <v>40</v>
      </c>
      <c r="B45" s="11"/>
      <c r="C45" s="11"/>
      <c r="D45" s="16"/>
      <c r="E45" s="15">
        <f ca="1">'Lvl FCR Sub Equip'!B57</f>
        <v>18367.346938775561</v>
      </c>
      <c r="F45" s="14">
        <f t="shared" ca="1" si="6"/>
        <v>0.45753421570909003</v>
      </c>
      <c r="G45" s="13">
        <f ca="1">NPV('Lvl FCR Sub Equip'!$L$9,'Lvl FCR Sub Equip'!L57:L63)</f>
        <v>16237.314743735837</v>
      </c>
      <c r="H45" s="13">
        <f ca="1">-PMT('Lvl FCR Sub Equip'!$L$9,10,G45)</f>
        <v>2376.3609556282991</v>
      </c>
      <c r="I45" s="55">
        <f t="shared" ca="1" si="7"/>
        <v>0.12937965202865148</v>
      </c>
      <c r="J45" s="10"/>
    </row>
    <row r="46" spans="1:10" x14ac:dyDescent="0.25">
      <c r="A46" s="28">
        <f t="shared" si="2"/>
        <v>41</v>
      </c>
      <c r="B46" s="11"/>
      <c r="C46" s="11"/>
      <c r="D46" s="16"/>
      <c r="E46" s="15">
        <f ca="1">'Lvl FCR Sub Equip'!B58</f>
        <v>16326.530612244949</v>
      </c>
      <c r="F46" s="14">
        <f t="shared" ca="1" si="6"/>
        <v>0.51472599267272612</v>
      </c>
      <c r="G46" s="13">
        <f ca="1">NPV('Lvl FCR Sub Equip'!$L$9,'Lvl FCR Sub Equip'!L58:L64)</f>
        <v>15454.282862190132</v>
      </c>
      <c r="H46" s="13">
        <f ca="1">-PMT('Lvl FCR Sub Equip'!$L$9,10,G46)</f>
        <v>2261.7627957918498</v>
      </c>
      <c r="I46" s="55">
        <f t="shared" ca="1" si="7"/>
        <v>0.13853297124225036</v>
      </c>
      <c r="J46" s="10"/>
    </row>
    <row r="47" spans="1:10" x14ac:dyDescent="0.25">
      <c r="A47" s="28">
        <f t="shared" si="2"/>
        <v>42</v>
      </c>
      <c r="B47" s="11"/>
      <c r="C47" s="11"/>
      <c r="D47" s="16"/>
      <c r="E47" s="15">
        <f ca="1">'Lvl FCR Sub Equip'!B59</f>
        <v>14285.714285714337</v>
      </c>
      <c r="F47" s="14">
        <f t="shared" ca="1" si="6"/>
        <v>0.58825827734025815</v>
      </c>
      <c r="G47" s="13">
        <f ca="1">NPV('Lvl FCR Sub Equip'!$L$9,'Lvl FCR Sub Equip'!L59:L65)</f>
        <v>14671.250980644425</v>
      </c>
      <c r="H47" s="13">
        <f ca="1">-PMT('Lvl FCR Sub Equip'!$L$9,10,G47)</f>
        <v>2147.1646359553997</v>
      </c>
      <c r="I47" s="55">
        <f t="shared" ca="1" si="7"/>
        <v>0.15030152451687745</v>
      </c>
      <c r="J47" s="10"/>
    </row>
    <row r="48" spans="1:10" x14ac:dyDescent="0.25">
      <c r="A48" s="28">
        <f t="shared" si="2"/>
        <v>43</v>
      </c>
      <c r="B48" s="11"/>
      <c r="C48" s="11"/>
      <c r="D48" s="16"/>
      <c r="E48" s="15">
        <f ca="1">'Lvl FCR Sub Equip'!B60</f>
        <v>12244.897959183725</v>
      </c>
      <c r="F48" s="14">
        <f t="shared" ca="1" si="6"/>
        <v>0.68630132356363405</v>
      </c>
      <c r="G48" s="13">
        <f ca="1">NPV('Lvl FCR Sub Equip'!$L$9,'Lvl FCR Sub Equip'!L60:L65)</f>
        <v>12604.987683402431</v>
      </c>
      <c r="H48" s="13">
        <f ca="1">-PMT('Lvl FCR Sub Equip'!$L$9,10,G48)</f>
        <v>1844.7631920523706</v>
      </c>
      <c r="I48" s="55">
        <f t="shared" ca="1" si="7"/>
        <v>0.1506556606842763</v>
      </c>
      <c r="J48" s="10"/>
    </row>
    <row r="49" spans="1:10" x14ac:dyDescent="0.25">
      <c r="A49" s="28">
        <f t="shared" si="2"/>
        <v>44</v>
      </c>
      <c r="B49" s="11"/>
      <c r="C49" s="11"/>
      <c r="D49" s="16"/>
      <c r="E49" s="15">
        <f ca="1">'Lvl FCR Sub Equip'!B61</f>
        <v>10204.081632653113</v>
      </c>
      <c r="F49" s="14">
        <f t="shared" ca="1" si="6"/>
        <v>0.82356158827636017</v>
      </c>
      <c r="G49" s="13">
        <f ca="1">NPV('Lvl FCR Sub Equip'!$L$9,'Lvl FCR Sub Equip'!L61:L65)</f>
        <v>10530.035912267293</v>
      </c>
      <c r="H49" s="13">
        <f ca="1">-PMT('Lvl FCR Sub Equip'!$L$9,10,G49)</f>
        <v>1541.0901739728517</v>
      </c>
      <c r="I49" s="55">
        <f t="shared" ca="1" si="7"/>
        <v>0.1510268370493387</v>
      </c>
      <c r="J49" s="10"/>
    </row>
    <row r="50" spans="1:10" x14ac:dyDescent="0.25">
      <c r="A50" s="28">
        <f t="shared" si="2"/>
        <v>45</v>
      </c>
      <c r="B50" s="11"/>
      <c r="C50" s="11"/>
      <c r="D50" s="16"/>
      <c r="E50" s="15">
        <f ca="1">'Lvl FCR Sub Equip'!B62</f>
        <v>8163.265306122501</v>
      </c>
      <c r="F50" s="14">
        <f t="shared" ca="1" si="6"/>
        <v>1.0294519853454489</v>
      </c>
      <c r="G50" s="13">
        <f ca="1">NPV('Lvl FCR Sub Equip'!$L$9,'Lvl FCR Sub Equip'!L62:L65)</f>
        <v>8445.7353432231303</v>
      </c>
      <c r="H50" s="13">
        <f ca="1">-PMT('Lvl FCR Sub Equip'!$L$9,10,G50)</f>
        <v>1236.0489420794304</v>
      </c>
      <c r="I50" s="55">
        <f t="shared" ca="1" si="7"/>
        <v>0.15141599540472925</v>
      </c>
      <c r="J50" s="10"/>
    </row>
    <row r="51" spans="1:10" x14ac:dyDescent="0.25">
      <c r="A51" s="28">
        <f t="shared" si="2"/>
        <v>46</v>
      </c>
      <c r="B51" s="11"/>
      <c r="C51" s="11"/>
      <c r="D51" s="16"/>
      <c r="E51" s="15">
        <f ca="1">'Lvl FCR Sub Equip'!B63</f>
        <v>6122.4489795918889</v>
      </c>
      <c r="F51" s="14">
        <f t="shared" ref="F51:F53" ca="1" si="8">$C$5/E51</f>
        <v>1.3726026471272621</v>
      </c>
      <c r="G51" s="13">
        <f ca="1">NPV('Lvl FCR Sub Equip'!$L$9,'Lvl FCR Sub Equip'!L63:L65)</f>
        <v>6351.37546762886</v>
      </c>
      <c r="H51" s="13">
        <f ca="1">-PMT('Lvl FCR Sub Equip'!$L$9,10,G51)</f>
        <v>929.53551212225</v>
      </c>
      <c r="I51" s="55">
        <f t="shared" ref="I51:I53" ca="1" si="9">H51/E51</f>
        <v>0.15182413364663286</v>
      </c>
      <c r="J51" s="10"/>
    </row>
    <row r="52" spans="1:10" x14ac:dyDescent="0.25">
      <c r="A52" s="28">
        <f t="shared" si="2"/>
        <v>47</v>
      </c>
      <c r="B52" s="11"/>
      <c r="C52" s="11"/>
      <c r="D52" s="16"/>
      <c r="E52" s="15">
        <f ca="1">'Lvl FCR Sub Equip'!B64</f>
        <v>4081.6326530612769</v>
      </c>
      <c r="F52" s="14">
        <f t="shared" ca="1" si="8"/>
        <v>2.0589039706908845</v>
      </c>
      <c r="G52" s="13">
        <f ca="1">NPV('Lvl FCR Sub Equip'!$L$9,'Lvl FCR Sub Equip'!L64:L65)</f>
        <v>4246.1917781866741</v>
      </c>
      <c r="H52" s="13">
        <f ca="1">-PMT('Lvl FCR Sub Equip'!$L$9,10,G52)</f>
        <v>621.43799704846515</v>
      </c>
      <c r="I52" s="55">
        <f t="shared" ca="1" si="9"/>
        <v>0.152252309276872</v>
      </c>
      <c r="J52" s="10"/>
    </row>
    <row r="53" spans="1:10" x14ac:dyDescent="0.25">
      <c r="A53" s="28">
        <f t="shared" si="2"/>
        <v>48</v>
      </c>
      <c r="B53" s="11"/>
      <c r="C53" s="11"/>
      <c r="D53" s="16"/>
      <c r="E53" s="15">
        <f ca="1">'Lvl FCR Sub Equip'!B65</f>
        <v>2040.8163265306646</v>
      </c>
      <c r="F53" s="14">
        <f t="shared" ca="1" si="8"/>
        <v>4.1178079413817157</v>
      </c>
      <c r="G53" s="13">
        <f ca="1">NPV('Lvl FCR Sub Equip'!$L$9,'Lvl FCR Sub Equip'!L65:L65)</f>
        <v>2129.3616650441295</v>
      </c>
      <c r="H53" s="13">
        <f ca="1">-PMT('Lvl FCR Sub Equip'!$L$9,10,G53)</f>
        <v>311.63600638921361</v>
      </c>
      <c r="I53" s="55">
        <f t="shared" ca="1" si="9"/>
        <v>0.15270164313071075</v>
      </c>
      <c r="J53" s="10"/>
    </row>
    <row r="54" spans="1:10" x14ac:dyDescent="0.25">
      <c r="A54" s="28">
        <f t="shared" si="2"/>
        <v>49</v>
      </c>
      <c r="B54" s="11"/>
      <c r="C54" s="11"/>
      <c r="D54" s="16"/>
      <c r="E54" s="15"/>
      <c r="F54" s="14"/>
      <c r="G54" s="13"/>
      <c r="H54" s="13"/>
      <c r="I54" s="55"/>
      <c r="J54" s="10"/>
    </row>
    <row r="55" spans="1:10" ht="13.8" thickBot="1" x14ac:dyDescent="0.3">
      <c r="B55" s="11"/>
      <c r="C55" s="11"/>
      <c r="D55" s="12"/>
      <c r="E55" s="15"/>
      <c r="F55" s="14"/>
      <c r="G55" s="13"/>
      <c r="H55" s="13"/>
      <c r="I55" s="53"/>
      <c r="J55" s="10"/>
    </row>
  </sheetData>
  <mergeCells count="2">
    <mergeCell ref="A1:I1"/>
    <mergeCell ref="A2:I2"/>
  </mergeCells>
  <printOptions horizontalCentered="1"/>
  <pageMargins left="0.25" right="0.25" top="0.75" bottom="0.75" header="0.3" footer="0.3"/>
  <pageSetup scale="62" orientation="landscape" r:id="rId1"/>
  <headerFooter alignWithMargins="0">
    <oddFooter>&amp;L&amp;"Arial,Regular"&amp;8&amp;F&amp;C&amp;A&amp;R&amp;"Arial,Regular"2017 GRC Compliance Filing
Docket No. UE-170033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2" transitionEvaluation="1">
    <pageSetUpPr fitToPage="1"/>
  </sheetPr>
  <dimension ref="A1:AJ153"/>
  <sheetViews>
    <sheetView showGridLines="0" zoomScaleNormal="100" workbookViewId="0">
      <pane xSplit="1" ySplit="16" topLeftCell="B62" activePane="bottomRight" state="frozen"/>
      <selection activeCell="B7" sqref="B7"/>
      <selection pane="topRight" activeCell="B7" sqref="B7"/>
      <selection pane="bottomLeft" activeCell="B7" sqref="B7"/>
      <selection pane="bottomRight" activeCell="J3" sqref="J3"/>
    </sheetView>
  </sheetViews>
  <sheetFormatPr defaultColWidth="13.33203125" defaultRowHeight="13.2" x14ac:dyDescent="0.25"/>
  <cols>
    <col min="1" max="1" width="8.77734375" style="2" bestFit="1" customWidth="1"/>
    <col min="2" max="2" width="10.77734375" style="2" customWidth="1"/>
    <col min="3" max="3" width="14.109375" style="2" bestFit="1" customWidth="1"/>
    <col min="4" max="4" width="12.33203125" style="2" bestFit="1" customWidth="1"/>
    <col min="5" max="5" width="11.33203125" style="2" bestFit="1" customWidth="1"/>
    <col min="6" max="6" width="10.8867187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7" style="2"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31" t="s">
        <v>50</v>
      </c>
      <c r="B1" s="231"/>
      <c r="C1" s="231"/>
      <c r="D1" s="231"/>
      <c r="E1" s="231"/>
      <c r="F1" s="231"/>
      <c r="G1" s="231"/>
      <c r="H1" s="66"/>
      <c r="I1" s="66"/>
      <c r="J1" s="66"/>
      <c r="K1" s="66"/>
      <c r="L1" s="66"/>
      <c r="M1" s="66"/>
      <c r="N1" s="66"/>
      <c r="Q1" s="26"/>
      <c r="R1" s="26"/>
      <c r="S1" s="26"/>
      <c r="W1" s="30" t="s">
        <v>15</v>
      </c>
    </row>
    <row r="2" spans="1:25" ht="14.4" customHeight="1" thickBot="1" x14ac:dyDescent="0.3">
      <c r="A2" s="231" t="s">
        <v>31</v>
      </c>
      <c r="B2" s="231"/>
      <c r="C2" s="231"/>
      <c r="D2" s="231"/>
      <c r="E2" s="231"/>
      <c r="F2" s="231"/>
      <c r="G2" s="231"/>
      <c r="I2" s="237" t="s">
        <v>30</v>
      </c>
      <c r="J2" s="238"/>
      <c r="K2" s="238"/>
      <c r="L2" s="239"/>
      <c r="Q2" s="26"/>
      <c r="R2" s="26"/>
      <c r="S2" s="26"/>
      <c r="W2" s="30" t="s">
        <v>15</v>
      </c>
    </row>
    <row r="3" spans="1:25" x14ac:dyDescent="0.25">
      <c r="A3" s="40"/>
      <c r="B3" s="40"/>
      <c r="C3" s="40"/>
      <c r="D3" s="40"/>
      <c r="E3" s="40"/>
      <c r="F3" s="40"/>
      <c r="I3" s="79" t="s">
        <v>28</v>
      </c>
      <c r="J3" s="107">
        <f ca="1">+'LvlFCR Land'!J2</f>
        <v>0.51500000000000001</v>
      </c>
      <c r="K3" s="109">
        <f ca="1">+'LvlFCR Land'!K2</f>
        <v>5.8058252427184473E-2</v>
      </c>
      <c r="L3" s="110">
        <f ca="1">+'LvlFCR Land'!L2</f>
        <v>2.9899999999999999E-2</v>
      </c>
      <c r="Q3" s="26"/>
      <c r="R3" s="26"/>
      <c r="S3" s="26"/>
      <c r="W3" s="30"/>
    </row>
    <row r="4" spans="1:25" x14ac:dyDescent="0.25">
      <c r="A4" s="40"/>
      <c r="B4" s="40"/>
      <c r="C4" s="40"/>
      <c r="D4" s="40"/>
      <c r="E4" s="40"/>
      <c r="F4" s="40"/>
      <c r="I4" s="79" t="s">
        <v>27</v>
      </c>
      <c r="J4" s="107">
        <f>+'LvlFCR Land'!J3</f>
        <v>0</v>
      </c>
      <c r="K4" s="109">
        <f>+'LvlFCR Land'!K3</f>
        <v>0</v>
      </c>
      <c r="L4" s="110">
        <f>+'LvlFCR Land'!L3</f>
        <v>0</v>
      </c>
      <c r="Q4" s="26"/>
      <c r="R4" s="26"/>
      <c r="S4" s="26"/>
      <c r="W4" s="30"/>
    </row>
    <row r="5" spans="1:25" x14ac:dyDescent="0.25">
      <c r="E5" s="39"/>
      <c r="I5" s="81" t="s">
        <v>34</v>
      </c>
      <c r="J5" s="108">
        <f ca="1">SUM(J3:J4)</f>
        <v>0.51500000000000001</v>
      </c>
      <c r="K5" s="109"/>
      <c r="L5" s="111">
        <f ca="1">SUM(L3:L4)</f>
        <v>2.9899999999999999E-2</v>
      </c>
      <c r="Q5" s="26"/>
      <c r="R5" s="26"/>
      <c r="S5" s="26"/>
      <c r="W5" s="30" t="s">
        <v>15</v>
      </c>
      <c r="X5" s="26"/>
      <c r="Y5" s="26"/>
    </row>
    <row r="6" spans="1:25" x14ac:dyDescent="0.25">
      <c r="I6" s="81" t="s">
        <v>25</v>
      </c>
      <c r="J6" s="107">
        <f>+'LvlFCR Land'!J5</f>
        <v>0</v>
      </c>
      <c r="K6" s="109">
        <f>+'LvlFCR Land'!K5</f>
        <v>0</v>
      </c>
      <c r="L6" s="110">
        <f>+'LvlFCR Land'!L5</f>
        <v>0</v>
      </c>
      <c r="Q6" s="26"/>
      <c r="R6" s="26"/>
      <c r="S6" s="26"/>
      <c r="W6" s="30" t="s">
        <v>15</v>
      </c>
      <c r="X6" s="26"/>
      <c r="Y6" s="26"/>
    </row>
    <row r="7" spans="1:25" x14ac:dyDescent="0.25">
      <c r="C7" s="236" t="s">
        <v>24</v>
      </c>
      <c r="D7" s="236"/>
      <c r="E7" s="26">
        <f ca="1">L70</f>
        <v>107520.96200038529</v>
      </c>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C8" s="236" t="s">
        <v>22</v>
      </c>
      <c r="D8" s="236"/>
      <c r="E8" s="26">
        <f ca="1">PMT(L9,H12,-E7)</f>
        <v>8403.6896762894321</v>
      </c>
      <c r="I8" s="82"/>
      <c r="J8" s="83"/>
      <c r="K8" s="83"/>
      <c r="L8" s="80" t="s">
        <v>14</v>
      </c>
      <c r="W8" s="30" t="s">
        <v>15</v>
      </c>
      <c r="X8" s="26"/>
      <c r="Y8" s="26"/>
    </row>
    <row r="9" spans="1:25" ht="13.8" thickBot="1" x14ac:dyDescent="0.3">
      <c r="C9" s="236" t="s">
        <v>21</v>
      </c>
      <c r="D9" s="236"/>
      <c r="E9" s="42">
        <f ca="1">($E$8/$D$12)*100</f>
        <v>8.4036896762894315</v>
      </c>
      <c r="I9" s="232" t="s">
        <v>20</v>
      </c>
      <c r="J9" s="233"/>
      <c r="K9" s="233"/>
      <c r="L9" s="112">
        <f ca="1">L7+L6+L5</f>
        <v>7.5999999999999998E-2</v>
      </c>
      <c r="Q9" s="26"/>
      <c r="R9" s="26"/>
      <c r="S9" s="26"/>
      <c r="W9" s="30" t="s">
        <v>15</v>
      </c>
      <c r="X9" s="26"/>
      <c r="Y9" s="26"/>
    </row>
    <row r="10" spans="1:25" x14ac:dyDescent="0.25">
      <c r="I10" s="65"/>
      <c r="J10" s="65"/>
      <c r="K10" s="65"/>
      <c r="L10" s="65"/>
      <c r="Q10" s="26"/>
      <c r="R10" s="26"/>
      <c r="S10" s="26"/>
      <c r="W10" s="30" t="s">
        <v>15</v>
      </c>
      <c r="X10" s="26"/>
      <c r="Y10" s="26"/>
    </row>
    <row r="11" spans="1:25" x14ac:dyDescent="0.25">
      <c r="C11" s="30" t="s">
        <v>19</v>
      </c>
      <c r="D11" s="34">
        <v>12</v>
      </c>
      <c r="H11" s="69">
        <v>5.0000000000000001E-4</v>
      </c>
      <c r="I11" s="234" t="s">
        <v>29</v>
      </c>
      <c r="J11" s="234"/>
      <c r="K11" s="234"/>
      <c r="L11" s="234"/>
      <c r="M11" s="234"/>
      <c r="N11" s="35"/>
      <c r="Q11" s="26"/>
      <c r="R11" s="26"/>
      <c r="S11" s="26"/>
      <c r="W11" s="30" t="s">
        <v>15</v>
      </c>
      <c r="X11" s="26"/>
      <c r="Y11" s="26"/>
    </row>
    <row r="12" spans="1:25" x14ac:dyDescent="0.25">
      <c r="C12" s="30" t="s">
        <v>17</v>
      </c>
      <c r="D12" s="26">
        <v>100000</v>
      </c>
      <c r="E12" s="26"/>
      <c r="F12" s="30"/>
      <c r="G12" s="34"/>
      <c r="H12" s="70">
        <f ca="1">+'Sub &amp; Feeder Depr Life'!Q17</f>
        <v>49</v>
      </c>
      <c r="I12" s="234" t="s">
        <v>38</v>
      </c>
      <c r="J12" s="234"/>
      <c r="K12" s="234"/>
      <c r="L12" s="234"/>
      <c r="M12" s="234"/>
      <c r="W12" s="30" t="s">
        <v>15</v>
      </c>
      <c r="X12" s="26"/>
      <c r="Y12" s="26"/>
    </row>
    <row r="13" spans="1:25" x14ac:dyDescent="0.25">
      <c r="C13" s="32" t="s">
        <v>16</v>
      </c>
      <c r="D13" s="26">
        <f>D12</f>
        <v>100000</v>
      </c>
      <c r="E13" s="26"/>
      <c r="G13" s="31"/>
      <c r="H13" s="71">
        <f ca="1">1-'3.04 E'!E19</f>
        <v>0.24761500000000003</v>
      </c>
      <c r="I13" s="235" t="s">
        <v>66</v>
      </c>
      <c r="J13" s="234"/>
      <c r="K13" s="234"/>
      <c r="L13" s="234"/>
      <c r="M13" s="234"/>
      <c r="W13" s="30" t="s">
        <v>15</v>
      </c>
      <c r="X13" s="26"/>
      <c r="Y13" s="26"/>
    </row>
    <row r="14" spans="1:25" x14ac:dyDescent="0.25">
      <c r="C14" s="30" t="s">
        <v>18</v>
      </c>
      <c r="D14" s="26">
        <f>D12</f>
        <v>100000</v>
      </c>
      <c r="H14" s="71">
        <f ca="1">+'3.04 E'!D18</f>
        <v>0.21</v>
      </c>
      <c r="I14" s="234" t="s">
        <v>42</v>
      </c>
      <c r="J14" s="234"/>
      <c r="K14" s="234"/>
      <c r="L14" s="234"/>
      <c r="M14" s="234"/>
      <c r="N14" s="29"/>
      <c r="O14" s="230"/>
      <c r="P14" s="230"/>
      <c r="Q14" s="230"/>
    </row>
    <row r="15" spans="1:25" x14ac:dyDescent="0.25">
      <c r="C15" s="63"/>
      <c r="H15" s="67"/>
      <c r="M15" s="29"/>
      <c r="N15" s="29"/>
      <c r="O15" s="63"/>
      <c r="P15" s="63"/>
      <c r="Q15" s="63"/>
    </row>
    <row r="16" spans="1:25" ht="27" thickBot="1" x14ac:dyDescent="0.3">
      <c r="A16" s="72" t="s">
        <v>52</v>
      </c>
      <c r="B16" s="72" t="s">
        <v>53</v>
      </c>
      <c r="C16" s="72" t="s">
        <v>62</v>
      </c>
      <c r="D16" s="72" t="s">
        <v>54</v>
      </c>
      <c r="E16" s="72" t="s">
        <v>64</v>
      </c>
      <c r="F16" s="72" t="s">
        <v>61</v>
      </c>
      <c r="G16" s="72" t="s">
        <v>55</v>
      </c>
      <c r="H16" s="72" t="s">
        <v>56</v>
      </c>
      <c r="I16" s="72" t="s">
        <v>63</v>
      </c>
      <c r="J16" s="72" t="s">
        <v>57</v>
      </c>
      <c r="K16" s="72" t="s">
        <v>58</v>
      </c>
      <c r="L16" s="72" t="s">
        <v>59</v>
      </c>
      <c r="M16" s="72" t="s">
        <v>60</v>
      </c>
    </row>
    <row r="17" spans="1:36" x14ac:dyDescent="0.25">
      <c r="A17" s="22">
        <v>1</v>
      </c>
      <c r="B17" s="56">
        <f>D12</f>
        <v>100000</v>
      </c>
      <c r="C17" s="62">
        <v>3.7999999999999999E-2</v>
      </c>
      <c r="D17" s="60">
        <f>D12</f>
        <v>100000</v>
      </c>
      <c r="E17" s="60">
        <f t="shared" ref="E17:E55" si="0">D$13*C17</f>
        <v>3800</v>
      </c>
      <c r="F17" s="60">
        <f t="shared" ref="F17:F61" ca="1" si="1">H$14*(E17-I17*D$13/D$12)</f>
        <v>369.42857142857133</v>
      </c>
      <c r="G17" s="60">
        <f ca="1">L$5*D17*(D11/12)</f>
        <v>2990</v>
      </c>
      <c r="H17" s="60">
        <f ca="1">D17*(L$6+L$7)*(D11/12)</f>
        <v>4610</v>
      </c>
      <c r="I17" s="60">
        <f ca="1">(D11/12)*D$12/H$12</f>
        <v>2040.8163265306123</v>
      </c>
      <c r="J17" s="60">
        <f>+B17*$H$11</f>
        <v>50</v>
      </c>
      <c r="K17" s="60">
        <f t="shared" ref="K17:K61" ca="1" si="2">(H$13/(1-H$13))*(H17+I17-E17+F17+J17)</f>
        <v>1076.259747879295</v>
      </c>
      <c r="L17" s="60">
        <f ca="1">SUM(F17:K17)</f>
        <v>11136.504645838479</v>
      </c>
      <c r="M17" s="57">
        <f t="shared" ref="M17:M52" ca="1" si="3">NPV($L$9,L17:L26)</f>
        <v>68706.326021917455</v>
      </c>
      <c r="O17" s="10"/>
      <c r="P17" s="13"/>
      <c r="Q17" s="15"/>
    </row>
    <row r="18" spans="1:36" x14ac:dyDescent="0.25">
      <c r="A18" s="22">
        <f t="shared" ref="A18:A66" si="4">A17+1</f>
        <v>2</v>
      </c>
      <c r="B18" s="56">
        <f t="shared" ref="B18:B55" ca="1" si="5">B17-I17</f>
        <v>97959.183673469393</v>
      </c>
      <c r="C18" s="62">
        <v>7.1999999999999995E-2</v>
      </c>
      <c r="D18" s="60">
        <f t="shared" ref="D18:D55" ca="1" si="6">D17-F17-I17</f>
        <v>97589.755102040828</v>
      </c>
      <c r="E18" s="60">
        <f t="shared" si="0"/>
        <v>7199.9999999999991</v>
      </c>
      <c r="F18" s="60">
        <f t="shared" ca="1" si="1"/>
        <v>1083.4285714285711</v>
      </c>
      <c r="G18" s="60">
        <f t="shared" ref="G18:G49" ca="1" si="7">L$5*D18</f>
        <v>2917.9336775510205</v>
      </c>
      <c r="H18" s="60">
        <f t="shared" ref="H18:H49" ca="1" si="8">D18*(L$6+L$7)</f>
        <v>4498.8877102040824</v>
      </c>
      <c r="I18" s="60">
        <f t="shared" ref="I18:I61" ca="1" si="9">IF(A18-A$17&gt;H$12,0,IF(A18-A$17=H$12,(12-D$11)/12*$D$12/H$12,D$12/H$12))</f>
        <v>2040.8163265306123</v>
      </c>
      <c r="J18" s="60">
        <f t="shared" ref="J18:J61" ca="1" si="10">+B18*$H$11</f>
        <v>48.979591836734699</v>
      </c>
      <c r="K18" s="60">
        <f t="shared" ca="1" si="2"/>
        <v>155.37532301016142</v>
      </c>
      <c r="L18" s="60">
        <f t="shared" ref="L18:L61" ca="1" si="11">SUM(F18:K18)</f>
        <v>10745.421200561183</v>
      </c>
      <c r="M18" s="57">
        <f t="shared" ca="1" si="3"/>
        <v>66924.373124097183</v>
      </c>
    </row>
    <row r="19" spans="1:36" x14ac:dyDescent="0.25">
      <c r="A19" s="22">
        <f t="shared" si="4"/>
        <v>3</v>
      </c>
      <c r="B19" s="56">
        <f t="shared" ca="1" si="5"/>
        <v>95918.367346938787</v>
      </c>
      <c r="C19" s="62">
        <v>6.7000000000000004E-2</v>
      </c>
      <c r="D19" s="60">
        <f t="shared" ca="1" si="6"/>
        <v>94465.510204081656</v>
      </c>
      <c r="E19" s="60">
        <f t="shared" si="0"/>
        <v>6700</v>
      </c>
      <c r="F19" s="60">
        <f t="shared" ca="1" si="1"/>
        <v>978.42857142857144</v>
      </c>
      <c r="G19" s="60">
        <f t="shared" ca="1" si="7"/>
        <v>2824.5187551020413</v>
      </c>
      <c r="H19" s="60">
        <f t="shared" ca="1" si="8"/>
        <v>4354.8600204081649</v>
      </c>
      <c r="I19" s="60">
        <f t="shared" ca="1" si="9"/>
        <v>2040.8163265306123</v>
      </c>
      <c r="J19" s="60">
        <f t="shared" ca="1" si="10"/>
        <v>47.959183673469397</v>
      </c>
      <c r="K19" s="60">
        <f t="shared" ca="1" si="2"/>
        <v>237.63618709415675</v>
      </c>
      <c r="L19" s="60">
        <f t="shared" ca="1" si="11"/>
        <v>10484.219044237016</v>
      </c>
      <c r="M19" s="57">
        <f t="shared" ca="1" si="3"/>
        <v>65285.347920280889</v>
      </c>
      <c r="O19" s="10"/>
      <c r="P19" s="13"/>
      <c r="Q19" s="15"/>
    </row>
    <row r="20" spans="1:36" x14ac:dyDescent="0.25">
      <c r="A20" s="22">
        <f t="shared" si="4"/>
        <v>4</v>
      </c>
      <c r="B20" s="56">
        <f t="shared" ca="1" si="5"/>
        <v>93877.55102040818</v>
      </c>
      <c r="C20" s="62">
        <v>6.2E-2</v>
      </c>
      <c r="D20" s="60">
        <f t="shared" ca="1" si="6"/>
        <v>91446.265306122485</v>
      </c>
      <c r="E20" s="60">
        <f t="shared" si="0"/>
        <v>6200</v>
      </c>
      <c r="F20" s="60">
        <f t="shared" ca="1" si="1"/>
        <v>873.42857142857144</v>
      </c>
      <c r="G20" s="60">
        <f t="shared" ca="1" si="7"/>
        <v>2734.2433326530622</v>
      </c>
      <c r="H20" s="60">
        <f t="shared" ca="1" si="8"/>
        <v>4215.6728306122468</v>
      </c>
      <c r="I20" s="60">
        <f t="shared" ca="1" si="9"/>
        <v>2040.8163265306123</v>
      </c>
      <c r="J20" s="60">
        <f t="shared" ca="1" si="10"/>
        <v>46.938775510204088</v>
      </c>
      <c r="K20" s="60">
        <f t="shared" ca="1" si="2"/>
        <v>321.49009251669548</v>
      </c>
      <c r="L20" s="60">
        <f t="shared" ca="1" si="11"/>
        <v>10232.589929251391</v>
      </c>
      <c r="M20" s="57">
        <f t="shared" ca="1" si="3"/>
        <v>63670.231626259687</v>
      </c>
      <c r="O20" s="10"/>
      <c r="P20" s="13"/>
      <c r="Q20" s="15"/>
    </row>
    <row r="21" spans="1:36" x14ac:dyDescent="0.25">
      <c r="A21" s="22">
        <f t="shared" si="4"/>
        <v>5</v>
      </c>
      <c r="B21" s="56">
        <f t="shared" ca="1" si="5"/>
        <v>91836.734693877574</v>
      </c>
      <c r="C21" s="62">
        <v>5.7000000000000002E-2</v>
      </c>
      <c r="D21" s="60">
        <f t="shared" ca="1" si="6"/>
        <v>88532.020408163313</v>
      </c>
      <c r="E21" s="60">
        <f t="shared" si="0"/>
        <v>5700</v>
      </c>
      <c r="F21" s="60">
        <f t="shared" ca="1" si="1"/>
        <v>768.42857142857133</v>
      </c>
      <c r="G21" s="60">
        <f t="shared" ca="1" si="7"/>
        <v>2647.107410204083</v>
      </c>
      <c r="H21" s="60">
        <f t="shared" ca="1" si="8"/>
        <v>4081.3261408163289</v>
      </c>
      <c r="I21" s="60">
        <f t="shared" ca="1" si="9"/>
        <v>2040.8163265306123</v>
      </c>
      <c r="J21" s="60">
        <f t="shared" ca="1" si="10"/>
        <v>45.918367346938787</v>
      </c>
      <c r="K21" s="60">
        <f t="shared" ca="1" si="2"/>
        <v>406.93703927777767</v>
      </c>
      <c r="L21" s="60">
        <f t="shared" ca="1" si="11"/>
        <v>9990.5338556043116</v>
      </c>
      <c r="M21" s="57">
        <f t="shared" ca="1" si="3"/>
        <v>62071.268277839496</v>
      </c>
      <c r="O21" s="10"/>
      <c r="P21" s="13"/>
      <c r="Q21" s="15"/>
    </row>
    <row r="22" spans="1:36" x14ac:dyDescent="0.25">
      <c r="A22" s="22">
        <f t="shared" si="4"/>
        <v>6</v>
      </c>
      <c r="B22" s="56">
        <f t="shared" ca="1" si="5"/>
        <v>89795.918367346967</v>
      </c>
      <c r="C22" s="62">
        <v>5.2999999999999999E-2</v>
      </c>
      <c r="D22" s="60">
        <f t="shared" ca="1" si="6"/>
        <v>85722.775510204141</v>
      </c>
      <c r="E22" s="60">
        <f t="shared" si="0"/>
        <v>5300</v>
      </c>
      <c r="F22" s="60">
        <f t="shared" ca="1" si="1"/>
        <v>684.42857142857133</v>
      </c>
      <c r="G22" s="60">
        <f t="shared" ca="1" si="7"/>
        <v>2563.1109877551039</v>
      </c>
      <c r="H22" s="60">
        <f t="shared" ca="1" si="8"/>
        <v>3951.8199510204113</v>
      </c>
      <c r="I22" s="60">
        <f t="shared" ca="1" si="9"/>
        <v>2040.8163265306123</v>
      </c>
      <c r="J22" s="60">
        <f t="shared" ca="1" si="10"/>
        <v>44.897959183673485</v>
      </c>
      <c r="K22" s="60">
        <f t="shared" ca="1" si="2"/>
        <v>467.9775922477823</v>
      </c>
      <c r="L22" s="60">
        <f t="shared" ca="1" si="11"/>
        <v>9753.0513881661554</v>
      </c>
      <c r="M22" s="57">
        <f t="shared" ca="1" si="3"/>
        <v>60480.112457547417</v>
      </c>
      <c r="O22" s="10"/>
      <c r="P22" s="13"/>
      <c r="Q22" s="15"/>
    </row>
    <row r="23" spans="1:36" x14ac:dyDescent="0.25">
      <c r="A23" s="22">
        <f t="shared" si="4"/>
        <v>7</v>
      </c>
      <c r="B23" s="56">
        <f t="shared" ca="1" si="5"/>
        <v>87755.10204081636</v>
      </c>
      <c r="C23" s="62">
        <v>4.9000000000000002E-2</v>
      </c>
      <c r="D23" s="60">
        <f t="shared" ca="1" si="6"/>
        <v>82997.530612244969</v>
      </c>
      <c r="E23" s="60">
        <f t="shared" si="0"/>
        <v>4900</v>
      </c>
      <c r="F23" s="60">
        <f t="shared" ca="1" si="1"/>
        <v>600.42857142857133</v>
      </c>
      <c r="G23" s="60">
        <f t="shared" ca="1" si="7"/>
        <v>2481.6261653061247</v>
      </c>
      <c r="H23" s="60">
        <f t="shared" ca="1" si="8"/>
        <v>3826.1861612244934</v>
      </c>
      <c r="I23" s="60">
        <f t="shared" ca="1" si="9"/>
        <v>2040.8163265306123</v>
      </c>
      <c r="J23" s="60">
        <f t="shared" ca="1" si="10"/>
        <v>43.877551020408184</v>
      </c>
      <c r="K23" s="60">
        <f t="shared" ca="1" si="2"/>
        <v>530.29257828862171</v>
      </c>
      <c r="L23" s="60">
        <f t="shared" ca="1" si="11"/>
        <v>9523.2273537988312</v>
      </c>
      <c r="M23" s="57">
        <f t="shared" ca="1" si="3"/>
        <v>58892.783931312304</v>
      </c>
      <c r="O23" s="10"/>
      <c r="P23" s="13"/>
      <c r="Q23" s="15"/>
    </row>
    <row r="24" spans="1:36" x14ac:dyDescent="0.25">
      <c r="A24" s="22">
        <f t="shared" si="4"/>
        <v>8</v>
      </c>
      <c r="B24" s="56">
        <f t="shared" ca="1" si="5"/>
        <v>85714.285714285754</v>
      </c>
      <c r="C24" s="62">
        <v>4.4999999999999998E-2</v>
      </c>
      <c r="D24" s="60">
        <f t="shared" ca="1" si="6"/>
        <v>80356.285714285797</v>
      </c>
      <c r="E24" s="60">
        <f t="shared" si="0"/>
        <v>4500</v>
      </c>
      <c r="F24" s="60">
        <f t="shared" ca="1" si="1"/>
        <v>516.42857142857133</v>
      </c>
      <c r="G24" s="60">
        <f t="shared" ca="1" si="7"/>
        <v>2402.6529428571453</v>
      </c>
      <c r="H24" s="60">
        <f t="shared" ca="1" si="8"/>
        <v>3704.4247714285752</v>
      </c>
      <c r="I24" s="60">
        <f t="shared" ca="1" si="9"/>
        <v>2040.8163265306123</v>
      </c>
      <c r="J24" s="60">
        <f t="shared" ca="1" si="10"/>
        <v>42.857142857142875</v>
      </c>
      <c r="K24" s="60">
        <f t="shared" ca="1" si="2"/>
        <v>593.88199740029563</v>
      </c>
      <c r="L24" s="60">
        <f t="shared" ca="1" si="11"/>
        <v>9301.0617525023426</v>
      </c>
      <c r="M24" s="57">
        <f t="shared" ca="1" si="3"/>
        <v>57301.915140411627</v>
      </c>
      <c r="O24" s="10"/>
      <c r="P24" s="13"/>
      <c r="Q24" s="15"/>
    </row>
    <row r="25" spans="1:36" x14ac:dyDescent="0.25">
      <c r="A25" s="22">
        <f t="shared" si="4"/>
        <v>9</v>
      </c>
      <c r="B25" s="56">
        <f t="shared" ca="1" si="5"/>
        <v>83673.469387755147</v>
      </c>
      <c r="C25" s="62">
        <v>4.4999999999999998E-2</v>
      </c>
      <c r="D25" s="60">
        <f t="shared" ca="1" si="6"/>
        <v>77799.040816326626</v>
      </c>
      <c r="E25" s="60">
        <f t="shared" si="0"/>
        <v>4500</v>
      </c>
      <c r="F25" s="60">
        <f t="shared" ca="1" si="1"/>
        <v>516.42857142857133</v>
      </c>
      <c r="G25" s="60">
        <f t="shared" ca="1" si="7"/>
        <v>2326.1913204081661</v>
      </c>
      <c r="H25" s="60">
        <f t="shared" ca="1" si="8"/>
        <v>3586.5357816326577</v>
      </c>
      <c r="I25" s="60">
        <f t="shared" ca="1" si="9"/>
        <v>2040.8163265306123</v>
      </c>
      <c r="J25" s="60">
        <f t="shared" ca="1" si="10"/>
        <v>41.836734693877574</v>
      </c>
      <c r="K25" s="60">
        <f t="shared" ca="1" si="2"/>
        <v>554.74810906431981</v>
      </c>
      <c r="L25" s="60">
        <f t="shared" ca="1" si="11"/>
        <v>9066.5568437582042</v>
      </c>
      <c r="M25" s="57">
        <f t="shared" ca="1" si="3"/>
        <v>55699.578591659978</v>
      </c>
      <c r="O25" s="10"/>
      <c r="P25" s="13"/>
      <c r="Q25" s="15"/>
    </row>
    <row r="26" spans="1:36" x14ac:dyDescent="0.25">
      <c r="A26" s="22">
        <f t="shared" si="4"/>
        <v>10</v>
      </c>
      <c r="B26" s="56">
        <f t="shared" ca="1" si="5"/>
        <v>81632.653061224541</v>
      </c>
      <c r="C26" s="62">
        <v>4.4999999999999998E-2</v>
      </c>
      <c r="D26" s="60">
        <f t="shared" ca="1" si="6"/>
        <v>75241.795918367454</v>
      </c>
      <c r="E26" s="60">
        <f t="shared" si="0"/>
        <v>4500</v>
      </c>
      <c r="F26" s="60">
        <f t="shared" ca="1" si="1"/>
        <v>516.42857142857133</v>
      </c>
      <c r="G26" s="60">
        <f t="shared" ca="1" si="7"/>
        <v>2249.729697959187</v>
      </c>
      <c r="H26" s="60">
        <f t="shared" ca="1" si="8"/>
        <v>3468.6467918367398</v>
      </c>
      <c r="I26" s="60">
        <f t="shared" ca="1" si="9"/>
        <v>2040.8163265306123</v>
      </c>
      <c r="J26" s="60">
        <f t="shared" ca="1" si="10"/>
        <v>40.816326530612272</v>
      </c>
      <c r="K26" s="60">
        <f t="shared" ca="1" si="2"/>
        <v>515.61422072834398</v>
      </c>
      <c r="L26" s="60">
        <f t="shared" ca="1" si="11"/>
        <v>8832.0519350140676</v>
      </c>
      <c r="M26" s="57">
        <f t="shared" ca="1" si="3"/>
        <v>54097.242042908329</v>
      </c>
      <c r="O26" s="10"/>
      <c r="P26" s="13"/>
      <c r="Q26" s="15"/>
      <c r="R26" s="25"/>
      <c r="S26" s="25"/>
      <c r="T26" s="25"/>
    </row>
    <row r="27" spans="1:36" x14ac:dyDescent="0.25">
      <c r="A27" s="22">
        <f t="shared" si="4"/>
        <v>11</v>
      </c>
      <c r="B27" s="56">
        <f t="shared" ca="1" si="5"/>
        <v>79591.836734693934</v>
      </c>
      <c r="C27" s="62">
        <v>4.4999999999999998E-2</v>
      </c>
      <c r="D27" s="60">
        <f t="shared" ca="1" si="6"/>
        <v>72684.551020408282</v>
      </c>
      <c r="E27" s="60">
        <f t="shared" si="0"/>
        <v>4500</v>
      </c>
      <c r="F27" s="60">
        <f t="shared" ca="1" si="1"/>
        <v>516.42857142857133</v>
      </c>
      <c r="G27" s="60">
        <f t="shared" ca="1" si="7"/>
        <v>2173.2680755102074</v>
      </c>
      <c r="H27" s="60">
        <f t="shared" ca="1" si="8"/>
        <v>3350.7578020408218</v>
      </c>
      <c r="I27" s="60">
        <f t="shared" ca="1" si="9"/>
        <v>2040.8163265306123</v>
      </c>
      <c r="J27" s="60">
        <f t="shared" ca="1" si="10"/>
        <v>39.795918367346971</v>
      </c>
      <c r="K27" s="60">
        <f t="shared" ca="1" si="2"/>
        <v>476.48033239236821</v>
      </c>
      <c r="L27" s="60">
        <f t="shared" ca="1" si="11"/>
        <v>8597.5470262699273</v>
      </c>
      <c r="M27" s="57">
        <f t="shared" ca="1" si="3"/>
        <v>52494.905494156665</v>
      </c>
      <c r="O27" s="10"/>
      <c r="P27" s="13"/>
      <c r="Q27" s="15"/>
    </row>
    <row r="28" spans="1:36" x14ac:dyDescent="0.25">
      <c r="A28" s="22">
        <f t="shared" si="4"/>
        <v>12</v>
      </c>
      <c r="B28" s="56">
        <f t="shared" ca="1" si="5"/>
        <v>77551.020408163327</v>
      </c>
      <c r="C28" s="62">
        <v>4.4999999999999998E-2</v>
      </c>
      <c r="D28" s="60">
        <f t="shared" ca="1" si="6"/>
        <v>70127.30612244911</v>
      </c>
      <c r="E28" s="60">
        <f t="shared" si="0"/>
        <v>4500</v>
      </c>
      <c r="F28" s="60">
        <f t="shared" ca="1" si="1"/>
        <v>516.42857142857133</v>
      </c>
      <c r="G28" s="60">
        <f t="shared" ca="1" si="7"/>
        <v>2096.8064530612282</v>
      </c>
      <c r="H28" s="60">
        <f t="shared" ca="1" si="8"/>
        <v>3232.8688122449043</v>
      </c>
      <c r="I28" s="60">
        <f t="shared" ca="1" si="9"/>
        <v>2040.8163265306123</v>
      </c>
      <c r="J28" s="60">
        <f t="shared" ca="1" si="10"/>
        <v>38.775510204081662</v>
      </c>
      <c r="K28" s="60">
        <f t="shared" ca="1" si="2"/>
        <v>437.34644405639267</v>
      </c>
      <c r="L28" s="60">
        <f t="shared" ca="1" si="11"/>
        <v>8363.0421175257907</v>
      </c>
      <c r="M28" s="57">
        <f t="shared" ca="1" si="3"/>
        <v>50959.859832801449</v>
      </c>
      <c r="O28" s="10"/>
      <c r="P28" s="13"/>
      <c r="Q28" s="15"/>
    </row>
    <row r="29" spans="1:36" x14ac:dyDescent="0.25">
      <c r="A29" s="22">
        <f t="shared" si="4"/>
        <v>13</v>
      </c>
      <c r="B29" s="56">
        <f t="shared" ca="1" si="5"/>
        <v>75510.204081632721</v>
      </c>
      <c r="C29" s="62">
        <v>4.4999999999999998E-2</v>
      </c>
      <c r="D29" s="60">
        <f t="shared" ca="1" si="6"/>
        <v>67570.061224489938</v>
      </c>
      <c r="E29" s="60">
        <f t="shared" si="0"/>
        <v>4500</v>
      </c>
      <c r="F29" s="60">
        <f t="shared" ca="1" si="1"/>
        <v>516.42857142857133</v>
      </c>
      <c r="G29" s="60">
        <f t="shared" ca="1" si="7"/>
        <v>2020.3448306122491</v>
      </c>
      <c r="H29" s="60">
        <f t="shared" ca="1" si="8"/>
        <v>3114.9798224489864</v>
      </c>
      <c r="I29" s="60">
        <f t="shared" ca="1" si="9"/>
        <v>2040.8163265306123</v>
      </c>
      <c r="J29" s="60">
        <f t="shared" ca="1" si="10"/>
        <v>37.755102040816361</v>
      </c>
      <c r="K29" s="60">
        <f t="shared" ca="1" si="2"/>
        <v>398.2125557204169</v>
      </c>
      <c r="L29" s="60">
        <f t="shared" ca="1" si="11"/>
        <v>8128.5372087816522</v>
      </c>
      <c r="M29" s="57">
        <f t="shared" ca="1" si="3"/>
        <v>49496.553509739577</v>
      </c>
      <c r="O29" s="10"/>
      <c r="P29" s="13"/>
      <c r="Q29" s="15"/>
    </row>
    <row r="30" spans="1:36" x14ac:dyDescent="0.25">
      <c r="A30" s="22">
        <f t="shared" si="4"/>
        <v>14</v>
      </c>
      <c r="B30" s="56">
        <f t="shared" ca="1" si="5"/>
        <v>73469.387755102114</v>
      </c>
      <c r="C30" s="62">
        <v>4.4999999999999998E-2</v>
      </c>
      <c r="D30" s="60">
        <f t="shared" ca="1" si="6"/>
        <v>65012.816326530759</v>
      </c>
      <c r="E30" s="60">
        <f t="shared" si="0"/>
        <v>4500</v>
      </c>
      <c r="F30" s="60">
        <f t="shared" ca="1" si="1"/>
        <v>516.42857142857133</v>
      </c>
      <c r="G30" s="60">
        <f t="shared" ca="1" si="7"/>
        <v>1943.8832081632697</v>
      </c>
      <c r="H30" s="60">
        <f t="shared" ca="1" si="8"/>
        <v>2997.090832653068</v>
      </c>
      <c r="I30" s="60">
        <f t="shared" ca="1" si="9"/>
        <v>2040.8163265306123</v>
      </c>
      <c r="J30" s="60">
        <f t="shared" ca="1" si="10"/>
        <v>36.734693877551059</v>
      </c>
      <c r="K30" s="60">
        <f t="shared" ca="1" si="2"/>
        <v>359.07866738444079</v>
      </c>
      <c r="L30" s="60">
        <f t="shared" ca="1" si="11"/>
        <v>7894.032300037512</v>
      </c>
      <c r="M30" s="57">
        <f t="shared" ca="1" si="3"/>
        <v>48085.229634358446</v>
      </c>
      <c r="O30" s="10"/>
      <c r="P30" s="13"/>
      <c r="Q30" s="15"/>
    </row>
    <row r="31" spans="1:36" x14ac:dyDescent="0.25">
      <c r="A31" s="22">
        <f t="shared" si="4"/>
        <v>15</v>
      </c>
      <c r="B31" s="56">
        <f t="shared" ca="1" si="5"/>
        <v>71428.571428571508</v>
      </c>
      <c r="C31" s="62">
        <v>4.4999999999999998E-2</v>
      </c>
      <c r="D31" s="60">
        <f t="shared" ca="1" si="6"/>
        <v>62455.571428571573</v>
      </c>
      <c r="E31" s="60">
        <f t="shared" si="0"/>
        <v>4500</v>
      </c>
      <c r="F31" s="60">
        <f t="shared" ca="1" si="1"/>
        <v>516.42857142857133</v>
      </c>
      <c r="G31" s="60">
        <f t="shared" ca="1" si="7"/>
        <v>1867.4215857142899</v>
      </c>
      <c r="H31" s="60">
        <f t="shared" ca="1" si="8"/>
        <v>2879.2018428571496</v>
      </c>
      <c r="I31" s="60">
        <f t="shared" ca="1" si="9"/>
        <v>2040.8163265306123</v>
      </c>
      <c r="J31" s="60">
        <f t="shared" ca="1" si="10"/>
        <v>35.714285714285758</v>
      </c>
      <c r="K31" s="60">
        <f t="shared" ca="1" si="2"/>
        <v>319.94477904846497</v>
      </c>
      <c r="L31" s="60">
        <f t="shared" ca="1" si="11"/>
        <v>7659.5273912933726</v>
      </c>
      <c r="M31" s="57">
        <f t="shared" ca="1" si="3"/>
        <v>46729.838872681823</v>
      </c>
      <c r="O31" s="10"/>
      <c r="P31" s="13"/>
      <c r="Q31" s="15"/>
    </row>
    <row r="32" spans="1:36" x14ac:dyDescent="0.25">
      <c r="A32" s="22">
        <f t="shared" si="4"/>
        <v>16</v>
      </c>
      <c r="B32" s="56">
        <f t="shared" ca="1" si="5"/>
        <v>69387.755102040901</v>
      </c>
      <c r="C32" s="62">
        <v>4.4999999999999998E-2</v>
      </c>
      <c r="D32" s="60">
        <f t="shared" ca="1" si="6"/>
        <v>59898.326530612387</v>
      </c>
      <c r="E32" s="60">
        <f t="shared" si="0"/>
        <v>4500</v>
      </c>
      <c r="F32" s="60">
        <f t="shared" ca="1" si="1"/>
        <v>516.42857142857133</v>
      </c>
      <c r="G32" s="60">
        <f t="shared" ca="1" si="7"/>
        <v>1790.9599632653103</v>
      </c>
      <c r="H32" s="60">
        <f t="shared" ca="1" si="8"/>
        <v>2761.3128530612312</v>
      </c>
      <c r="I32" s="60">
        <f t="shared" ca="1" si="9"/>
        <v>2040.8163265306123</v>
      </c>
      <c r="J32" s="60">
        <f t="shared" ca="1" si="10"/>
        <v>34.693877551020449</v>
      </c>
      <c r="K32" s="60">
        <f t="shared" ca="1" si="2"/>
        <v>280.81089071248886</v>
      </c>
      <c r="L32" s="60">
        <f t="shared" ca="1" si="11"/>
        <v>7425.0224825492342</v>
      </c>
      <c r="M32" s="57">
        <f t="shared" ca="1" si="3"/>
        <v>45434.632141351227</v>
      </c>
      <c r="O32" s="10"/>
      <c r="P32" s="13"/>
      <c r="Q32" s="15"/>
      <c r="AI32" s="26"/>
      <c r="AJ32" s="26"/>
    </row>
    <row r="33" spans="1:36" x14ac:dyDescent="0.25">
      <c r="A33" s="22">
        <f t="shared" si="4"/>
        <v>17</v>
      </c>
      <c r="B33" s="56">
        <f t="shared" ca="1" si="5"/>
        <v>67346.938775510294</v>
      </c>
      <c r="C33" s="62">
        <v>4.4999999999999998E-2</v>
      </c>
      <c r="D33" s="60">
        <f t="shared" ca="1" si="6"/>
        <v>57341.0816326532</v>
      </c>
      <c r="E33" s="60">
        <f t="shared" si="0"/>
        <v>4500</v>
      </c>
      <c r="F33" s="60">
        <f t="shared" ca="1" si="1"/>
        <v>516.42857142857133</v>
      </c>
      <c r="G33" s="60">
        <f t="shared" ca="1" si="7"/>
        <v>1714.4983408163307</v>
      </c>
      <c r="H33" s="60">
        <f t="shared" ca="1" si="8"/>
        <v>2643.4238632653128</v>
      </c>
      <c r="I33" s="60">
        <f t="shared" ca="1" si="9"/>
        <v>2040.8163265306123</v>
      </c>
      <c r="J33" s="60">
        <f t="shared" ca="1" si="10"/>
        <v>33.673469387755148</v>
      </c>
      <c r="K33" s="60">
        <f t="shared" ca="1" si="2"/>
        <v>241.67700237651303</v>
      </c>
      <c r="L33" s="60">
        <f t="shared" ca="1" si="11"/>
        <v>7190.5175738050948</v>
      </c>
      <c r="M33" s="57">
        <f t="shared" ca="1" si="3"/>
        <v>44204.183426672971</v>
      </c>
      <c r="O33" s="10"/>
      <c r="P33" s="13"/>
      <c r="Q33" s="15"/>
      <c r="AI33" s="26"/>
      <c r="AJ33" s="26"/>
    </row>
    <row r="34" spans="1:36" x14ac:dyDescent="0.25">
      <c r="A34" s="22">
        <f t="shared" si="4"/>
        <v>18</v>
      </c>
      <c r="B34" s="56">
        <f t="shared" ca="1" si="5"/>
        <v>65306.12244897968</v>
      </c>
      <c r="C34" s="62">
        <v>4.4999999999999998E-2</v>
      </c>
      <c r="D34" s="60">
        <f t="shared" ca="1" si="6"/>
        <v>54783.836734694014</v>
      </c>
      <c r="E34" s="60">
        <f t="shared" si="0"/>
        <v>4500</v>
      </c>
      <c r="F34" s="60">
        <f t="shared" ca="1" si="1"/>
        <v>516.42857142857133</v>
      </c>
      <c r="G34" s="60">
        <f t="shared" ca="1" si="7"/>
        <v>1638.0367183673509</v>
      </c>
      <c r="H34" s="60">
        <f t="shared" ca="1" si="8"/>
        <v>2525.5348734693944</v>
      </c>
      <c r="I34" s="60">
        <f t="shared" ca="1" si="9"/>
        <v>2040.8163265306123</v>
      </c>
      <c r="J34" s="60">
        <f t="shared" ca="1" si="10"/>
        <v>32.653061224489839</v>
      </c>
      <c r="K34" s="60">
        <f t="shared" ca="1" si="2"/>
        <v>202.54311404053689</v>
      </c>
      <c r="L34" s="60">
        <f t="shared" ca="1" si="11"/>
        <v>6956.0126650609554</v>
      </c>
      <c r="M34" s="57">
        <f t="shared" ca="1" si="3"/>
        <v>43043.414337912625</v>
      </c>
      <c r="O34" s="10"/>
      <c r="P34" s="13"/>
      <c r="Q34" s="15"/>
      <c r="AI34" s="26"/>
      <c r="AJ34" s="26"/>
    </row>
    <row r="35" spans="1:36" x14ac:dyDescent="0.25">
      <c r="A35" s="22">
        <f t="shared" si="4"/>
        <v>19</v>
      </c>
      <c r="B35" s="56">
        <f t="shared" ca="1" si="5"/>
        <v>63265.306122449067</v>
      </c>
      <c r="C35" s="62">
        <v>4.4999999999999998E-2</v>
      </c>
      <c r="D35" s="60">
        <f t="shared" ca="1" si="6"/>
        <v>52226.591836734828</v>
      </c>
      <c r="E35" s="60">
        <f t="shared" si="0"/>
        <v>4500</v>
      </c>
      <c r="F35" s="60">
        <f t="shared" ca="1" si="1"/>
        <v>516.42857142857133</v>
      </c>
      <c r="G35" s="60">
        <f t="shared" ca="1" si="7"/>
        <v>1561.5750959183713</v>
      </c>
      <c r="H35" s="60">
        <f t="shared" ca="1" si="8"/>
        <v>2407.6458836734755</v>
      </c>
      <c r="I35" s="60">
        <f t="shared" ca="1" si="9"/>
        <v>2040.8163265306123</v>
      </c>
      <c r="J35" s="60">
        <f t="shared" ca="1" si="10"/>
        <v>31.632653061224534</v>
      </c>
      <c r="K35" s="60">
        <f t="shared" ca="1" si="2"/>
        <v>163.40922570456078</v>
      </c>
      <c r="L35" s="60">
        <f t="shared" ca="1" si="11"/>
        <v>6721.5077563168152</v>
      </c>
      <c r="M35" s="57">
        <f t="shared" ca="1" si="3"/>
        <v>41957.620526639963</v>
      </c>
      <c r="O35" s="10"/>
      <c r="P35" s="13"/>
      <c r="Q35" s="15"/>
      <c r="AI35" s="26"/>
      <c r="AJ35" s="26"/>
    </row>
    <row r="36" spans="1:36" x14ac:dyDescent="0.25">
      <c r="A36" s="22">
        <f t="shared" si="4"/>
        <v>20</v>
      </c>
      <c r="B36" s="56">
        <f t="shared" ca="1" si="5"/>
        <v>61224.489795918453</v>
      </c>
      <c r="C36" s="62">
        <v>4.4999999999999998E-2</v>
      </c>
      <c r="D36" s="60">
        <f t="shared" ca="1" si="6"/>
        <v>49669.346938775641</v>
      </c>
      <c r="E36" s="60">
        <f t="shared" si="0"/>
        <v>4500</v>
      </c>
      <c r="F36" s="60">
        <f t="shared" ca="1" si="1"/>
        <v>516.42857142857133</v>
      </c>
      <c r="G36" s="60">
        <f t="shared" ca="1" si="7"/>
        <v>1485.1134734693917</v>
      </c>
      <c r="H36" s="60">
        <f t="shared" ca="1" si="8"/>
        <v>2289.7568938775571</v>
      </c>
      <c r="I36" s="60">
        <f t="shared" ca="1" si="9"/>
        <v>2040.8163265306123</v>
      </c>
      <c r="J36" s="60">
        <f t="shared" ca="1" si="10"/>
        <v>30.612244897959226</v>
      </c>
      <c r="K36" s="60">
        <f t="shared" ca="1" si="2"/>
        <v>124.27533736858496</v>
      </c>
      <c r="L36" s="60">
        <f t="shared" ca="1" si="11"/>
        <v>6487.0028475726767</v>
      </c>
      <c r="M36" s="57">
        <f t="shared" ca="1" si="3"/>
        <v>40952.500113944065</v>
      </c>
      <c r="O36" s="10"/>
      <c r="P36" s="13"/>
      <c r="Q36" s="15"/>
      <c r="R36" s="25"/>
      <c r="S36" s="25"/>
      <c r="T36" s="25"/>
      <c r="AI36" s="26"/>
      <c r="AJ36" s="26"/>
    </row>
    <row r="37" spans="1:36" x14ac:dyDescent="0.25">
      <c r="A37" s="22">
        <f t="shared" si="4"/>
        <v>21</v>
      </c>
      <c r="B37" s="56">
        <f t="shared" ca="1" si="5"/>
        <v>59183.673469387839</v>
      </c>
      <c r="C37" s="62">
        <v>1.7000000000000001E-2</v>
      </c>
      <c r="D37" s="60">
        <f t="shared" ca="1" si="6"/>
        <v>47112.102040816455</v>
      </c>
      <c r="E37" s="60">
        <f t="shared" si="0"/>
        <v>1700.0000000000002</v>
      </c>
      <c r="F37" s="60">
        <f t="shared" ca="1" si="1"/>
        <v>-71.571428571428584</v>
      </c>
      <c r="G37" s="60">
        <f t="shared" ca="1" si="7"/>
        <v>1408.6518510204119</v>
      </c>
      <c r="H37" s="60">
        <f t="shared" ca="1" si="8"/>
        <v>2171.8679040816387</v>
      </c>
      <c r="I37" s="60">
        <f t="shared" ca="1" si="9"/>
        <v>2040.8163265306123</v>
      </c>
      <c r="J37" s="60">
        <f t="shared" ca="1" si="10"/>
        <v>29.591836734693921</v>
      </c>
      <c r="K37" s="60">
        <f t="shared" ca="1" si="2"/>
        <v>813.12563266200084</v>
      </c>
      <c r="L37" s="60">
        <f t="shared" ca="1" si="11"/>
        <v>6392.4821224579282</v>
      </c>
      <c r="M37" s="57">
        <f t="shared" ca="1" si="3"/>
        <v>40034.184278116714</v>
      </c>
      <c r="O37" s="10"/>
      <c r="P37" s="13"/>
      <c r="Q37" s="15"/>
    </row>
    <row r="38" spans="1:36" x14ac:dyDescent="0.25">
      <c r="A38" s="22">
        <f t="shared" si="4"/>
        <v>22</v>
      </c>
      <c r="B38" s="56">
        <f t="shared" ca="1" si="5"/>
        <v>57142.857142857225</v>
      </c>
      <c r="C38" s="62">
        <v>0</v>
      </c>
      <c r="D38" s="60">
        <f t="shared" ca="1" si="6"/>
        <v>45142.857142857269</v>
      </c>
      <c r="E38" s="60">
        <f t="shared" si="0"/>
        <v>0</v>
      </c>
      <c r="F38" s="60">
        <f t="shared" ca="1" si="1"/>
        <v>-428.57142857142861</v>
      </c>
      <c r="G38" s="60">
        <f t="shared" ca="1" si="7"/>
        <v>1349.7714285714324</v>
      </c>
      <c r="H38" s="60">
        <f t="shared" ca="1" si="8"/>
        <v>2081.0857142857203</v>
      </c>
      <c r="I38" s="60">
        <f t="shared" ca="1" si="9"/>
        <v>2040.8163265306123</v>
      </c>
      <c r="J38" s="60">
        <f t="shared" ca="1" si="10"/>
        <v>28.571428571428612</v>
      </c>
      <c r="K38" s="60">
        <f t="shared" ca="1" si="2"/>
        <v>1224.9031730254273</v>
      </c>
      <c r="L38" s="60">
        <f t="shared" ca="1" si="11"/>
        <v>6296.5766424131916</v>
      </c>
      <c r="M38" s="57">
        <f t="shared" ca="1" si="3"/>
        <v>39069.285983370559</v>
      </c>
      <c r="O38" s="10"/>
      <c r="P38" s="13"/>
      <c r="Q38" s="15"/>
    </row>
    <row r="39" spans="1:36" x14ac:dyDescent="0.25">
      <c r="A39" s="22">
        <f t="shared" si="4"/>
        <v>23</v>
      </c>
      <c r="B39" s="56">
        <f t="shared" ca="1" si="5"/>
        <v>55102.040816326611</v>
      </c>
      <c r="C39" s="62">
        <v>0</v>
      </c>
      <c r="D39" s="60">
        <f t="shared" ca="1" si="6"/>
        <v>43530.612244898082</v>
      </c>
      <c r="E39" s="60">
        <f t="shared" si="0"/>
        <v>0</v>
      </c>
      <c r="F39" s="60">
        <f t="shared" ca="1" si="1"/>
        <v>-428.57142857142861</v>
      </c>
      <c r="G39" s="60">
        <f t="shared" ca="1" si="7"/>
        <v>1301.5653061224527</v>
      </c>
      <c r="H39" s="60">
        <f t="shared" ca="1" si="8"/>
        <v>2006.7612244898016</v>
      </c>
      <c r="I39" s="60">
        <f t="shared" ca="1" si="9"/>
        <v>2040.8163265306123</v>
      </c>
      <c r="J39" s="60">
        <f t="shared" ca="1" si="10"/>
        <v>27.551020408163307</v>
      </c>
      <c r="K39" s="60">
        <f t="shared" ca="1" si="2"/>
        <v>1200.1066567363425</v>
      </c>
      <c r="L39" s="60">
        <f t="shared" ca="1" si="11"/>
        <v>6148.2291057159428</v>
      </c>
      <c r="M39" s="57">
        <f t="shared" ca="1" si="3"/>
        <v>38055.649717757769</v>
      </c>
      <c r="O39" s="10"/>
      <c r="P39" s="13"/>
      <c r="Q39" s="15"/>
    </row>
    <row r="40" spans="1:36" x14ac:dyDescent="0.25">
      <c r="A40" s="22">
        <f t="shared" si="4"/>
        <v>24</v>
      </c>
      <c r="B40" s="56">
        <f t="shared" ca="1" si="5"/>
        <v>53061.224489795997</v>
      </c>
      <c r="C40" s="62">
        <v>0</v>
      </c>
      <c r="D40" s="60">
        <f t="shared" ca="1" si="6"/>
        <v>41918.367346938896</v>
      </c>
      <c r="E40" s="60">
        <f t="shared" si="0"/>
        <v>0</v>
      </c>
      <c r="F40" s="60">
        <f t="shared" ca="1" si="1"/>
        <v>-428.57142857142861</v>
      </c>
      <c r="G40" s="60">
        <f t="shared" ca="1" si="7"/>
        <v>1253.3591836734729</v>
      </c>
      <c r="H40" s="60">
        <f t="shared" ca="1" si="8"/>
        <v>1932.4367346938832</v>
      </c>
      <c r="I40" s="60">
        <f t="shared" ca="1" si="9"/>
        <v>2040.8163265306123</v>
      </c>
      <c r="J40" s="60">
        <f t="shared" ca="1" si="10"/>
        <v>26.530612244897998</v>
      </c>
      <c r="K40" s="60">
        <f t="shared" ca="1" si="2"/>
        <v>1175.3101404472573</v>
      </c>
      <c r="L40" s="60">
        <f t="shared" ca="1" si="11"/>
        <v>5999.8815690186948</v>
      </c>
      <c r="M40" s="57">
        <f t="shared" ca="1" si="3"/>
        <v>37042.013452144973</v>
      </c>
      <c r="O40" s="10"/>
      <c r="P40" s="13"/>
      <c r="Q40" s="15"/>
    </row>
    <row r="41" spans="1:36" x14ac:dyDescent="0.25">
      <c r="A41" s="22">
        <f t="shared" si="4"/>
        <v>25</v>
      </c>
      <c r="B41" s="56">
        <f t="shared" ca="1" si="5"/>
        <v>51020.408163265383</v>
      </c>
      <c r="C41" s="62">
        <v>0</v>
      </c>
      <c r="D41" s="60">
        <f t="shared" ca="1" si="6"/>
        <v>40306.12244897971</v>
      </c>
      <c r="E41" s="60">
        <f t="shared" si="0"/>
        <v>0</v>
      </c>
      <c r="F41" s="60">
        <f t="shared" ca="1" si="1"/>
        <v>-428.57142857142861</v>
      </c>
      <c r="G41" s="60">
        <f t="shared" ca="1" si="7"/>
        <v>1205.1530612244933</v>
      </c>
      <c r="H41" s="60">
        <f t="shared" ca="1" si="8"/>
        <v>1858.1122448979647</v>
      </c>
      <c r="I41" s="60">
        <f t="shared" ca="1" si="9"/>
        <v>2040.8163265306123</v>
      </c>
      <c r="J41" s="60">
        <f t="shared" ca="1" si="10"/>
        <v>25.510204081632693</v>
      </c>
      <c r="K41" s="60">
        <f t="shared" ca="1" si="2"/>
        <v>1150.5136241581722</v>
      </c>
      <c r="L41" s="60">
        <f t="shared" ca="1" si="11"/>
        <v>5851.5340323214468</v>
      </c>
      <c r="M41" s="57">
        <f t="shared" ca="1" si="3"/>
        <v>36028.377186532183</v>
      </c>
      <c r="O41" s="10"/>
      <c r="P41" s="13"/>
      <c r="Q41" s="15"/>
    </row>
    <row r="42" spans="1:36" x14ac:dyDescent="0.25">
      <c r="A42" s="22">
        <f t="shared" si="4"/>
        <v>26</v>
      </c>
      <c r="B42" s="56">
        <f t="shared" ca="1" si="5"/>
        <v>48979.591836734769</v>
      </c>
      <c r="C42" s="62">
        <v>0</v>
      </c>
      <c r="D42" s="60">
        <f t="shared" ca="1" si="6"/>
        <v>38693.877551020523</v>
      </c>
      <c r="E42" s="60">
        <f t="shared" si="0"/>
        <v>0</v>
      </c>
      <c r="F42" s="60">
        <f t="shared" ca="1" si="1"/>
        <v>-428.57142857142861</v>
      </c>
      <c r="G42" s="60">
        <f t="shared" ca="1" si="7"/>
        <v>1156.9469387755137</v>
      </c>
      <c r="H42" s="60">
        <f t="shared" ca="1" si="8"/>
        <v>1783.7877551020463</v>
      </c>
      <c r="I42" s="60">
        <f t="shared" ca="1" si="9"/>
        <v>2040.8163265306123</v>
      </c>
      <c r="J42" s="60">
        <f t="shared" ca="1" si="10"/>
        <v>24.489795918367385</v>
      </c>
      <c r="K42" s="60">
        <f t="shared" ca="1" si="2"/>
        <v>1125.7171078690872</v>
      </c>
      <c r="L42" s="60">
        <f t="shared" ca="1" si="11"/>
        <v>5703.186495624198</v>
      </c>
      <c r="M42" s="57">
        <f t="shared" ca="1" si="3"/>
        <v>35014.740920919372</v>
      </c>
      <c r="O42" s="10"/>
      <c r="P42" s="13"/>
      <c r="Q42" s="15"/>
    </row>
    <row r="43" spans="1:36" x14ac:dyDescent="0.25">
      <c r="A43" s="22">
        <f t="shared" si="4"/>
        <v>27</v>
      </c>
      <c r="B43" s="56">
        <f t="shared" ca="1" si="5"/>
        <v>46938.775510204156</v>
      </c>
      <c r="C43" s="62">
        <v>0</v>
      </c>
      <c r="D43" s="60">
        <f t="shared" ca="1" si="6"/>
        <v>37081.632653061337</v>
      </c>
      <c r="E43" s="60">
        <f t="shared" si="0"/>
        <v>0</v>
      </c>
      <c r="F43" s="60">
        <f t="shared" ca="1" si="1"/>
        <v>-428.57142857142861</v>
      </c>
      <c r="G43" s="60">
        <f t="shared" ca="1" si="7"/>
        <v>1108.7408163265341</v>
      </c>
      <c r="H43" s="60">
        <f t="shared" ca="1" si="8"/>
        <v>1709.4632653061276</v>
      </c>
      <c r="I43" s="60">
        <f t="shared" ca="1" si="9"/>
        <v>2040.8163265306123</v>
      </c>
      <c r="J43" s="60">
        <f t="shared" ca="1" si="10"/>
        <v>23.46938775510208</v>
      </c>
      <c r="K43" s="60">
        <f t="shared" ca="1" si="2"/>
        <v>1100.9205915800021</v>
      </c>
      <c r="L43" s="60">
        <f t="shared" ca="1" si="11"/>
        <v>5554.8389589269491</v>
      </c>
      <c r="M43" s="57">
        <f t="shared" ca="1" si="3"/>
        <v>34001.104655306575</v>
      </c>
      <c r="O43" s="10"/>
      <c r="P43" s="13"/>
      <c r="Q43" s="15"/>
    </row>
    <row r="44" spans="1:36" x14ac:dyDescent="0.25">
      <c r="A44" s="22">
        <f t="shared" si="4"/>
        <v>28</v>
      </c>
      <c r="B44" s="56">
        <f t="shared" ca="1" si="5"/>
        <v>44897.959183673542</v>
      </c>
      <c r="C44" s="62">
        <v>0</v>
      </c>
      <c r="D44" s="60">
        <f t="shared" ca="1" si="6"/>
        <v>35469.387755102151</v>
      </c>
      <c r="E44" s="60">
        <f t="shared" si="0"/>
        <v>0</v>
      </c>
      <c r="F44" s="60">
        <f t="shared" ca="1" si="1"/>
        <v>-428.57142857142861</v>
      </c>
      <c r="G44" s="60">
        <f t="shared" ca="1" si="7"/>
        <v>1060.5346938775542</v>
      </c>
      <c r="H44" s="60">
        <f t="shared" ca="1" si="8"/>
        <v>1635.1387755102091</v>
      </c>
      <c r="I44" s="60">
        <f t="shared" ca="1" si="9"/>
        <v>2040.8163265306123</v>
      </c>
      <c r="J44" s="60">
        <f t="shared" ca="1" si="10"/>
        <v>22.448979591836771</v>
      </c>
      <c r="K44" s="60">
        <f t="shared" ca="1" si="2"/>
        <v>1076.1240752909168</v>
      </c>
      <c r="L44" s="60">
        <f t="shared" ca="1" si="11"/>
        <v>5406.4914222297011</v>
      </c>
      <c r="M44" s="57">
        <f t="shared" ca="1" si="3"/>
        <v>32987.468389693786</v>
      </c>
      <c r="O44" s="10"/>
      <c r="P44" s="13"/>
      <c r="Q44" s="15"/>
    </row>
    <row r="45" spans="1:36" x14ac:dyDescent="0.25">
      <c r="A45" s="22">
        <f t="shared" si="4"/>
        <v>29</v>
      </c>
      <c r="B45" s="56">
        <f t="shared" ca="1" si="5"/>
        <v>42857.142857142928</v>
      </c>
      <c r="C45" s="62">
        <v>0</v>
      </c>
      <c r="D45" s="60">
        <f t="shared" ca="1" si="6"/>
        <v>33857.142857142964</v>
      </c>
      <c r="E45" s="60">
        <f t="shared" si="0"/>
        <v>0</v>
      </c>
      <c r="F45" s="60">
        <f t="shared" ca="1" si="1"/>
        <v>-428.57142857142861</v>
      </c>
      <c r="G45" s="60">
        <f t="shared" ca="1" si="7"/>
        <v>1012.3285714285746</v>
      </c>
      <c r="H45" s="60">
        <f t="shared" ca="1" si="8"/>
        <v>1560.8142857142907</v>
      </c>
      <c r="I45" s="60">
        <f t="shared" ca="1" si="9"/>
        <v>2040.8163265306123</v>
      </c>
      <c r="J45" s="60">
        <f t="shared" ca="1" si="10"/>
        <v>21.428571428571466</v>
      </c>
      <c r="K45" s="60">
        <f t="shared" ca="1" si="2"/>
        <v>1051.3275590018318</v>
      </c>
      <c r="L45" s="60">
        <f t="shared" ca="1" si="11"/>
        <v>5258.1438855324523</v>
      </c>
      <c r="M45" s="57">
        <f t="shared" ca="1" si="3"/>
        <v>31973.832124080986</v>
      </c>
      <c r="O45" s="10"/>
      <c r="P45" s="13"/>
      <c r="Q45" s="15"/>
      <c r="R45" s="25"/>
      <c r="S45" s="25"/>
      <c r="T45" s="25"/>
    </row>
    <row r="46" spans="1:36" x14ac:dyDescent="0.25">
      <c r="A46" s="22">
        <f t="shared" si="4"/>
        <v>30</v>
      </c>
      <c r="B46" s="56">
        <f t="shared" ca="1" si="5"/>
        <v>40816.326530612314</v>
      </c>
      <c r="C46" s="62">
        <v>0</v>
      </c>
      <c r="D46" s="60">
        <f t="shared" ca="1" si="6"/>
        <v>32244.897959183778</v>
      </c>
      <c r="E46" s="60">
        <f t="shared" si="0"/>
        <v>0</v>
      </c>
      <c r="F46" s="60">
        <f t="shared" ca="1" si="1"/>
        <v>-428.57142857142861</v>
      </c>
      <c r="G46" s="60">
        <f t="shared" ca="1" si="7"/>
        <v>964.12244897959499</v>
      </c>
      <c r="H46" s="60">
        <f t="shared" ca="1" si="8"/>
        <v>1486.4897959183722</v>
      </c>
      <c r="I46" s="60">
        <f t="shared" ca="1" si="9"/>
        <v>2040.8163265306123</v>
      </c>
      <c r="J46" s="60">
        <f t="shared" ca="1" si="10"/>
        <v>20.408163265306158</v>
      </c>
      <c r="K46" s="60">
        <f t="shared" ca="1" si="2"/>
        <v>1026.5310427127467</v>
      </c>
      <c r="L46" s="60">
        <f t="shared" ca="1" si="11"/>
        <v>5109.7963488352034</v>
      </c>
      <c r="M46" s="57">
        <f t="shared" ca="1" si="3"/>
        <v>30960.195858468189</v>
      </c>
      <c r="O46" s="10"/>
      <c r="P46" s="13"/>
      <c r="Q46" s="15"/>
    </row>
    <row r="47" spans="1:36" x14ac:dyDescent="0.25">
      <c r="A47" s="22">
        <f t="shared" si="4"/>
        <v>31</v>
      </c>
      <c r="B47" s="56">
        <f t="shared" ca="1" si="5"/>
        <v>38775.5102040817</v>
      </c>
      <c r="C47" s="62">
        <v>0</v>
      </c>
      <c r="D47" s="60">
        <f t="shared" ca="1" si="6"/>
        <v>30632.653061224592</v>
      </c>
      <c r="E47" s="60">
        <f t="shared" si="0"/>
        <v>0</v>
      </c>
      <c r="F47" s="60">
        <f t="shared" ca="1" si="1"/>
        <v>-428.57142857142861</v>
      </c>
      <c r="G47" s="60">
        <f t="shared" ca="1" si="7"/>
        <v>915.91632653061527</v>
      </c>
      <c r="H47" s="60">
        <f t="shared" ca="1" si="8"/>
        <v>1412.1653061224538</v>
      </c>
      <c r="I47" s="60">
        <f t="shared" ca="1" si="9"/>
        <v>2040.8163265306123</v>
      </c>
      <c r="J47" s="60">
        <f t="shared" ca="1" si="10"/>
        <v>19.387755102040849</v>
      </c>
      <c r="K47" s="60">
        <f t="shared" ca="1" si="2"/>
        <v>1001.7345264236617</v>
      </c>
      <c r="L47" s="60">
        <f t="shared" ca="1" si="11"/>
        <v>4961.4488121379554</v>
      </c>
      <c r="M47" s="57">
        <f t="shared" ca="1" si="3"/>
        <v>29946.559592855392</v>
      </c>
      <c r="O47" s="10"/>
      <c r="P47" s="13"/>
      <c r="Q47" s="15"/>
    </row>
    <row r="48" spans="1:36" x14ac:dyDescent="0.25">
      <c r="A48" s="22">
        <f t="shared" si="4"/>
        <v>32</v>
      </c>
      <c r="B48" s="56">
        <f t="shared" ca="1" si="5"/>
        <v>36734.693877551086</v>
      </c>
      <c r="C48" s="62">
        <v>0</v>
      </c>
      <c r="D48" s="60">
        <f t="shared" ca="1" si="6"/>
        <v>29020.408163265405</v>
      </c>
      <c r="E48" s="60">
        <f t="shared" si="0"/>
        <v>0</v>
      </c>
      <c r="F48" s="60">
        <f t="shared" ca="1" si="1"/>
        <v>-428.57142857142861</v>
      </c>
      <c r="G48" s="60">
        <f t="shared" ca="1" si="7"/>
        <v>867.71020408163565</v>
      </c>
      <c r="H48" s="60">
        <f t="shared" ca="1" si="8"/>
        <v>1337.8408163265353</v>
      </c>
      <c r="I48" s="60">
        <f t="shared" ca="1" si="9"/>
        <v>2040.8163265306123</v>
      </c>
      <c r="J48" s="60">
        <f t="shared" ca="1" si="10"/>
        <v>18.367346938775544</v>
      </c>
      <c r="K48" s="60">
        <f t="shared" ca="1" si="2"/>
        <v>976.93801013457653</v>
      </c>
      <c r="L48" s="60">
        <f t="shared" ca="1" si="11"/>
        <v>4813.1012754407066</v>
      </c>
      <c r="M48" s="57">
        <f t="shared" ca="1" si="3"/>
        <v>28932.923327242595</v>
      </c>
      <c r="O48" s="10"/>
      <c r="P48" s="13"/>
      <c r="Q48" s="15"/>
    </row>
    <row r="49" spans="1:20" x14ac:dyDescent="0.25">
      <c r="A49" s="22">
        <f t="shared" si="4"/>
        <v>33</v>
      </c>
      <c r="B49" s="56">
        <f t="shared" ca="1" si="5"/>
        <v>34693.877551020472</v>
      </c>
      <c r="C49" s="62">
        <v>0</v>
      </c>
      <c r="D49" s="60">
        <f t="shared" ca="1" si="6"/>
        <v>27408.163265306219</v>
      </c>
      <c r="E49" s="60">
        <f t="shared" si="0"/>
        <v>0</v>
      </c>
      <c r="F49" s="60">
        <f t="shared" ca="1" si="1"/>
        <v>-428.57142857142861</v>
      </c>
      <c r="G49" s="60">
        <f t="shared" ca="1" si="7"/>
        <v>819.50408163265593</v>
      </c>
      <c r="H49" s="60">
        <f t="shared" ca="1" si="8"/>
        <v>1263.5163265306167</v>
      </c>
      <c r="I49" s="60">
        <f t="shared" ca="1" si="9"/>
        <v>2040.8163265306123</v>
      </c>
      <c r="J49" s="60">
        <f t="shared" ca="1" si="10"/>
        <v>17.346938775510235</v>
      </c>
      <c r="K49" s="60">
        <f t="shared" ca="1" si="2"/>
        <v>952.14149384549137</v>
      </c>
      <c r="L49" s="60">
        <f t="shared" ca="1" si="11"/>
        <v>4664.7537387434586</v>
      </c>
      <c r="M49" s="57">
        <f t="shared" ca="1" si="3"/>
        <v>27919.287061629802</v>
      </c>
      <c r="O49" s="10"/>
      <c r="P49" s="13"/>
      <c r="Q49" s="15"/>
    </row>
    <row r="50" spans="1:20" x14ac:dyDescent="0.25">
      <c r="A50" s="22">
        <f t="shared" si="4"/>
        <v>34</v>
      </c>
      <c r="B50" s="56">
        <f t="shared" ca="1" si="5"/>
        <v>32653.061224489858</v>
      </c>
      <c r="C50" s="62">
        <v>0</v>
      </c>
      <c r="D50" s="60">
        <f t="shared" ca="1" si="6"/>
        <v>25795.918367347032</v>
      </c>
      <c r="E50" s="60">
        <f t="shared" si="0"/>
        <v>0</v>
      </c>
      <c r="F50" s="60">
        <f t="shared" ca="1" si="1"/>
        <v>-428.57142857142861</v>
      </c>
      <c r="G50" s="60">
        <f t="shared" ref="G50:G65" ca="1" si="12">L$5*D50</f>
        <v>771.29795918367631</v>
      </c>
      <c r="H50" s="60">
        <f t="shared" ref="H50:H65" ca="1" si="13">D50*(L$6+L$7)</f>
        <v>1189.1918367346982</v>
      </c>
      <c r="I50" s="60">
        <f t="shared" ca="1" si="9"/>
        <v>2040.8163265306123</v>
      </c>
      <c r="J50" s="60">
        <f t="shared" ca="1" si="10"/>
        <v>16.32653061224493</v>
      </c>
      <c r="K50" s="60">
        <f t="shared" ca="1" si="2"/>
        <v>927.34497755640621</v>
      </c>
      <c r="L50" s="60">
        <f t="shared" ca="1" si="11"/>
        <v>4516.4062020462088</v>
      </c>
      <c r="M50" s="57">
        <f t="shared" ca="1" si="3"/>
        <v>26905.650796016998</v>
      </c>
      <c r="O50" s="10"/>
      <c r="P50" s="13"/>
      <c r="Q50" s="15"/>
    </row>
    <row r="51" spans="1:20" x14ac:dyDescent="0.25">
      <c r="A51" s="22">
        <f t="shared" si="4"/>
        <v>35</v>
      </c>
      <c r="B51" s="56">
        <f t="shared" ca="1" si="5"/>
        <v>30612.244897959245</v>
      </c>
      <c r="C51" s="62">
        <v>0</v>
      </c>
      <c r="D51" s="60">
        <f t="shared" ca="1" si="6"/>
        <v>24183.673469387846</v>
      </c>
      <c r="E51" s="60">
        <f t="shared" si="0"/>
        <v>0</v>
      </c>
      <c r="F51" s="60">
        <f t="shared" ca="1" si="1"/>
        <v>-428.57142857142861</v>
      </c>
      <c r="G51" s="60">
        <f t="shared" ca="1" si="12"/>
        <v>723.09183673469659</v>
      </c>
      <c r="H51" s="60">
        <f t="shared" ca="1" si="13"/>
        <v>1114.8673469387797</v>
      </c>
      <c r="I51" s="60">
        <f t="shared" ca="1" si="9"/>
        <v>2040.8163265306123</v>
      </c>
      <c r="J51" s="60">
        <f t="shared" ca="1" si="10"/>
        <v>15.306122448979622</v>
      </c>
      <c r="K51" s="60">
        <f t="shared" ca="1" si="2"/>
        <v>902.54846126732116</v>
      </c>
      <c r="L51" s="60">
        <f t="shared" ca="1" si="11"/>
        <v>4368.0586653489609</v>
      </c>
      <c r="M51" s="57">
        <f t="shared" ca="1" si="3"/>
        <v>25892.014530404209</v>
      </c>
      <c r="O51" s="10"/>
      <c r="P51" s="13"/>
      <c r="Q51" s="15"/>
      <c r="R51" s="25"/>
      <c r="S51" s="25"/>
      <c r="T51" s="25"/>
    </row>
    <row r="52" spans="1:20" x14ac:dyDescent="0.25">
      <c r="A52" s="22">
        <f t="shared" si="4"/>
        <v>36</v>
      </c>
      <c r="B52" s="56">
        <f t="shared" ca="1" si="5"/>
        <v>28571.428571428631</v>
      </c>
      <c r="C52" s="62">
        <v>0</v>
      </c>
      <c r="D52" s="60">
        <f t="shared" ca="1" si="6"/>
        <v>22571.42857142866</v>
      </c>
      <c r="E52" s="60">
        <f t="shared" si="0"/>
        <v>0</v>
      </c>
      <c r="F52" s="60">
        <f t="shared" ca="1" si="1"/>
        <v>-428.57142857142861</v>
      </c>
      <c r="G52" s="60">
        <f t="shared" ca="1" si="12"/>
        <v>674.88571428571697</v>
      </c>
      <c r="H52" s="60">
        <f t="shared" ca="1" si="13"/>
        <v>1040.5428571428613</v>
      </c>
      <c r="I52" s="60">
        <f t="shared" ca="1" si="9"/>
        <v>2040.8163265306123</v>
      </c>
      <c r="J52" s="60">
        <f t="shared" ca="1" si="10"/>
        <v>14.285714285714315</v>
      </c>
      <c r="K52" s="60">
        <f t="shared" ca="1" si="2"/>
        <v>877.751944978236</v>
      </c>
      <c r="L52" s="60">
        <f t="shared" ca="1" si="11"/>
        <v>4219.711128651712</v>
      </c>
      <c r="M52" s="57">
        <f t="shared" ca="1" si="3"/>
        <v>24878.378264791405</v>
      </c>
      <c r="O52" s="10"/>
      <c r="P52" s="13"/>
      <c r="Q52" s="15"/>
    </row>
    <row r="53" spans="1:20" x14ac:dyDescent="0.25">
      <c r="A53" s="22">
        <f t="shared" si="4"/>
        <v>37</v>
      </c>
      <c r="B53" s="56">
        <f t="shared" ca="1" si="5"/>
        <v>26530.612244898017</v>
      </c>
      <c r="C53" s="62">
        <v>0</v>
      </c>
      <c r="D53" s="60">
        <f t="shared" ca="1" si="6"/>
        <v>20959.183673469473</v>
      </c>
      <c r="E53" s="60">
        <f t="shared" si="0"/>
        <v>0</v>
      </c>
      <c r="F53" s="60">
        <f t="shared" ca="1" si="1"/>
        <v>-428.57142857142861</v>
      </c>
      <c r="G53" s="60">
        <f t="shared" ca="1" si="12"/>
        <v>626.67959183673725</v>
      </c>
      <c r="H53" s="60">
        <f t="shared" ca="1" si="13"/>
        <v>966.21836734694273</v>
      </c>
      <c r="I53" s="60">
        <f t="shared" ca="1" si="9"/>
        <v>2040.8163265306123</v>
      </c>
      <c r="J53" s="60">
        <f t="shared" ca="1" si="10"/>
        <v>13.265306122449008</v>
      </c>
      <c r="K53" s="60">
        <f t="shared" ca="1" si="2"/>
        <v>852.95542868915095</v>
      </c>
      <c r="L53" s="60">
        <f t="shared" ca="1" si="11"/>
        <v>4071.363591954464</v>
      </c>
      <c r="M53" s="57">
        <f ca="1">NPV($L$9,L53:L61)</f>
        <v>22549.423884263844</v>
      </c>
      <c r="O53" s="10"/>
      <c r="P53" s="13"/>
    </row>
    <row r="54" spans="1:20" x14ac:dyDescent="0.25">
      <c r="A54" s="22">
        <f t="shared" si="4"/>
        <v>38</v>
      </c>
      <c r="B54" s="56">
        <f t="shared" ca="1" si="5"/>
        <v>24489.795918367403</v>
      </c>
      <c r="C54" s="62">
        <v>0</v>
      </c>
      <c r="D54" s="60">
        <f t="shared" ca="1" si="6"/>
        <v>19346.938775510287</v>
      </c>
      <c r="E54" s="60">
        <f t="shared" si="0"/>
        <v>0</v>
      </c>
      <c r="F54" s="60">
        <f t="shared" ca="1" si="1"/>
        <v>-428.57142857142861</v>
      </c>
      <c r="G54" s="60">
        <f t="shared" ca="1" si="12"/>
        <v>578.47346938775752</v>
      </c>
      <c r="H54" s="60">
        <f t="shared" ca="1" si="13"/>
        <v>891.89387755102427</v>
      </c>
      <c r="I54" s="60">
        <f t="shared" ca="1" si="9"/>
        <v>2040.8163265306123</v>
      </c>
      <c r="J54" s="60">
        <f t="shared" ca="1" si="10"/>
        <v>12.244897959183701</v>
      </c>
      <c r="K54" s="60">
        <f t="shared" ca="1" si="2"/>
        <v>828.15891240006579</v>
      </c>
      <c r="L54" s="60">
        <f t="shared" ca="1" si="11"/>
        <v>3923.0160552572147</v>
      </c>
      <c r="M54" s="57">
        <f ca="1">NPV($L$9,L54:L61)</f>
        <v>20191.816507513438</v>
      </c>
      <c r="O54" s="10"/>
      <c r="P54" s="13"/>
    </row>
    <row r="55" spans="1:20" x14ac:dyDescent="0.25">
      <c r="A55" s="22">
        <f t="shared" si="4"/>
        <v>39</v>
      </c>
      <c r="B55" s="56">
        <f t="shared" ca="1" si="5"/>
        <v>22448.979591836789</v>
      </c>
      <c r="C55" s="62">
        <v>0</v>
      </c>
      <c r="D55" s="60">
        <f t="shared" ca="1" si="6"/>
        <v>17734.693877551101</v>
      </c>
      <c r="E55" s="60">
        <f t="shared" si="0"/>
        <v>0</v>
      </c>
      <c r="F55" s="60">
        <f t="shared" ca="1" si="1"/>
        <v>-428.57142857142861</v>
      </c>
      <c r="G55" s="60">
        <f t="shared" ca="1" si="12"/>
        <v>530.26734693877791</v>
      </c>
      <c r="H55" s="60">
        <f t="shared" ca="1" si="13"/>
        <v>817.56938775510582</v>
      </c>
      <c r="I55" s="60">
        <f t="shared" ca="1" si="9"/>
        <v>2040.8163265306123</v>
      </c>
      <c r="J55" s="60">
        <f t="shared" ca="1" si="10"/>
        <v>11.224489795918394</v>
      </c>
      <c r="K55" s="60">
        <f t="shared" ca="1" si="2"/>
        <v>803.36239611098085</v>
      </c>
      <c r="L55" s="60">
        <f t="shared" ca="1" si="11"/>
        <v>3774.6685185599672</v>
      </c>
      <c r="M55" s="57">
        <f ca="1">NPV($L$9,L55:L61)</f>
        <v>17803.378506827241</v>
      </c>
      <c r="O55" s="10"/>
      <c r="P55" s="13"/>
    </row>
    <row r="56" spans="1:20" x14ac:dyDescent="0.25">
      <c r="A56" s="22">
        <f t="shared" si="4"/>
        <v>40</v>
      </c>
      <c r="B56" s="56">
        <f t="shared" ref="B56:B60" ca="1" si="14">B55-I55</f>
        <v>20408.163265306175</v>
      </c>
      <c r="C56" s="62">
        <v>0</v>
      </c>
      <c r="D56" s="60">
        <f t="shared" ref="D56:D60" ca="1" si="15">D55-F55-I55</f>
        <v>16122.448979591916</v>
      </c>
      <c r="E56" s="60">
        <f t="shared" ref="E56:E60" si="16">D$13*C56</f>
        <v>0</v>
      </c>
      <c r="F56" s="60">
        <f t="shared" ca="1" si="1"/>
        <v>-428.57142857142861</v>
      </c>
      <c r="G56" s="60">
        <f t="shared" ca="1" si="12"/>
        <v>482.06122448979829</v>
      </c>
      <c r="H56" s="60">
        <f t="shared" ca="1" si="13"/>
        <v>743.24489795918737</v>
      </c>
      <c r="I56" s="60">
        <f t="shared" ca="1" si="9"/>
        <v>2040.8163265306123</v>
      </c>
      <c r="J56" s="60">
        <f t="shared" ca="1" si="10"/>
        <v>10.204081632653088</v>
      </c>
      <c r="K56" s="60">
        <f t="shared" ca="1" si="2"/>
        <v>778.56587982189569</v>
      </c>
      <c r="L56" s="60">
        <f t="shared" ca="1" si="11"/>
        <v>3626.3209818627179</v>
      </c>
      <c r="M56" s="57">
        <f ca="1">NPV($L$9,L56:L61)</f>
        <v>15381.766754786149</v>
      </c>
      <c r="O56" s="10"/>
      <c r="P56" s="13"/>
    </row>
    <row r="57" spans="1:20" x14ac:dyDescent="0.25">
      <c r="A57" s="22">
        <f t="shared" si="4"/>
        <v>41</v>
      </c>
      <c r="B57" s="56">
        <f t="shared" ca="1" si="14"/>
        <v>18367.346938775561</v>
      </c>
      <c r="C57" s="62">
        <v>0</v>
      </c>
      <c r="D57" s="60">
        <f t="shared" ca="1" si="15"/>
        <v>14510.204081632734</v>
      </c>
      <c r="E57" s="60">
        <f t="shared" si="16"/>
        <v>0</v>
      </c>
      <c r="F57" s="60">
        <f t="shared" ca="1" si="1"/>
        <v>-428.57142857142861</v>
      </c>
      <c r="G57" s="60">
        <f t="shared" ca="1" si="12"/>
        <v>433.85510204081874</v>
      </c>
      <c r="H57" s="60">
        <f t="shared" ca="1" si="13"/>
        <v>668.92040816326903</v>
      </c>
      <c r="I57" s="60">
        <f t="shared" ca="1" si="9"/>
        <v>2040.8163265306123</v>
      </c>
      <c r="J57" s="60">
        <f t="shared" ca="1" si="10"/>
        <v>9.1836734693877808</v>
      </c>
      <c r="K57" s="60">
        <f t="shared" ca="1" si="2"/>
        <v>753.76936353281064</v>
      </c>
      <c r="L57" s="60">
        <f t="shared" ca="1" si="11"/>
        <v>3477.9734451654699</v>
      </c>
      <c r="M57" s="57">
        <f ca="1">NPV($L$9,L57:L61)</f>
        <v>12924.460046287179</v>
      </c>
      <c r="O57" s="10"/>
      <c r="P57" s="13"/>
    </row>
    <row r="58" spans="1:20" x14ac:dyDescent="0.25">
      <c r="A58" s="22">
        <f t="shared" si="4"/>
        <v>42</v>
      </c>
      <c r="B58" s="56">
        <f t="shared" ca="1" si="14"/>
        <v>16326.530612244949</v>
      </c>
      <c r="C58" s="62">
        <v>0</v>
      </c>
      <c r="D58" s="60">
        <f t="shared" ca="1" si="15"/>
        <v>12897.959183673551</v>
      </c>
      <c r="E58" s="60">
        <f t="shared" si="16"/>
        <v>0</v>
      </c>
      <c r="F58" s="60">
        <f t="shared" ca="1" si="1"/>
        <v>-428.57142857142861</v>
      </c>
      <c r="G58" s="60">
        <f t="shared" ca="1" si="12"/>
        <v>385.64897959183918</v>
      </c>
      <c r="H58" s="60">
        <f t="shared" ca="1" si="13"/>
        <v>594.59591836735069</v>
      </c>
      <c r="I58" s="60">
        <f t="shared" ca="1" si="9"/>
        <v>2040.8163265306123</v>
      </c>
      <c r="J58" s="60">
        <f t="shared" ca="1" si="10"/>
        <v>8.163265306122474</v>
      </c>
      <c r="K58" s="60">
        <f t="shared" ca="1" si="2"/>
        <v>728.97284724372548</v>
      </c>
      <c r="L58" s="60">
        <f t="shared" ca="1" si="11"/>
        <v>3329.6259084682215</v>
      </c>
      <c r="M58" s="57">
        <f ca="1">NPV($L$9,L58:L61)</f>
        <v>10428.745564639536</v>
      </c>
      <c r="O58" s="10"/>
      <c r="P58" s="13"/>
    </row>
    <row r="59" spans="1:20" x14ac:dyDescent="0.25">
      <c r="A59" s="22">
        <f t="shared" si="4"/>
        <v>43</v>
      </c>
      <c r="B59" s="56">
        <f t="shared" ca="1" si="14"/>
        <v>14285.714285714337</v>
      </c>
      <c r="C59" s="62">
        <v>0</v>
      </c>
      <c r="D59" s="60">
        <f t="shared" ca="1" si="15"/>
        <v>11285.714285714368</v>
      </c>
      <c r="E59" s="60">
        <f t="shared" si="16"/>
        <v>0</v>
      </c>
      <c r="F59" s="60">
        <f t="shared" ca="1" si="1"/>
        <v>-428.57142857142861</v>
      </c>
      <c r="G59" s="60">
        <f t="shared" ca="1" si="12"/>
        <v>337.44285714285962</v>
      </c>
      <c r="H59" s="60">
        <f t="shared" ca="1" si="13"/>
        <v>520.27142857143235</v>
      </c>
      <c r="I59" s="60">
        <f t="shared" ca="1" si="9"/>
        <v>2040.8163265306123</v>
      </c>
      <c r="J59" s="60">
        <f t="shared" ca="1" si="10"/>
        <v>7.142857142857169</v>
      </c>
      <c r="K59" s="60">
        <f t="shared" ca="1" si="2"/>
        <v>704.17633095464055</v>
      </c>
      <c r="L59" s="60">
        <f t="shared" ca="1" si="11"/>
        <v>3181.2783717709735</v>
      </c>
      <c r="M59" s="57">
        <f ca="1">NPV($L$9,L59:L61)</f>
        <v>7891.7043190839204</v>
      </c>
      <c r="O59" s="10"/>
      <c r="P59" s="13"/>
    </row>
    <row r="60" spans="1:20" x14ac:dyDescent="0.25">
      <c r="A60" s="22">
        <f t="shared" si="4"/>
        <v>44</v>
      </c>
      <c r="B60" s="56">
        <f t="shared" ca="1" si="14"/>
        <v>12244.897959183725</v>
      </c>
      <c r="C60" s="62">
        <v>0</v>
      </c>
      <c r="D60" s="60">
        <f t="shared" ca="1" si="15"/>
        <v>9673.4693877551854</v>
      </c>
      <c r="E60" s="60">
        <f t="shared" si="16"/>
        <v>0</v>
      </c>
      <c r="F60" s="60">
        <f t="shared" ca="1" si="1"/>
        <v>-428.57142857142861</v>
      </c>
      <c r="G60" s="60">
        <f t="shared" ca="1" si="12"/>
        <v>289.23673469388001</v>
      </c>
      <c r="H60" s="60">
        <f t="shared" ca="1" si="13"/>
        <v>445.94693877551407</v>
      </c>
      <c r="I60" s="60">
        <f t="shared" ca="1" si="9"/>
        <v>2040.8163265306123</v>
      </c>
      <c r="J60" s="60">
        <f t="shared" ca="1" si="10"/>
        <v>6.1224489795918631</v>
      </c>
      <c r="K60" s="60">
        <f t="shared" ca="1" si="2"/>
        <v>679.37981466555539</v>
      </c>
      <c r="L60" s="60">
        <f t="shared" ca="1" si="11"/>
        <v>3032.9308350737251</v>
      </c>
      <c r="M60" s="57">
        <f ca="1">NPV($L$9,L60:L61)</f>
        <v>5310.195475563326</v>
      </c>
      <c r="O60" s="10"/>
      <c r="P60" s="13"/>
    </row>
    <row r="61" spans="1:20" x14ac:dyDescent="0.25">
      <c r="A61" s="22">
        <f t="shared" si="4"/>
        <v>45</v>
      </c>
      <c r="B61" s="56">
        <f t="shared" ref="B61" ca="1" si="17">B60-I60</f>
        <v>10204.081632653113</v>
      </c>
      <c r="C61" s="62">
        <v>0</v>
      </c>
      <c r="D61" s="60">
        <f t="shared" ref="D61" ca="1" si="18">D60-F60-I60</f>
        <v>8061.2244897960027</v>
      </c>
      <c r="E61" s="60">
        <f t="shared" ref="E61" si="19">D$13*C61</f>
        <v>0</v>
      </c>
      <c r="F61" s="60">
        <f t="shared" ca="1" si="1"/>
        <v>-428.57142857142861</v>
      </c>
      <c r="G61" s="60">
        <f t="shared" ca="1" si="12"/>
        <v>241.03061224490048</v>
      </c>
      <c r="H61" s="60">
        <f t="shared" ca="1" si="13"/>
        <v>371.62244897959573</v>
      </c>
      <c r="I61" s="60">
        <f t="shared" ca="1" si="9"/>
        <v>2040.8163265306123</v>
      </c>
      <c r="J61" s="60">
        <f t="shared" ca="1" si="10"/>
        <v>5.1020408163265563</v>
      </c>
      <c r="K61" s="60">
        <f t="shared" ca="1" si="2"/>
        <v>654.58329837647022</v>
      </c>
      <c r="L61" s="60">
        <f t="shared" ca="1" si="11"/>
        <v>2884.5832983764772</v>
      </c>
      <c r="M61" s="57">
        <f t="shared" ref="M61:M65" ca="1" si="20">NPV($L$9,L61:L61)</f>
        <v>2680.8394966324136</v>
      </c>
      <c r="O61" s="10"/>
      <c r="P61" s="13"/>
    </row>
    <row r="62" spans="1:20" x14ac:dyDescent="0.25">
      <c r="A62" s="74">
        <f t="shared" si="4"/>
        <v>46</v>
      </c>
      <c r="B62" s="56">
        <f t="shared" ref="B62:B65" ca="1" si="21">B61-I61</f>
        <v>8163.265306122501</v>
      </c>
      <c r="C62" s="62">
        <v>0</v>
      </c>
      <c r="D62" s="60">
        <f t="shared" ref="D62:D65" ca="1" si="22">D61-F61-I61</f>
        <v>6448.97959183682</v>
      </c>
      <c r="E62" s="60">
        <f t="shared" ref="E62:E65" si="23">D$13*C62</f>
        <v>0</v>
      </c>
      <c r="F62" s="60">
        <f t="shared" ref="F62:F65" ca="1" si="24">H$14*(E62-I62*D$13/D$12)</f>
        <v>-428.57142857142861</v>
      </c>
      <c r="G62" s="60">
        <f t="shared" ca="1" si="12"/>
        <v>192.82448979592093</v>
      </c>
      <c r="H62" s="60">
        <f t="shared" ca="1" si="13"/>
        <v>297.29795918367739</v>
      </c>
      <c r="I62" s="60">
        <f t="shared" ref="I62:I65" ca="1" si="25">IF(A62-A$17&gt;H$12,0,IF(A62-A$17=H$12,(12-D$11)/12*$D$12/H$12,D$12/H$12))</f>
        <v>2040.8163265306123</v>
      </c>
      <c r="J62" s="60">
        <f t="shared" ref="J62:J65" ca="1" si="26">+B62*$H$11</f>
        <v>4.0816326530612503</v>
      </c>
      <c r="K62" s="60">
        <f t="shared" ref="K62:K65" ca="1" si="27">(H$13/(1-H$13))*(H62+I62-E62+F62+J62)</f>
        <v>629.78678208738518</v>
      </c>
      <c r="L62" s="60">
        <f t="shared" ref="L62:L65" ca="1" si="28">SUM(F62:K62)</f>
        <v>2736.2357616792283</v>
      </c>
      <c r="M62" s="57">
        <f t="shared" ca="1" si="20"/>
        <v>2542.9700387353423</v>
      </c>
      <c r="O62" s="10"/>
      <c r="P62" s="13"/>
    </row>
    <row r="63" spans="1:20" x14ac:dyDescent="0.25">
      <c r="A63" s="74">
        <f t="shared" si="4"/>
        <v>47</v>
      </c>
      <c r="B63" s="56">
        <f t="shared" ca="1" si="21"/>
        <v>6122.4489795918889</v>
      </c>
      <c r="C63" s="62">
        <v>0</v>
      </c>
      <c r="D63" s="60">
        <f t="shared" ca="1" si="22"/>
        <v>4836.7346938776363</v>
      </c>
      <c r="E63" s="60">
        <f t="shared" si="23"/>
        <v>0</v>
      </c>
      <c r="F63" s="60">
        <f t="shared" ca="1" si="24"/>
        <v>-428.57142857142861</v>
      </c>
      <c r="G63" s="60">
        <f t="shared" ca="1" si="12"/>
        <v>144.61836734694131</v>
      </c>
      <c r="H63" s="60">
        <f t="shared" ca="1" si="13"/>
        <v>222.97346938775905</v>
      </c>
      <c r="I63" s="60">
        <f t="shared" ca="1" si="25"/>
        <v>2040.8163265306123</v>
      </c>
      <c r="J63" s="60">
        <f t="shared" ca="1" si="26"/>
        <v>3.0612244897959444</v>
      </c>
      <c r="K63" s="60">
        <f t="shared" ca="1" si="27"/>
        <v>604.99026579830024</v>
      </c>
      <c r="L63" s="60">
        <f t="shared" ca="1" si="28"/>
        <v>2587.8882249819799</v>
      </c>
      <c r="M63" s="57">
        <f t="shared" ca="1" si="20"/>
        <v>2405.1005808382711</v>
      </c>
      <c r="O63" s="10"/>
      <c r="P63" s="13"/>
    </row>
    <row r="64" spans="1:20" x14ac:dyDescent="0.25">
      <c r="A64" s="74">
        <f t="shared" si="4"/>
        <v>48</v>
      </c>
      <c r="B64" s="56">
        <f t="shared" ca="1" si="21"/>
        <v>4081.6326530612769</v>
      </c>
      <c r="C64" s="62">
        <v>0</v>
      </c>
      <c r="D64" s="60">
        <f t="shared" ca="1" si="22"/>
        <v>3224.4897959184527</v>
      </c>
      <c r="E64" s="60">
        <f t="shared" si="23"/>
        <v>0</v>
      </c>
      <c r="F64" s="60">
        <f t="shared" ca="1" si="24"/>
        <v>-428.57142857142861</v>
      </c>
      <c r="G64" s="60">
        <f t="shared" ca="1" si="12"/>
        <v>96.412244897961742</v>
      </c>
      <c r="H64" s="60">
        <f t="shared" ca="1" si="13"/>
        <v>148.64897959184069</v>
      </c>
      <c r="I64" s="60">
        <f t="shared" ca="1" si="25"/>
        <v>2040.8163265306123</v>
      </c>
      <c r="J64" s="60">
        <f t="shared" ca="1" si="26"/>
        <v>2.0408163265306385</v>
      </c>
      <c r="K64" s="60">
        <f t="shared" ca="1" si="27"/>
        <v>580.19374950921508</v>
      </c>
      <c r="L64" s="60">
        <f t="shared" ca="1" si="28"/>
        <v>2439.5406882847319</v>
      </c>
      <c r="M64" s="57">
        <f t="shared" ca="1" si="20"/>
        <v>2267.2311229412007</v>
      </c>
      <c r="O64" s="10"/>
      <c r="P64" s="13"/>
    </row>
    <row r="65" spans="1:17" x14ac:dyDescent="0.25">
      <c r="A65" s="74">
        <f t="shared" si="4"/>
        <v>49</v>
      </c>
      <c r="B65" s="56">
        <f t="shared" ca="1" si="21"/>
        <v>2040.8163265306646</v>
      </c>
      <c r="C65" s="62">
        <v>0</v>
      </c>
      <c r="D65" s="60">
        <f t="shared" ca="1" si="22"/>
        <v>1612.2448979592689</v>
      </c>
      <c r="E65" s="60">
        <f t="shared" si="23"/>
        <v>0</v>
      </c>
      <c r="F65" s="60">
        <f t="shared" ca="1" si="24"/>
        <v>-428.57142857142861</v>
      </c>
      <c r="G65" s="60">
        <f t="shared" ca="1" si="12"/>
        <v>48.206122448982136</v>
      </c>
      <c r="H65" s="60">
        <f t="shared" ca="1" si="13"/>
        <v>74.324489795922304</v>
      </c>
      <c r="I65" s="60">
        <f t="shared" ca="1" si="25"/>
        <v>2040.8163265306123</v>
      </c>
      <c r="J65" s="60">
        <f t="shared" ca="1" si="26"/>
        <v>1.0204081632653323</v>
      </c>
      <c r="K65" s="60">
        <f t="shared" ca="1" si="27"/>
        <v>555.39723322013003</v>
      </c>
      <c r="L65" s="60">
        <f t="shared" ca="1" si="28"/>
        <v>2291.1931515874835</v>
      </c>
      <c r="M65" s="57">
        <f t="shared" ca="1" si="20"/>
        <v>2129.3616650441295</v>
      </c>
      <c r="O65" s="10"/>
      <c r="P65" s="13"/>
    </row>
    <row r="66" spans="1:17" x14ac:dyDescent="0.25">
      <c r="A66" s="115">
        <f t="shared" si="4"/>
        <v>50</v>
      </c>
      <c r="B66" s="56">
        <f t="shared" ref="B66" ca="1" si="29">B65-I65</f>
        <v>5.2295945351943374E-11</v>
      </c>
      <c r="C66" s="62">
        <v>0</v>
      </c>
      <c r="D66" s="60">
        <f t="shared" ref="D66" ca="1" si="30">D65-F65-I65</f>
        <v>8.5265128291212022E-11</v>
      </c>
      <c r="E66" s="60">
        <f t="shared" ref="E66" si="31">D$13*C66</f>
        <v>0</v>
      </c>
      <c r="F66" s="60">
        <f t="shared" ref="F66" ca="1" si="32">H$14*(E66-I66*D$13/D$12)</f>
        <v>0</v>
      </c>
      <c r="G66" s="60">
        <f t="shared" ref="G66" ca="1" si="33">L$5*D66</f>
        <v>2.5494273359072395E-12</v>
      </c>
      <c r="H66" s="60">
        <f t="shared" ref="H66" ca="1" si="34">D66*(L$6+L$7)</f>
        <v>3.9307224142248746E-12</v>
      </c>
      <c r="I66" s="60">
        <f t="shared" ref="I66" ca="1" si="35">IF(A66-A$17&gt;H$12,0,IF(A66-A$17=H$12,(12-D$11)/12*$D$12/H$12,D$12/H$12))</f>
        <v>0</v>
      </c>
      <c r="J66" s="60">
        <f t="shared" ref="J66" ca="1" si="36">+B66*$H$11</f>
        <v>2.6147972675971688E-14</v>
      </c>
      <c r="K66" s="60">
        <f t="shared" ref="K66" ca="1" si="37">(H$13/(1-H$13))*(H66+I66-E66+F66+J66)</f>
        <v>1.3022328473487018E-12</v>
      </c>
      <c r="L66" s="60">
        <f t="shared" ref="L66" ca="1" si="38">SUM(F66:K66)</f>
        <v>7.8085305701567872E-12</v>
      </c>
      <c r="M66" s="57">
        <f t="shared" ref="M66" ca="1" si="39">NPV($L$9,L66:L66)</f>
        <v>7.2569986711494301E-12</v>
      </c>
      <c r="O66" s="10"/>
      <c r="P66" s="13"/>
    </row>
    <row r="67" spans="1:17" x14ac:dyDescent="0.25">
      <c r="A67" s="22" t="s">
        <v>14</v>
      </c>
      <c r="B67" s="24"/>
      <c r="C67" s="62" t="s">
        <v>14</v>
      </c>
      <c r="D67" s="56" t="s">
        <v>14</v>
      </c>
      <c r="E67" s="56" t="s">
        <v>14</v>
      </c>
      <c r="F67" s="56" t="s">
        <v>14</v>
      </c>
      <c r="G67" s="56" t="s">
        <v>14</v>
      </c>
      <c r="H67" s="56" t="s">
        <v>14</v>
      </c>
      <c r="I67" s="56" t="s">
        <v>14</v>
      </c>
      <c r="J67" s="56" t="s">
        <v>14</v>
      </c>
      <c r="K67" s="56" t="s">
        <v>14</v>
      </c>
      <c r="L67" s="56" t="s">
        <v>14</v>
      </c>
      <c r="M67" s="58"/>
      <c r="O67" s="24"/>
      <c r="P67" s="24"/>
      <c r="Q67" s="24"/>
    </row>
    <row r="68" spans="1:17" x14ac:dyDescent="0.25">
      <c r="A68" s="22" t="s">
        <v>13</v>
      </c>
      <c r="B68" s="24"/>
      <c r="C68" s="62">
        <f>SUM(C17:C65)</f>
        <v>1.0000000000000002</v>
      </c>
      <c r="D68" s="56" t="s">
        <v>12</v>
      </c>
      <c r="E68" s="56">
        <f t="shared" ref="E68:L68" si="40">SUM(E17:E65)</f>
        <v>100000</v>
      </c>
      <c r="F68" s="56">
        <f t="shared" ca="1" si="40"/>
        <v>-1.0118128557223827E-11</v>
      </c>
      <c r="G68" s="56">
        <f t="shared" ca="1" si="40"/>
        <v>65409.359600000142</v>
      </c>
      <c r="H68" s="56">
        <f t="shared" ca="1" si="40"/>
        <v>100848.54440000022</v>
      </c>
      <c r="I68" s="56">
        <f t="shared" ca="1" si="40"/>
        <v>99999.999999999942</v>
      </c>
      <c r="J68" s="56">
        <f t="shared" ca="1" si="40"/>
        <v>1250.0000000000009</v>
      </c>
      <c r="K68" s="56">
        <f t="shared" ca="1" si="40"/>
        <v>33601.322556412022</v>
      </c>
      <c r="L68" s="56">
        <f t="shared" ca="1" si="40"/>
        <v>301109.22655641241</v>
      </c>
      <c r="M68" s="58"/>
      <c r="O68" s="10"/>
      <c r="P68" s="10"/>
      <c r="Q68" s="10"/>
    </row>
    <row r="69" spans="1:17" x14ac:dyDescent="0.25">
      <c r="B69" s="24"/>
      <c r="C69" s="23"/>
      <c r="D69" s="59"/>
      <c r="E69" s="59"/>
      <c r="F69" s="56"/>
      <c r="G69" s="56"/>
      <c r="H69" s="56"/>
      <c r="I69" s="56"/>
      <c r="J69" s="56"/>
      <c r="K69" s="56"/>
      <c r="L69" s="56"/>
      <c r="M69" s="58"/>
    </row>
    <row r="70" spans="1:17" x14ac:dyDescent="0.25">
      <c r="B70" s="24"/>
      <c r="C70" s="229" t="s">
        <v>11</v>
      </c>
      <c r="D70" s="229"/>
      <c r="E70" s="56">
        <f t="shared" ref="E70:L70" ca="1" si="41">NPV($L9,E17:E65)</f>
        <v>52196.217819642414</v>
      </c>
      <c r="F70" s="56">
        <f t="shared" ca="1" si="41"/>
        <v>5477.8509228848716</v>
      </c>
      <c r="G70" s="56">
        <f t="shared" ca="1" si="41"/>
        <v>26914.302315785015</v>
      </c>
      <c r="H70" s="56">
        <f t="shared" ca="1" si="41"/>
        <v>41496.63333637757</v>
      </c>
      <c r="I70" s="56">
        <f t="shared" ca="1" si="41"/>
        <v>26111.213424952537</v>
      </c>
      <c r="J70" s="56">
        <f t="shared" ca="1" si="41"/>
        <v>486.11043799373329</v>
      </c>
      <c r="K70" s="56">
        <f t="shared" ca="1" si="41"/>
        <v>7034.85156239154</v>
      </c>
      <c r="L70" s="56">
        <f t="shared" ca="1" si="41"/>
        <v>107520.96200038529</v>
      </c>
      <c r="M70" s="58"/>
      <c r="O70" s="24"/>
      <c r="P70" s="24"/>
      <c r="Q70" s="24"/>
    </row>
    <row r="71" spans="1:17" x14ac:dyDescent="0.25">
      <c r="B71" s="22"/>
      <c r="C71" s="22"/>
      <c r="D71" s="22"/>
      <c r="E71" s="22"/>
      <c r="F71" s="22"/>
      <c r="G71" s="22"/>
      <c r="H71" s="22"/>
      <c r="I71" s="22"/>
      <c r="J71" s="22"/>
      <c r="K71" s="22"/>
      <c r="L71" s="22"/>
      <c r="M71" s="22"/>
      <c r="O71" s="22"/>
    </row>
    <row r="72" spans="1:17" x14ac:dyDescent="0.25">
      <c r="B72" s="21"/>
      <c r="C72" s="23"/>
      <c r="D72" s="21"/>
      <c r="E72" s="21"/>
      <c r="F72" s="21"/>
      <c r="G72" s="21"/>
      <c r="H72" s="21"/>
      <c r="I72" s="21"/>
      <c r="J72" s="21"/>
      <c r="K72" s="21"/>
      <c r="L72" s="21"/>
      <c r="M72" s="21"/>
      <c r="O72" s="21"/>
    </row>
    <row r="73" spans="1:17" x14ac:dyDescent="0.25">
      <c r="B73" s="21"/>
      <c r="C73" s="21"/>
      <c r="D73" s="21"/>
      <c r="E73" s="21"/>
      <c r="F73" s="21"/>
      <c r="G73" s="21"/>
      <c r="H73" s="21"/>
      <c r="I73" s="21"/>
      <c r="J73" s="21"/>
      <c r="K73" s="21"/>
      <c r="L73" s="21"/>
      <c r="M73" s="21"/>
      <c r="O73" s="21"/>
    </row>
    <row r="74" spans="1:17" x14ac:dyDescent="0.25">
      <c r="B74" s="21"/>
      <c r="C74" s="21"/>
      <c r="D74" s="21"/>
      <c r="E74" s="21"/>
      <c r="F74" s="21"/>
      <c r="G74" s="21"/>
      <c r="H74" s="21"/>
      <c r="I74" s="21"/>
      <c r="J74" s="21"/>
      <c r="K74" s="21"/>
      <c r="L74" s="21"/>
      <c r="M74" s="21"/>
      <c r="O74" s="21"/>
    </row>
    <row r="75" spans="1:17" x14ac:dyDescent="0.25">
      <c r="B75" s="22"/>
      <c r="C75" s="21"/>
      <c r="D75" s="21"/>
      <c r="E75" s="21"/>
      <c r="F75" s="21"/>
      <c r="G75" s="21"/>
      <c r="H75" s="21"/>
      <c r="I75" s="21"/>
      <c r="J75" s="21"/>
      <c r="K75" s="21"/>
      <c r="L75" s="21"/>
      <c r="M75" s="21"/>
      <c r="O75" s="21"/>
    </row>
    <row r="76" spans="1:17" x14ac:dyDescent="0.25">
      <c r="B76" s="21"/>
      <c r="C76" s="21"/>
      <c r="D76" s="21"/>
      <c r="E76" s="21"/>
      <c r="F76" s="21"/>
      <c r="G76" s="21"/>
      <c r="H76" s="21"/>
      <c r="I76" s="21"/>
      <c r="J76" s="21"/>
      <c r="K76" s="21"/>
      <c r="L76" s="21"/>
      <c r="M76" s="21"/>
      <c r="O76" s="21"/>
    </row>
    <row r="77" spans="1:17" x14ac:dyDescent="0.25">
      <c r="B77" s="21"/>
      <c r="C77" s="21"/>
      <c r="D77" s="21"/>
      <c r="E77" s="21"/>
      <c r="F77" s="21"/>
      <c r="G77" s="21"/>
      <c r="H77" s="21"/>
      <c r="I77" s="21"/>
      <c r="J77" s="21"/>
      <c r="K77" s="21"/>
      <c r="L77" s="21"/>
      <c r="M77" s="21"/>
      <c r="O77" s="21"/>
    </row>
    <row r="78" spans="1:17" x14ac:dyDescent="0.25">
      <c r="B78" s="21"/>
      <c r="C78" s="21"/>
      <c r="D78" s="21"/>
      <c r="E78" s="21"/>
      <c r="F78" s="21"/>
      <c r="G78" s="21"/>
      <c r="H78" s="21"/>
      <c r="I78" s="21"/>
      <c r="J78" s="21"/>
      <c r="K78" s="21"/>
      <c r="L78" s="21"/>
      <c r="M78" s="21"/>
      <c r="O78" s="21"/>
    </row>
    <row r="79" spans="1:17" x14ac:dyDescent="0.25">
      <c r="B79" s="21"/>
      <c r="C79" s="21"/>
      <c r="D79" s="21"/>
      <c r="E79" s="21"/>
      <c r="F79" s="21"/>
      <c r="G79" s="21"/>
      <c r="H79" s="21"/>
      <c r="I79" s="21"/>
      <c r="J79" s="21"/>
      <c r="K79" s="21"/>
      <c r="L79" s="21"/>
      <c r="M79" s="21"/>
      <c r="O79" s="21"/>
    </row>
    <row r="80" spans="1:17" x14ac:dyDescent="0.25">
      <c r="B80" s="21"/>
      <c r="C80" s="21"/>
      <c r="D80" s="21"/>
      <c r="E80" s="21"/>
      <c r="F80" s="21"/>
      <c r="G80" s="21"/>
      <c r="H80" s="21"/>
      <c r="I80" s="21"/>
      <c r="J80" s="21"/>
      <c r="K80" s="21"/>
      <c r="L80" s="21"/>
      <c r="M80" s="21"/>
      <c r="O80" s="21"/>
    </row>
    <row r="81" spans="2:15" x14ac:dyDescent="0.25">
      <c r="B81" s="21"/>
      <c r="C81" s="21"/>
      <c r="D81" s="21"/>
      <c r="E81" s="21"/>
      <c r="F81" s="21"/>
      <c r="G81" s="21"/>
      <c r="H81" s="21"/>
      <c r="I81" s="21"/>
      <c r="J81" s="21"/>
      <c r="K81" s="21"/>
      <c r="L81" s="21"/>
      <c r="M81" s="21"/>
      <c r="O81" s="21"/>
    </row>
    <row r="82" spans="2:15" x14ac:dyDescent="0.25">
      <c r="B82" s="21"/>
      <c r="C82" s="21"/>
      <c r="D82" s="21"/>
      <c r="E82" s="21"/>
      <c r="F82" s="21"/>
      <c r="G82" s="21"/>
      <c r="H82" s="21"/>
      <c r="I82" s="21"/>
      <c r="J82" s="21"/>
      <c r="K82" s="21"/>
      <c r="L82" s="21"/>
      <c r="M82" s="21"/>
      <c r="O82" s="21"/>
    </row>
    <row r="83" spans="2:15" x14ac:dyDescent="0.25">
      <c r="B83" s="21"/>
      <c r="C83" s="21"/>
      <c r="D83" s="21"/>
      <c r="E83" s="21"/>
      <c r="F83" s="21"/>
      <c r="G83" s="21"/>
      <c r="H83" s="21"/>
      <c r="I83" s="21"/>
      <c r="J83" s="21"/>
      <c r="K83" s="21"/>
      <c r="L83" s="21"/>
      <c r="M83" s="21"/>
      <c r="O83" s="21"/>
    </row>
    <row r="84" spans="2:15" x14ac:dyDescent="0.25">
      <c r="B84" s="21"/>
      <c r="C84" s="21"/>
      <c r="D84" s="21"/>
      <c r="E84" s="21"/>
      <c r="F84" s="21"/>
      <c r="G84" s="21"/>
      <c r="H84" s="21"/>
      <c r="I84" s="21"/>
      <c r="J84" s="21"/>
      <c r="K84" s="21"/>
      <c r="L84" s="21"/>
      <c r="M84" s="21"/>
      <c r="O84" s="21"/>
    </row>
    <row r="85" spans="2:15" x14ac:dyDescent="0.25">
      <c r="B85" s="21"/>
      <c r="C85" s="21"/>
      <c r="D85" s="21"/>
      <c r="E85" s="21"/>
      <c r="F85" s="21"/>
      <c r="G85" s="21"/>
      <c r="H85" s="21"/>
      <c r="I85" s="21"/>
      <c r="J85" s="21"/>
      <c r="K85" s="21"/>
      <c r="L85" s="21"/>
      <c r="M85" s="21"/>
      <c r="O85" s="21"/>
    </row>
    <row r="86" spans="2:15" x14ac:dyDescent="0.25">
      <c r="B86" s="21"/>
      <c r="C86" s="21"/>
      <c r="D86" s="21"/>
      <c r="E86" s="21"/>
      <c r="F86" s="21"/>
      <c r="G86" s="21"/>
      <c r="H86" s="21"/>
      <c r="I86" s="21"/>
      <c r="J86" s="21"/>
      <c r="K86" s="21"/>
      <c r="L86" s="21"/>
      <c r="M86" s="21"/>
      <c r="O86" s="21"/>
    </row>
    <row r="87" spans="2:15" x14ac:dyDescent="0.25">
      <c r="B87" s="21"/>
      <c r="C87" s="21"/>
      <c r="D87" s="21"/>
      <c r="E87" s="21"/>
      <c r="F87" s="21"/>
      <c r="G87" s="21"/>
      <c r="H87" s="21"/>
      <c r="I87" s="21"/>
      <c r="J87" s="21"/>
      <c r="K87" s="21"/>
      <c r="L87" s="21"/>
      <c r="M87" s="21"/>
      <c r="O87" s="21"/>
    </row>
    <row r="88" spans="2:15" x14ac:dyDescent="0.25">
      <c r="B88" s="21"/>
      <c r="C88" s="21"/>
      <c r="D88" s="21"/>
      <c r="E88" s="21"/>
      <c r="F88" s="21"/>
      <c r="G88" s="21"/>
      <c r="H88" s="21"/>
      <c r="I88" s="21"/>
      <c r="J88" s="21"/>
      <c r="K88" s="21"/>
      <c r="L88" s="21"/>
      <c r="M88" s="21"/>
      <c r="O88" s="21"/>
    </row>
    <row r="89" spans="2:15" x14ac:dyDescent="0.25">
      <c r="B89" s="21"/>
      <c r="C89" s="21"/>
      <c r="D89" s="21"/>
      <c r="E89" s="21"/>
      <c r="F89" s="21"/>
      <c r="G89" s="21"/>
      <c r="H89" s="21"/>
      <c r="I89" s="21"/>
      <c r="J89" s="21"/>
      <c r="K89" s="21"/>
      <c r="L89" s="21"/>
      <c r="M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row r="140" spans="2:15" x14ac:dyDescent="0.25">
      <c r="B140" s="21"/>
      <c r="C140" s="21"/>
      <c r="D140" s="21"/>
      <c r="E140" s="21"/>
      <c r="F140" s="21"/>
      <c r="G140" s="21"/>
      <c r="H140" s="21"/>
      <c r="I140" s="21"/>
      <c r="J140" s="21"/>
      <c r="K140" s="21"/>
      <c r="L140" s="21"/>
      <c r="M140" s="21"/>
      <c r="N140" s="21"/>
      <c r="O140" s="21"/>
    </row>
    <row r="141" spans="2:15" x14ac:dyDescent="0.25">
      <c r="B141" s="21"/>
      <c r="C141" s="21"/>
      <c r="D141" s="21"/>
      <c r="E141" s="21"/>
      <c r="F141" s="21"/>
      <c r="G141" s="21"/>
      <c r="H141" s="21"/>
      <c r="I141" s="21"/>
      <c r="J141" s="21"/>
      <c r="K141" s="21"/>
      <c r="L141" s="21"/>
      <c r="M141" s="21"/>
      <c r="N141" s="21"/>
      <c r="O141" s="21"/>
    </row>
    <row r="142" spans="2:15" x14ac:dyDescent="0.25">
      <c r="B142" s="21"/>
      <c r="C142" s="21"/>
      <c r="D142" s="21"/>
      <c r="E142" s="21"/>
      <c r="F142" s="21"/>
      <c r="G142" s="21"/>
      <c r="H142" s="21"/>
      <c r="I142" s="21"/>
      <c r="J142" s="21"/>
      <c r="K142" s="21"/>
      <c r="L142" s="21"/>
      <c r="M142" s="21"/>
      <c r="N142" s="21"/>
      <c r="O142" s="21"/>
    </row>
    <row r="143" spans="2:15" x14ac:dyDescent="0.25">
      <c r="B143" s="21"/>
      <c r="C143" s="21"/>
      <c r="D143" s="21"/>
      <c r="E143" s="21"/>
      <c r="F143" s="21"/>
      <c r="G143" s="21"/>
      <c r="H143" s="21"/>
      <c r="I143" s="21"/>
      <c r="J143" s="21"/>
      <c r="K143" s="21"/>
      <c r="L143" s="21"/>
      <c r="M143" s="21"/>
      <c r="N143" s="21"/>
      <c r="O143" s="21"/>
    </row>
    <row r="144" spans="2:15" x14ac:dyDescent="0.25">
      <c r="B144" s="21"/>
      <c r="C144" s="21"/>
      <c r="D144" s="21"/>
      <c r="E144" s="21"/>
      <c r="F144" s="21"/>
      <c r="G144" s="21"/>
      <c r="H144" s="21"/>
      <c r="I144" s="21"/>
      <c r="J144" s="21"/>
      <c r="K144" s="21"/>
      <c r="L144" s="21"/>
      <c r="M144" s="21"/>
      <c r="N144" s="21"/>
      <c r="O144" s="21"/>
    </row>
    <row r="145" spans="2:15" x14ac:dyDescent="0.25">
      <c r="B145" s="21"/>
      <c r="C145" s="21"/>
      <c r="D145" s="21"/>
      <c r="E145" s="21"/>
      <c r="F145" s="21"/>
      <c r="G145" s="21"/>
      <c r="H145" s="21"/>
      <c r="I145" s="21"/>
      <c r="J145" s="21"/>
      <c r="K145" s="21"/>
      <c r="L145" s="21"/>
      <c r="M145" s="21"/>
      <c r="N145" s="21"/>
      <c r="O145" s="21"/>
    </row>
    <row r="146" spans="2:15" x14ac:dyDescent="0.25">
      <c r="B146" s="21"/>
      <c r="C146" s="21"/>
      <c r="D146" s="21"/>
      <c r="E146" s="21"/>
      <c r="F146" s="21"/>
      <c r="G146" s="21"/>
      <c r="H146" s="21"/>
      <c r="I146" s="21"/>
      <c r="J146" s="21"/>
      <c r="K146" s="21"/>
      <c r="L146" s="21"/>
      <c r="M146" s="21"/>
      <c r="N146" s="21"/>
      <c r="O146" s="21"/>
    </row>
    <row r="147" spans="2:15" x14ac:dyDescent="0.25">
      <c r="B147" s="21"/>
      <c r="C147" s="21"/>
      <c r="D147" s="21"/>
      <c r="E147" s="21"/>
      <c r="F147" s="21"/>
      <c r="G147" s="21"/>
      <c r="H147" s="21"/>
      <c r="I147" s="21"/>
      <c r="J147" s="21"/>
      <c r="K147" s="21"/>
      <c r="L147" s="21"/>
      <c r="M147" s="21"/>
      <c r="N147" s="21"/>
      <c r="O147" s="21"/>
    </row>
    <row r="148" spans="2:15" x14ac:dyDescent="0.25">
      <c r="B148" s="21"/>
      <c r="C148" s="21"/>
      <c r="D148" s="21"/>
      <c r="E148" s="21"/>
      <c r="F148" s="21"/>
      <c r="G148" s="21"/>
      <c r="H148" s="21"/>
      <c r="I148" s="21"/>
      <c r="J148" s="21"/>
      <c r="K148" s="21"/>
      <c r="L148" s="21"/>
      <c r="M148" s="21"/>
      <c r="N148" s="21"/>
      <c r="O148" s="21"/>
    </row>
    <row r="149" spans="2:15" x14ac:dyDescent="0.25">
      <c r="B149" s="21"/>
      <c r="C149" s="21"/>
      <c r="D149" s="21"/>
      <c r="E149" s="21"/>
      <c r="F149" s="21"/>
      <c r="G149" s="21"/>
      <c r="H149" s="21"/>
      <c r="I149" s="21"/>
      <c r="J149" s="21"/>
      <c r="K149" s="21"/>
      <c r="L149" s="21"/>
      <c r="M149" s="21"/>
      <c r="N149" s="21"/>
      <c r="O149" s="21"/>
    </row>
    <row r="150" spans="2:15" x14ac:dyDescent="0.25">
      <c r="B150" s="21"/>
      <c r="C150" s="21"/>
      <c r="D150" s="21"/>
      <c r="E150" s="21"/>
      <c r="F150" s="21"/>
      <c r="G150" s="21"/>
      <c r="H150" s="21"/>
      <c r="I150" s="21"/>
      <c r="J150" s="21"/>
      <c r="K150" s="21"/>
      <c r="L150" s="21"/>
      <c r="M150" s="21"/>
      <c r="N150" s="21"/>
      <c r="O150" s="21"/>
    </row>
    <row r="151" spans="2:15" x14ac:dyDescent="0.25">
      <c r="B151" s="21"/>
      <c r="C151" s="21"/>
      <c r="D151" s="21"/>
      <c r="E151" s="21"/>
      <c r="F151" s="21"/>
      <c r="G151" s="21"/>
      <c r="H151" s="21"/>
      <c r="I151" s="21"/>
      <c r="J151" s="21"/>
      <c r="K151" s="21"/>
      <c r="L151" s="21"/>
      <c r="M151" s="21"/>
      <c r="N151" s="21"/>
      <c r="O151" s="21"/>
    </row>
    <row r="152" spans="2:15" x14ac:dyDescent="0.25">
      <c r="B152" s="21"/>
      <c r="C152" s="21"/>
      <c r="D152" s="21"/>
      <c r="E152" s="21"/>
      <c r="F152" s="21"/>
      <c r="G152" s="21"/>
      <c r="H152" s="21"/>
      <c r="I152" s="21"/>
      <c r="J152" s="21"/>
      <c r="K152" s="21"/>
      <c r="L152" s="21"/>
      <c r="M152" s="21"/>
      <c r="N152" s="21"/>
      <c r="O152" s="21"/>
    </row>
    <row r="153" spans="2:15" x14ac:dyDescent="0.25">
      <c r="B153" s="21"/>
      <c r="C153" s="21"/>
      <c r="D153" s="21"/>
      <c r="E153" s="21"/>
      <c r="F153" s="21"/>
      <c r="G153" s="21"/>
      <c r="H153" s="21"/>
      <c r="I153" s="21"/>
      <c r="J153" s="21"/>
      <c r="K153" s="21"/>
      <c r="L153" s="21"/>
      <c r="M153" s="21"/>
      <c r="N153" s="21"/>
      <c r="O153" s="21"/>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0"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47" transitionEvaluation="1">
    <pageSetUpPr fitToPage="1"/>
  </sheetPr>
  <dimension ref="A1:AJ139"/>
  <sheetViews>
    <sheetView showGridLines="0" zoomScaleNormal="100" workbookViewId="0">
      <pane xSplit="1" ySplit="16" topLeftCell="B47" activePane="bottomRight" state="frozen"/>
      <selection activeCell="B7" sqref="B7"/>
      <selection pane="topRight" activeCell="B7" sqref="B7"/>
      <selection pane="bottomLeft" activeCell="B7" sqref="B7"/>
      <selection pane="bottomRight" activeCell="H13" sqref="H13"/>
    </sheetView>
  </sheetViews>
  <sheetFormatPr defaultColWidth="13.33203125" defaultRowHeight="13.2" x14ac:dyDescent="0.25"/>
  <cols>
    <col min="1" max="1" width="8.77734375" style="2" bestFit="1" customWidth="1"/>
    <col min="2" max="2" width="10.77734375" style="2" bestFit="1" customWidth="1"/>
    <col min="3" max="3" width="14.109375" style="2" bestFit="1" customWidth="1"/>
    <col min="4" max="4" width="12.33203125" style="2" bestFit="1" customWidth="1"/>
    <col min="5" max="5" width="11" style="2" bestFit="1" customWidth="1"/>
    <col min="6" max="6" width="8.33203125" style="2" bestFit="1" customWidth="1"/>
    <col min="7" max="8" width="9.33203125" style="2" bestFit="1" customWidth="1"/>
    <col min="9" max="9" width="12.109375" style="2" bestFit="1" customWidth="1"/>
    <col min="10" max="10" width="11.44140625" style="2" bestFit="1" customWidth="1"/>
    <col min="11" max="11" width="9.21875" style="2" bestFit="1" customWidth="1"/>
    <col min="12" max="12" width="11.5546875" style="2" bestFit="1" customWidth="1"/>
    <col min="13" max="13" width="8.33203125" style="2" bestFit="1" customWidth="1"/>
    <col min="14" max="14" width="37.33203125" style="2" bestFit="1" customWidth="1"/>
    <col min="15" max="15" width="9.21875" style="2" bestFit="1" customWidth="1"/>
    <col min="16" max="22" width="13.33203125" style="2"/>
    <col min="23" max="23" width="2" style="2" bestFit="1" customWidth="1"/>
    <col min="24" max="25" width="15.5546875" style="2" customWidth="1"/>
    <col min="26" max="200" width="13.33203125" style="2"/>
    <col min="201" max="201" width="83" style="2" customWidth="1"/>
    <col min="202" max="16384" width="13.33203125" style="2"/>
  </cols>
  <sheetData>
    <row r="1" spans="1:25" ht="13.8" thickBot="1" x14ac:dyDescent="0.3">
      <c r="A1" s="243" t="s">
        <v>50</v>
      </c>
      <c r="B1" s="243"/>
      <c r="C1" s="243"/>
      <c r="D1" s="243"/>
      <c r="E1" s="243"/>
      <c r="F1" s="243"/>
      <c r="G1" s="243"/>
      <c r="H1" s="65"/>
      <c r="I1" s="65"/>
      <c r="J1" s="65"/>
      <c r="K1" s="65"/>
      <c r="L1" s="65"/>
      <c r="M1" s="65"/>
      <c r="Q1" s="26"/>
      <c r="R1" s="26"/>
      <c r="S1" s="26"/>
      <c r="W1" s="30" t="s">
        <v>15</v>
      </c>
    </row>
    <row r="2" spans="1:25" ht="14.4" customHeight="1" thickBot="1" x14ac:dyDescent="0.3">
      <c r="A2" s="243" t="s">
        <v>31</v>
      </c>
      <c r="B2" s="243"/>
      <c r="C2" s="243"/>
      <c r="D2" s="243"/>
      <c r="E2" s="243"/>
      <c r="F2" s="243"/>
      <c r="G2" s="243"/>
      <c r="H2" s="65"/>
      <c r="I2" s="244" t="s">
        <v>51</v>
      </c>
      <c r="J2" s="245"/>
      <c r="K2" s="245"/>
      <c r="L2" s="246"/>
      <c r="Q2" s="26"/>
      <c r="R2" s="26"/>
      <c r="S2" s="26"/>
      <c r="W2" s="30" t="s">
        <v>15</v>
      </c>
    </row>
    <row r="3" spans="1:25" x14ac:dyDescent="0.25">
      <c r="A3" s="84"/>
      <c r="B3" s="84"/>
      <c r="C3" s="84"/>
      <c r="D3" s="84"/>
      <c r="E3" s="84"/>
      <c r="F3" s="84"/>
      <c r="G3" s="65"/>
      <c r="H3" s="65"/>
      <c r="I3" s="79" t="s">
        <v>28</v>
      </c>
      <c r="J3" s="107">
        <f ca="1">+'LvlFCR Land'!J2</f>
        <v>0.51500000000000001</v>
      </c>
      <c r="K3" s="109">
        <f ca="1">+'LvlFCR Land'!K2</f>
        <v>5.8058252427184473E-2</v>
      </c>
      <c r="L3" s="110">
        <f ca="1">+'LvlFCR Land'!L2</f>
        <v>2.9899999999999999E-2</v>
      </c>
      <c r="Q3" s="26"/>
      <c r="R3" s="26"/>
      <c r="S3" s="26"/>
      <c r="W3" s="30"/>
    </row>
    <row r="4" spans="1:25" x14ac:dyDescent="0.25">
      <c r="A4" s="84"/>
      <c r="B4" s="84"/>
      <c r="C4" s="84"/>
      <c r="D4" s="84"/>
      <c r="E4" s="84"/>
      <c r="F4" s="84"/>
      <c r="G4" s="65"/>
      <c r="H4" s="65"/>
      <c r="I4" s="79" t="s">
        <v>27</v>
      </c>
      <c r="J4" s="107">
        <f>+'LvlFCR Land'!J3</f>
        <v>0</v>
      </c>
      <c r="K4" s="109">
        <f>+'LvlFCR Land'!K3</f>
        <v>0</v>
      </c>
      <c r="L4" s="110">
        <f>+'LvlFCR Land'!L3</f>
        <v>0</v>
      </c>
      <c r="Q4" s="26"/>
      <c r="R4" s="26"/>
      <c r="S4" s="26"/>
      <c r="W4" s="30"/>
    </row>
    <row r="5" spans="1:25" x14ac:dyDescent="0.25">
      <c r="A5" s="65"/>
      <c r="B5" s="65"/>
      <c r="C5" s="65"/>
      <c r="D5" s="65"/>
      <c r="E5" s="85"/>
      <c r="F5" s="65"/>
      <c r="G5" s="65"/>
      <c r="H5" s="65"/>
      <c r="I5" s="81" t="s">
        <v>34</v>
      </c>
      <c r="J5" s="108">
        <f ca="1">SUM(J3:J4)</f>
        <v>0.51500000000000001</v>
      </c>
      <c r="K5" s="109"/>
      <c r="L5" s="111">
        <f ca="1">SUM(L3:L4)</f>
        <v>2.9899999999999999E-2</v>
      </c>
      <c r="Q5" s="26"/>
      <c r="R5" s="26"/>
      <c r="S5" s="26"/>
      <c r="W5" s="30" t="s">
        <v>15</v>
      </c>
      <c r="X5" s="26"/>
      <c r="Y5" s="26"/>
    </row>
    <row r="6" spans="1:25" x14ac:dyDescent="0.25">
      <c r="A6" s="65"/>
      <c r="B6" s="65"/>
      <c r="C6" s="65"/>
      <c r="D6" s="65"/>
      <c r="E6" s="65"/>
      <c r="F6" s="65"/>
      <c r="G6" s="65"/>
      <c r="H6" s="65"/>
      <c r="I6" s="81" t="s">
        <v>25</v>
      </c>
      <c r="J6" s="107">
        <f>+'LvlFCR Land'!J5</f>
        <v>0</v>
      </c>
      <c r="K6" s="109">
        <f>+'LvlFCR Land'!K5</f>
        <v>0</v>
      </c>
      <c r="L6" s="110">
        <f>+'LvlFCR Land'!L5</f>
        <v>0</v>
      </c>
      <c r="Q6" s="26"/>
      <c r="R6" s="26"/>
      <c r="S6" s="26"/>
      <c r="W6" s="30" t="s">
        <v>15</v>
      </c>
      <c r="X6" s="26"/>
      <c r="Y6" s="26"/>
    </row>
    <row r="7" spans="1:25" x14ac:dyDescent="0.25">
      <c r="A7" s="65"/>
      <c r="B7" s="65"/>
      <c r="C7" s="241" t="s">
        <v>24</v>
      </c>
      <c r="D7" s="241"/>
      <c r="E7" s="86">
        <f ca="1">L56</f>
        <v>108324.2638815612</v>
      </c>
      <c r="F7" s="65"/>
      <c r="G7" s="65"/>
      <c r="H7" s="65"/>
      <c r="I7" s="81" t="s">
        <v>23</v>
      </c>
      <c r="J7" s="107">
        <f ca="1">+'LvlFCR Land'!J6</f>
        <v>0.48499999999999999</v>
      </c>
      <c r="K7" s="109">
        <f ca="1">+'LvlFCR Land'!K6</f>
        <v>9.5000000000000001E-2</v>
      </c>
      <c r="L7" s="110">
        <f ca="1">+'LvlFCR Land'!L6</f>
        <v>4.6100000000000002E-2</v>
      </c>
      <c r="Q7" s="26"/>
      <c r="R7" s="26"/>
      <c r="S7" s="26"/>
      <c r="W7" s="30" t="s">
        <v>15</v>
      </c>
      <c r="X7" s="26"/>
      <c r="Y7" s="26"/>
    </row>
    <row r="8" spans="1:25" x14ac:dyDescent="0.25">
      <c r="A8" s="65"/>
      <c r="B8" s="65"/>
      <c r="C8" s="241" t="s">
        <v>22</v>
      </c>
      <c r="D8" s="241"/>
      <c r="E8" s="86">
        <f ca="1">PMT(L9,H12,-E7)</f>
        <v>8919.5777145629054</v>
      </c>
      <c r="F8" s="65"/>
      <c r="G8" s="65"/>
      <c r="H8" s="65"/>
      <c r="I8" s="82"/>
      <c r="J8" s="83"/>
      <c r="K8" s="83"/>
      <c r="L8" s="110" t="s">
        <v>14</v>
      </c>
      <c r="W8" s="30" t="s">
        <v>15</v>
      </c>
      <c r="X8" s="26"/>
      <c r="Y8" s="26"/>
    </row>
    <row r="9" spans="1:25" ht="15" customHeight="1" thickBot="1" x14ac:dyDescent="0.3">
      <c r="A9" s="65"/>
      <c r="B9" s="65"/>
      <c r="C9" s="241" t="s">
        <v>21</v>
      </c>
      <c r="D9" s="241"/>
      <c r="E9" s="87">
        <f ca="1">($E$8/$D$12)*100</f>
        <v>8.9195777145629052</v>
      </c>
      <c r="F9" s="65"/>
      <c r="G9" s="65"/>
      <c r="H9" s="65"/>
      <c r="I9" s="232" t="s">
        <v>20</v>
      </c>
      <c r="J9" s="233"/>
      <c r="K9" s="233"/>
      <c r="L9" s="112">
        <f ca="1">L7+L6+L5</f>
        <v>7.5999999999999998E-2</v>
      </c>
      <c r="Q9" s="26"/>
      <c r="R9" s="26"/>
      <c r="S9" s="26"/>
      <c r="W9" s="30" t="s">
        <v>15</v>
      </c>
      <c r="X9" s="26"/>
      <c r="Y9" s="26"/>
    </row>
    <row r="10" spans="1:25" x14ac:dyDescent="0.25">
      <c r="A10" s="65"/>
      <c r="B10" s="65"/>
      <c r="C10" s="65"/>
      <c r="D10" s="65"/>
      <c r="E10" s="65"/>
      <c r="F10" s="65"/>
      <c r="G10" s="65"/>
      <c r="H10" s="65"/>
      <c r="I10" s="65"/>
      <c r="J10" s="65"/>
      <c r="K10" s="65"/>
      <c r="L10" s="65"/>
      <c r="M10" s="65"/>
      <c r="Q10" s="26"/>
      <c r="R10" s="26"/>
      <c r="S10" s="26"/>
      <c r="W10" s="30" t="s">
        <v>15</v>
      </c>
      <c r="X10" s="26"/>
      <c r="Y10" s="26"/>
    </row>
    <row r="11" spans="1:25" x14ac:dyDescent="0.25">
      <c r="A11" s="65"/>
      <c r="B11" s="65"/>
      <c r="C11" s="88" t="s">
        <v>19</v>
      </c>
      <c r="D11" s="89">
        <v>12</v>
      </c>
      <c r="E11" s="65"/>
      <c r="F11" s="65"/>
      <c r="G11" s="65"/>
      <c r="H11" s="69">
        <f>+'Lvl FCR Sub Equip'!H11</f>
        <v>5.0000000000000001E-4</v>
      </c>
      <c r="I11" s="242" t="s">
        <v>29</v>
      </c>
      <c r="J11" s="242"/>
      <c r="K11" s="242"/>
      <c r="L11" s="242"/>
      <c r="M11" s="242"/>
      <c r="N11" s="35"/>
      <c r="Q11" s="26"/>
      <c r="R11" s="26"/>
      <c r="S11" s="26"/>
      <c r="W11" s="30" t="s">
        <v>15</v>
      </c>
      <c r="X11" s="26"/>
      <c r="Y11" s="26"/>
    </row>
    <row r="12" spans="1:25" x14ac:dyDescent="0.25">
      <c r="A12" s="65"/>
      <c r="B12" s="65"/>
      <c r="C12" s="88" t="s">
        <v>17</v>
      </c>
      <c r="D12" s="86">
        <v>100000</v>
      </c>
      <c r="E12" s="86"/>
      <c r="F12" s="88"/>
      <c r="G12" s="89"/>
      <c r="H12" s="70">
        <f ca="1">+'Sub &amp; Feeder Depr Life'!Q26</f>
        <v>35</v>
      </c>
      <c r="I12" s="242" t="s">
        <v>41</v>
      </c>
      <c r="J12" s="242"/>
      <c r="K12" s="242"/>
      <c r="L12" s="242"/>
      <c r="M12" s="242"/>
      <c r="W12" s="30" t="s">
        <v>15</v>
      </c>
      <c r="X12" s="26"/>
      <c r="Y12" s="26"/>
    </row>
    <row r="13" spans="1:25" x14ac:dyDescent="0.25">
      <c r="A13" s="65"/>
      <c r="B13" s="65"/>
      <c r="C13" s="90" t="s">
        <v>16</v>
      </c>
      <c r="D13" s="86">
        <f>D12</f>
        <v>100000</v>
      </c>
      <c r="E13" s="86"/>
      <c r="F13" s="65"/>
      <c r="G13" s="91"/>
      <c r="H13" s="71">
        <f ca="1">+'Lvl FCR Sub Equip'!H13</f>
        <v>0.24761500000000003</v>
      </c>
      <c r="I13" s="242" t="s">
        <v>44</v>
      </c>
      <c r="J13" s="242"/>
      <c r="K13" s="242"/>
      <c r="L13" s="242"/>
      <c r="M13" s="242"/>
      <c r="W13" s="30" t="s">
        <v>15</v>
      </c>
      <c r="X13" s="26"/>
      <c r="Y13" s="26"/>
    </row>
    <row r="14" spans="1:25" x14ac:dyDescent="0.25">
      <c r="A14" s="65"/>
      <c r="B14" s="65"/>
      <c r="C14" s="88" t="s">
        <v>18</v>
      </c>
      <c r="D14" s="86">
        <f>D12</f>
        <v>100000</v>
      </c>
      <c r="E14" s="65"/>
      <c r="F14" s="65"/>
      <c r="G14" s="65"/>
      <c r="H14" s="71">
        <f ca="1">+'Lvl FCR Sub Equip'!H14</f>
        <v>0.21</v>
      </c>
      <c r="I14" s="242" t="s">
        <v>42</v>
      </c>
      <c r="J14" s="242"/>
      <c r="K14" s="242"/>
      <c r="L14" s="242"/>
      <c r="M14" s="242"/>
      <c r="N14" s="29"/>
      <c r="O14" s="230"/>
      <c r="P14" s="230"/>
      <c r="Q14" s="230"/>
    </row>
    <row r="15" spans="1:25" x14ac:dyDescent="0.25">
      <c r="A15" s="65"/>
      <c r="B15" s="65"/>
      <c r="C15" s="78"/>
      <c r="D15" s="65"/>
      <c r="E15" s="65"/>
      <c r="F15" s="65"/>
      <c r="G15" s="65"/>
      <c r="H15" s="68"/>
      <c r="I15" s="92"/>
      <c r="J15" s="92"/>
      <c r="K15" s="92"/>
      <c r="L15" s="92"/>
      <c r="M15" s="92"/>
      <c r="N15" s="29"/>
      <c r="O15" s="63"/>
      <c r="P15" s="63"/>
      <c r="Q15" s="63"/>
    </row>
    <row r="16" spans="1:25" ht="40.200000000000003" thickBot="1" x14ac:dyDescent="0.3">
      <c r="A16" s="93" t="s">
        <v>52</v>
      </c>
      <c r="B16" s="93" t="s">
        <v>53</v>
      </c>
      <c r="C16" s="93" t="s">
        <v>62</v>
      </c>
      <c r="D16" s="93" t="s">
        <v>54</v>
      </c>
      <c r="E16" s="93" t="s">
        <v>64</v>
      </c>
      <c r="F16" s="93" t="s">
        <v>61</v>
      </c>
      <c r="G16" s="93" t="s">
        <v>55</v>
      </c>
      <c r="H16" s="93" t="s">
        <v>56</v>
      </c>
      <c r="I16" s="93" t="s">
        <v>63</v>
      </c>
      <c r="J16" s="93" t="s">
        <v>57</v>
      </c>
      <c r="K16" s="93" t="s">
        <v>58</v>
      </c>
      <c r="L16" s="93" t="s">
        <v>59</v>
      </c>
      <c r="M16" s="93" t="s">
        <v>60</v>
      </c>
      <c r="O16" s="230"/>
      <c r="P16" s="230"/>
      <c r="Q16" s="230"/>
    </row>
    <row r="17" spans="1:36" x14ac:dyDescent="0.25">
      <c r="A17" s="94">
        <v>1</v>
      </c>
      <c r="B17" s="95">
        <f>D12</f>
        <v>100000</v>
      </c>
      <c r="C17" s="96">
        <v>3.7999999999999999E-2</v>
      </c>
      <c r="D17" s="97">
        <f>D12</f>
        <v>100000</v>
      </c>
      <c r="E17" s="97">
        <f t="shared" ref="E17:E50" si="0">D$13*C17</f>
        <v>3800</v>
      </c>
      <c r="F17" s="98">
        <f t="shared" ref="F17:F50" ca="1" si="1">H$14*(E17-I17*D$13/D$12)</f>
        <v>197.99999999999994</v>
      </c>
      <c r="G17" s="97">
        <f ca="1">L$5*D17*(D11/12)</f>
        <v>2990</v>
      </c>
      <c r="H17" s="97">
        <f ca="1">D17*(L$6+L$7)*(D11/12)</f>
        <v>4610</v>
      </c>
      <c r="I17" s="97">
        <f ca="1">(D11/12)*D$12/H$12</f>
        <v>2857.1428571428573</v>
      </c>
      <c r="J17" s="97">
        <f t="shared" ref="J17:J50" si="2">+B17*$H$11</f>
        <v>50</v>
      </c>
      <c r="K17" s="97">
        <f ca="1">(H$13/(1-$H$13))*(H17+I17-E17+F17+J17)</f>
        <v>1288.5000346517124</v>
      </c>
      <c r="L17" s="97">
        <f t="shared" ref="L17:L50" ca="1" si="3">SUM(F17:K17)</f>
        <v>11993.642891794569</v>
      </c>
      <c r="M17" s="99">
        <f t="shared" ref="M17:M41" ca="1" si="4">NPV($L$9,L17:L26)</f>
        <v>72981.314240402309</v>
      </c>
      <c r="O17" s="230"/>
      <c r="P17" s="230"/>
      <c r="Q17" s="230"/>
    </row>
    <row r="18" spans="1:36" x14ac:dyDescent="0.25">
      <c r="A18" s="94">
        <f t="shared" ref="A18:A52" si="5">A17+1</f>
        <v>2</v>
      </c>
      <c r="B18" s="95">
        <f t="shared" ref="B18:B50" ca="1" si="6">B17-I17</f>
        <v>97142.857142857145</v>
      </c>
      <c r="C18" s="96">
        <v>7.1999999999999995E-2</v>
      </c>
      <c r="D18" s="97">
        <f t="shared" ref="D18:D50" ca="1" si="7">D17-F17-I17</f>
        <v>96944.857142857145</v>
      </c>
      <c r="E18" s="97">
        <f t="shared" si="0"/>
        <v>7199.9999999999991</v>
      </c>
      <c r="F18" s="100">
        <f t="shared" ca="1" si="1"/>
        <v>911.99999999999966</v>
      </c>
      <c r="G18" s="97">
        <f t="shared" ref="G18:G51" ca="1" si="8">L$5*D18</f>
        <v>2898.6512285714284</v>
      </c>
      <c r="H18" s="97">
        <f t="shared" ref="H18:H51" ca="1" si="9">D18*(L$6+L$7)</f>
        <v>4469.1579142857145</v>
      </c>
      <c r="I18" s="97">
        <f t="shared" ref="I18:I50" ca="1" si="10">D$12/H$12</f>
        <v>2857.1428571428573</v>
      </c>
      <c r="J18" s="97">
        <f t="shared" ca="1" si="2"/>
        <v>48.571428571428577</v>
      </c>
      <c r="K18" s="97">
        <f t="shared" ref="K18:K50" ca="1" si="11">(H$13/(1-H$13))*(H18+I18-E18+F18+J18)</f>
        <v>357.69700326694493</v>
      </c>
      <c r="L18" s="97">
        <f t="shared" ca="1" si="3"/>
        <v>11543.220431838374</v>
      </c>
      <c r="M18" s="99">
        <f t="shared" ca="1" si="4"/>
        <v>70793.906836336944</v>
      </c>
      <c r="O18" s="230"/>
      <c r="P18" s="230"/>
      <c r="Q18" s="230"/>
    </row>
    <row r="19" spans="1:36" x14ac:dyDescent="0.25">
      <c r="A19" s="94">
        <f t="shared" si="5"/>
        <v>3</v>
      </c>
      <c r="B19" s="95">
        <f t="shared" ca="1" si="6"/>
        <v>94285.71428571429</v>
      </c>
      <c r="C19" s="96">
        <v>6.7000000000000004E-2</v>
      </c>
      <c r="D19" s="97">
        <f t="shared" ca="1" si="7"/>
        <v>93175.71428571429</v>
      </c>
      <c r="E19" s="97">
        <f t="shared" si="0"/>
        <v>6700</v>
      </c>
      <c r="F19" s="100">
        <f t="shared" ca="1" si="1"/>
        <v>806.99999999999989</v>
      </c>
      <c r="G19" s="97">
        <f t="shared" ca="1" si="8"/>
        <v>2785.953857142857</v>
      </c>
      <c r="H19" s="97">
        <f t="shared" ca="1" si="9"/>
        <v>4295.4004285714291</v>
      </c>
      <c r="I19" s="97">
        <f t="shared" ca="1" si="10"/>
        <v>2857.1428571428573</v>
      </c>
      <c r="J19" s="97">
        <f t="shared" ca="1" si="2"/>
        <v>47.142857142857146</v>
      </c>
      <c r="K19" s="97">
        <f t="shared" ca="1" si="11"/>
        <v>430.03926083530575</v>
      </c>
      <c r="L19" s="97">
        <f t="shared" ca="1" si="3"/>
        <v>11222.679260835304</v>
      </c>
      <c r="M19" s="99">
        <f t="shared" ca="1" si="4"/>
        <v>68749.427126275492</v>
      </c>
      <c r="O19" s="10"/>
      <c r="P19" s="13"/>
      <c r="Q19" s="15"/>
    </row>
    <row r="20" spans="1:36" x14ac:dyDescent="0.25">
      <c r="A20" s="94">
        <f t="shared" si="5"/>
        <v>4</v>
      </c>
      <c r="B20" s="95">
        <f t="shared" ca="1" si="6"/>
        <v>91428.571428571435</v>
      </c>
      <c r="C20" s="96">
        <v>6.2E-2</v>
      </c>
      <c r="D20" s="97">
        <f t="shared" ca="1" si="7"/>
        <v>89511.571428571435</v>
      </c>
      <c r="E20" s="97">
        <f t="shared" si="0"/>
        <v>6200</v>
      </c>
      <c r="F20" s="100">
        <f t="shared" ca="1" si="1"/>
        <v>701.99999999999989</v>
      </c>
      <c r="G20" s="97">
        <f t="shared" ca="1" si="8"/>
        <v>2676.3959857142859</v>
      </c>
      <c r="H20" s="97">
        <f t="shared" ca="1" si="9"/>
        <v>4126.483442857143</v>
      </c>
      <c r="I20" s="97">
        <f t="shared" ca="1" si="10"/>
        <v>2857.1428571428573</v>
      </c>
      <c r="J20" s="97">
        <f t="shared" ca="1" si="2"/>
        <v>45.714285714285715</v>
      </c>
      <c r="K20" s="97">
        <f t="shared" ca="1" si="11"/>
        <v>503.97455974221032</v>
      </c>
      <c r="L20" s="97">
        <f t="shared" ca="1" si="3"/>
        <v>10911.711131170781</v>
      </c>
      <c r="M20" s="99">
        <f t="shared" ca="1" si="4"/>
        <v>66728.856326009176</v>
      </c>
      <c r="O20" s="10"/>
      <c r="P20" s="13"/>
      <c r="Q20" s="15"/>
    </row>
    <row r="21" spans="1:36" x14ac:dyDescent="0.25">
      <c r="A21" s="94">
        <f t="shared" si="5"/>
        <v>5</v>
      </c>
      <c r="B21" s="95">
        <f t="shared" ca="1" si="6"/>
        <v>88571.42857142858</v>
      </c>
      <c r="C21" s="96">
        <v>5.7000000000000002E-2</v>
      </c>
      <c r="D21" s="97">
        <f t="shared" ca="1" si="7"/>
        <v>85952.42857142858</v>
      </c>
      <c r="E21" s="97">
        <f t="shared" si="0"/>
        <v>5700</v>
      </c>
      <c r="F21" s="100">
        <f t="shared" ca="1" si="1"/>
        <v>596.99999999999989</v>
      </c>
      <c r="G21" s="97">
        <f t="shared" ca="1" si="8"/>
        <v>2569.9776142857145</v>
      </c>
      <c r="H21" s="97">
        <f t="shared" ca="1" si="9"/>
        <v>3962.4069571428577</v>
      </c>
      <c r="I21" s="97">
        <f t="shared" ca="1" si="10"/>
        <v>2857.1428571428573</v>
      </c>
      <c r="J21" s="97">
        <f t="shared" ca="1" si="2"/>
        <v>44.285714285714292</v>
      </c>
      <c r="K21" s="97">
        <f t="shared" ca="1" si="11"/>
        <v>579.50289998765857</v>
      </c>
      <c r="L21" s="97">
        <f t="shared" ca="1" si="3"/>
        <v>10610.316042844803</v>
      </c>
      <c r="M21" s="99">
        <f t="shared" ca="1" si="4"/>
        <v>64724.438471343863</v>
      </c>
      <c r="O21" s="10"/>
      <c r="P21" s="13"/>
      <c r="Q21" s="15"/>
    </row>
    <row r="22" spans="1:36" x14ac:dyDescent="0.25">
      <c r="A22" s="94">
        <f t="shared" si="5"/>
        <v>6</v>
      </c>
      <c r="B22" s="95">
        <f t="shared" ca="1" si="6"/>
        <v>85714.285714285725</v>
      </c>
      <c r="C22" s="96">
        <v>5.2999999999999999E-2</v>
      </c>
      <c r="D22" s="97">
        <f t="shared" ca="1" si="7"/>
        <v>82498.285714285725</v>
      </c>
      <c r="E22" s="97">
        <f t="shared" si="0"/>
        <v>5300</v>
      </c>
      <c r="F22" s="100">
        <f t="shared" ca="1" si="1"/>
        <v>512.99999999999989</v>
      </c>
      <c r="G22" s="97">
        <f t="shared" ca="1" si="8"/>
        <v>2466.6987428571433</v>
      </c>
      <c r="H22" s="97">
        <f t="shared" ca="1" si="9"/>
        <v>3803.1709714285721</v>
      </c>
      <c r="I22" s="97">
        <f t="shared" ca="1" si="10"/>
        <v>2857.1428571428573</v>
      </c>
      <c r="J22" s="97">
        <f t="shared" ca="1" si="2"/>
        <v>42.857142857142861</v>
      </c>
      <c r="K22" s="97">
        <f t="shared" ca="1" si="11"/>
        <v>630.62484644202902</v>
      </c>
      <c r="L22" s="97">
        <f t="shared" ca="1" si="3"/>
        <v>10313.494560727746</v>
      </c>
      <c r="M22" s="99">
        <f t="shared" ca="1" si="4"/>
        <v>62727.828144806663</v>
      </c>
      <c r="O22" s="10"/>
      <c r="P22" s="13"/>
      <c r="Q22" s="15"/>
    </row>
    <row r="23" spans="1:36" x14ac:dyDescent="0.25">
      <c r="A23" s="94">
        <f t="shared" si="5"/>
        <v>7</v>
      </c>
      <c r="B23" s="95">
        <f t="shared" ca="1" si="6"/>
        <v>82857.14285714287</v>
      </c>
      <c r="C23" s="96">
        <v>4.9000000000000002E-2</v>
      </c>
      <c r="D23" s="97">
        <f t="shared" ca="1" si="7"/>
        <v>79128.14285714287</v>
      </c>
      <c r="E23" s="97">
        <f t="shared" si="0"/>
        <v>4900</v>
      </c>
      <c r="F23" s="100">
        <f t="shared" ca="1" si="1"/>
        <v>428.99999999999994</v>
      </c>
      <c r="G23" s="97">
        <f t="shared" ca="1" si="8"/>
        <v>2365.931471428572</v>
      </c>
      <c r="H23" s="97">
        <f t="shared" ca="1" si="9"/>
        <v>3647.8073857142863</v>
      </c>
      <c r="I23" s="97">
        <f t="shared" ca="1" si="10"/>
        <v>2857.1428571428573</v>
      </c>
      <c r="J23" s="97">
        <f t="shared" ca="1" si="2"/>
        <v>41.428571428571438</v>
      </c>
      <c r="K23" s="97">
        <f t="shared" ca="1" si="11"/>
        <v>683.02122596723393</v>
      </c>
      <c r="L23" s="97">
        <f t="shared" ca="1" si="3"/>
        <v>10024.331511681519</v>
      </c>
      <c r="M23" s="99">
        <f t="shared" ca="1" si="4"/>
        <v>60735.045112326436</v>
      </c>
      <c r="O23" s="10"/>
      <c r="P23" s="13"/>
      <c r="Q23" s="15"/>
    </row>
    <row r="24" spans="1:36" x14ac:dyDescent="0.25">
      <c r="A24" s="94">
        <f t="shared" si="5"/>
        <v>8</v>
      </c>
      <c r="B24" s="95">
        <f t="shared" ca="1" si="6"/>
        <v>80000.000000000015</v>
      </c>
      <c r="C24" s="96">
        <v>4.4999999999999998E-2</v>
      </c>
      <c r="D24" s="97">
        <f t="shared" ca="1" si="7"/>
        <v>75842.000000000015</v>
      </c>
      <c r="E24" s="97">
        <f t="shared" si="0"/>
        <v>4500</v>
      </c>
      <c r="F24" s="100">
        <f t="shared" ca="1" si="1"/>
        <v>344.99999999999994</v>
      </c>
      <c r="G24" s="97">
        <f t="shared" ca="1" si="8"/>
        <v>2267.6758000000004</v>
      </c>
      <c r="H24" s="97">
        <f t="shared" ca="1" si="9"/>
        <v>3496.3162000000007</v>
      </c>
      <c r="I24" s="97">
        <f t="shared" ca="1" si="10"/>
        <v>2857.1428571428573</v>
      </c>
      <c r="J24" s="97">
        <f t="shared" ca="1" si="2"/>
        <v>40.000000000000007</v>
      </c>
      <c r="K24" s="97">
        <f t="shared" ca="1" si="11"/>
        <v>736.69203856327397</v>
      </c>
      <c r="L24" s="97">
        <f t="shared" ca="1" si="3"/>
        <v>9742.8268957061337</v>
      </c>
      <c r="M24" s="99">
        <f t="shared" ca="1" si="4"/>
        <v>58738.721815180645</v>
      </c>
      <c r="O24" s="10"/>
      <c r="P24" s="13"/>
      <c r="Q24" s="15"/>
    </row>
    <row r="25" spans="1:36" x14ac:dyDescent="0.25">
      <c r="A25" s="94">
        <f t="shared" si="5"/>
        <v>9</v>
      </c>
      <c r="B25" s="95">
        <f t="shared" ca="1" si="6"/>
        <v>77142.857142857159</v>
      </c>
      <c r="C25" s="96">
        <v>4.4999999999999998E-2</v>
      </c>
      <c r="D25" s="97">
        <f t="shared" ca="1" si="7"/>
        <v>72639.857142857159</v>
      </c>
      <c r="E25" s="97">
        <f t="shared" si="0"/>
        <v>4500</v>
      </c>
      <c r="F25" s="100">
        <f t="shared" ca="1" si="1"/>
        <v>344.99999999999994</v>
      </c>
      <c r="G25" s="97">
        <f t="shared" ca="1" si="8"/>
        <v>2171.9317285714292</v>
      </c>
      <c r="H25" s="97">
        <f t="shared" ca="1" si="9"/>
        <v>3348.6974142857152</v>
      </c>
      <c r="I25" s="97">
        <f t="shared" ca="1" si="10"/>
        <v>2857.1428571428573</v>
      </c>
      <c r="J25" s="97">
        <f t="shared" ca="1" si="2"/>
        <v>38.571428571428584</v>
      </c>
      <c r="K25" s="97">
        <f t="shared" ca="1" si="11"/>
        <v>687.63954371166415</v>
      </c>
      <c r="L25" s="97">
        <f t="shared" ca="1" si="3"/>
        <v>9448.9829722830946</v>
      </c>
      <c r="M25" s="99">
        <f t="shared" ca="1" si="4"/>
        <v>56730.930760183852</v>
      </c>
      <c r="O25" s="10"/>
      <c r="P25" s="13"/>
      <c r="Q25" s="15"/>
    </row>
    <row r="26" spans="1:36" x14ac:dyDescent="0.25">
      <c r="A26" s="94">
        <f t="shared" si="5"/>
        <v>10</v>
      </c>
      <c r="B26" s="95">
        <f t="shared" ca="1" si="6"/>
        <v>74285.714285714304</v>
      </c>
      <c r="C26" s="96">
        <v>4.4999999999999998E-2</v>
      </c>
      <c r="D26" s="97">
        <f t="shared" ca="1" si="7"/>
        <v>69437.714285714304</v>
      </c>
      <c r="E26" s="97">
        <f t="shared" si="0"/>
        <v>4500</v>
      </c>
      <c r="F26" s="100">
        <f t="shared" ca="1" si="1"/>
        <v>344.99999999999994</v>
      </c>
      <c r="G26" s="97">
        <f t="shared" ca="1" si="8"/>
        <v>2076.1876571428575</v>
      </c>
      <c r="H26" s="97">
        <f t="shared" ca="1" si="9"/>
        <v>3201.0786285714294</v>
      </c>
      <c r="I26" s="97">
        <f t="shared" ca="1" si="10"/>
        <v>2857.1428571428573</v>
      </c>
      <c r="J26" s="97">
        <f t="shared" ca="1" si="2"/>
        <v>37.142857142857153</v>
      </c>
      <c r="K26" s="97">
        <f t="shared" ca="1" si="11"/>
        <v>638.58704886005387</v>
      </c>
      <c r="L26" s="97">
        <f t="shared" ca="1" si="3"/>
        <v>9155.1390488600555</v>
      </c>
      <c r="M26" s="99">
        <f t="shared" ca="1" si="4"/>
        <v>54723.139705187081</v>
      </c>
      <c r="O26" s="10"/>
      <c r="P26" s="13"/>
      <c r="Q26" s="15"/>
      <c r="R26" s="25"/>
      <c r="S26" s="25"/>
      <c r="T26" s="25"/>
    </row>
    <row r="27" spans="1:36" x14ac:dyDescent="0.25">
      <c r="A27" s="94">
        <f t="shared" si="5"/>
        <v>11</v>
      </c>
      <c r="B27" s="95">
        <f t="shared" ca="1" si="6"/>
        <v>71428.571428571449</v>
      </c>
      <c r="C27" s="96">
        <v>4.4999999999999998E-2</v>
      </c>
      <c r="D27" s="97">
        <f t="shared" ca="1" si="7"/>
        <v>66235.571428571449</v>
      </c>
      <c r="E27" s="97">
        <f t="shared" si="0"/>
        <v>4500</v>
      </c>
      <c r="F27" s="100">
        <f t="shared" ca="1" si="1"/>
        <v>344.99999999999994</v>
      </c>
      <c r="G27" s="97">
        <f t="shared" ca="1" si="8"/>
        <v>1980.4435857142862</v>
      </c>
      <c r="H27" s="97">
        <f t="shared" ca="1" si="9"/>
        <v>3053.4598428571439</v>
      </c>
      <c r="I27" s="97">
        <f t="shared" ca="1" si="10"/>
        <v>2857.1428571428573</v>
      </c>
      <c r="J27" s="97">
        <f t="shared" ca="1" si="2"/>
        <v>35.714285714285722</v>
      </c>
      <c r="K27" s="97">
        <f t="shared" ca="1" si="11"/>
        <v>589.53455400844416</v>
      </c>
      <c r="L27" s="97">
        <f t="shared" ca="1" si="3"/>
        <v>8861.2951254370164</v>
      </c>
      <c r="M27" s="99">
        <f t="shared" ca="1" si="4"/>
        <v>52715.348650190303</v>
      </c>
      <c r="O27" s="10"/>
      <c r="P27" s="13"/>
      <c r="Q27" s="15"/>
    </row>
    <row r="28" spans="1:36" x14ac:dyDescent="0.25">
      <c r="A28" s="94">
        <f t="shared" si="5"/>
        <v>12</v>
      </c>
      <c r="B28" s="95">
        <f t="shared" ca="1" si="6"/>
        <v>68571.428571428594</v>
      </c>
      <c r="C28" s="96">
        <v>4.4999999999999998E-2</v>
      </c>
      <c r="D28" s="97">
        <f t="shared" ca="1" si="7"/>
        <v>63033.428571428594</v>
      </c>
      <c r="E28" s="97">
        <f t="shared" si="0"/>
        <v>4500</v>
      </c>
      <c r="F28" s="100">
        <f t="shared" ca="1" si="1"/>
        <v>344.99999999999994</v>
      </c>
      <c r="G28" s="97">
        <f t="shared" ca="1" si="8"/>
        <v>1884.6995142857149</v>
      </c>
      <c r="H28" s="97">
        <f t="shared" ca="1" si="9"/>
        <v>2905.8410571428585</v>
      </c>
      <c r="I28" s="97">
        <f t="shared" ca="1" si="10"/>
        <v>2857.1428571428573</v>
      </c>
      <c r="J28" s="97">
        <f t="shared" ca="1" si="2"/>
        <v>34.285714285714299</v>
      </c>
      <c r="K28" s="97">
        <f t="shared" ca="1" si="11"/>
        <v>540.48205915683434</v>
      </c>
      <c r="L28" s="97">
        <f t="shared" ca="1" si="3"/>
        <v>8567.4512020139791</v>
      </c>
      <c r="M28" s="99">
        <f t="shared" ca="1" si="4"/>
        <v>50774.848482589987</v>
      </c>
      <c r="O28" s="10"/>
      <c r="P28" s="13"/>
      <c r="Q28" s="15"/>
    </row>
    <row r="29" spans="1:36" x14ac:dyDescent="0.25">
      <c r="A29" s="94">
        <f t="shared" si="5"/>
        <v>13</v>
      </c>
      <c r="B29" s="95">
        <f t="shared" ca="1" si="6"/>
        <v>65714.285714285739</v>
      </c>
      <c r="C29" s="96">
        <v>4.4999999999999998E-2</v>
      </c>
      <c r="D29" s="97">
        <f t="shared" ca="1" si="7"/>
        <v>59831.285714285739</v>
      </c>
      <c r="E29" s="97">
        <f t="shared" si="0"/>
        <v>4500</v>
      </c>
      <c r="F29" s="100">
        <f t="shared" ca="1" si="1"/>
        <v>344.99999999999994</v>
      </c>
      <c r="G29" s="97">
        <f t="shared" ca="1" si="8"/>
        <v>1788.9554428571437</v>
      </c>
      <c r="H29" s="97">
        <f t="shared" ca="1" si="9"/>
        <v>2758.2222714285726</v>
      </c>
      <c r="I29" s="97">
        <f t="shared" ca="1" si="10"/>
        <v>2857.1428571428573</v>
      </c>
      <c r="J29" s="97">
        <f t="shared" ca="1" si="2"/>
        <v>32.857142857142868</v>
      </c>
      <c r="K29" s="97">
        <f t="shared" ca="1" si="11"/>
        <v>491.42956430522406</v>
      </c>
      <c r="L29" s="97">
        <f t="shared" ca="1" si="3"/>
        <v>8273.6072785909419</v>
      </c>
      <c r="M29" s="99">
        <f t="shared" ca="1" si="4"/>
        <v>48906.087653282979</v>
      </c>
      <c r="O29" s="10"/>
      <c r="P29" s="13"/>
      <c r="Q29" s="15"/>
    </row>
    <row r="30" spans="1:36" x14ac:dyDescent="0.25">
      <c r="A30" s="94">
        <f t="shared" si="5"/>
        <v>14</v>
      </c>
      <c r="B30" s="95">
        <f t="shared" ca="1" si="6"/>
        <v>62857.142857142884</v>
      </c>
      <c r="C30" s="96">
        <v>4.4999999999999998E-2</v>
      </c>
      <c r="D30" s="97">
        <f t="shared" ca="1" si="7"/>
        <v>56629.142857142884</v>
      </c>
      <c r="E30" s="97">
        <f t="shared" si="0"/>
        <v>4500</v>
      </c>
      <c r="F30" s="100">
        <f t="shared" ca="1" si="1"/>
        <v>344.99999999999994</v>
      </c>
      <c r="G30" s="97">
        <f t="shared" ca="1" si="8"/>
        <v>1693.2113714285722</v>
      </c>
      <c r="H30" s="97">
        <f t="shared" ca="1" si="9"/>
        <v>2610.6034857142872</v>
      </c>
      <c r="I30" s="97">
        <f t="shared" ca="1" si="10"/>
        <v>2857.1428571428573</v>
      </c>
      <c r="J30" s="97">
        <f t="shared" ca="1" si="2"/>
        <v>31.428571428571441</v>
      </c>
      <c r="K30" s="97">
        <f t="shared" ca="1" si="11"/>
        <v>442.3770694536143</v>
      </c>
      <c r="L30" s="97">
        <f t="shared" ca="1" si="3"/>
        <v>7979.7633551679019</v>
      </c>
      <c r="M30" s="99">
        <f t="shared" ca="1" si="4"/>
        <v>47089.309271656733</v>
      </c>
      <c r="O30" s="10"/>
      <c r="P30" s="13"/>
      <c r="Q30" s="15"/>
    </row>
    <row r="31" spans="1:36" x14ac:dyDescent="0.25">
      <c r="A31" s="94">
        <f t="shared" si="5"/>
        <v>15</v>
      </c>
      <c r="B31" s="95">
        <f t="shared" ca="1" si="6"/>
        <v>60000.000000000029</v>
      </c>
      <c r="C31" s="96">
        <v>4.4999999999999998E-2</v>
      </c>
      <c r="D31" s="97">
        <f t="shared" ca="1" si="7"/>
        <v>53427.000000000029</v>
      </c>
      <c r="E31" s="97">
        <f t="shared" si="0"/>
        <v>4500</v>
      </c>
      <c r="F31" s="100">
        <f t="shared" ca="1" si="1"/>
        <v>344.99999999999994</v>
      </c>
      <c r="G31" s="97">
        <f t="shared" ca="1" si="8"/>
        <v>1597.4673000000009</v>
      </c>
      <c r="H31" s="97">
        <f t="shared" ca="1" si="9"/>
        <v>2462.9847000000013</v>
      </c>
      <c r="I31" s="97">
        <f t="shared" ca="1" si="10"/>
        <v>2857.1428571428573</v>
      </c>
      <c r="J31" s="97">
        <f t="shared" ca="1" si="2"/>
        <v>30.000000000000014</v>
      </c>
      <c r="K31" s="97">
        <f t="shared" ca="1" si="11"/>
        <v>393.32457460200425</v>
      </c>
      <c r="L31" s="97">
        <f t="shared" ca="1" si="3"/>
        <v>7685.9194317448637</v>
      </c>
      <c r="M31" s="99">
        <f t="shared" ca="1" si="4"/>
        <v>45328.464003734989</v>
      </c>
      <c r="O31" s="10"/>
      <c r="P31" s="13"/>
      <c r="Q31" s="15"/>
    </row>
    <row r="32" spans="1:36" x14ac:dyDescent="0.25">
      <c r="A32" s="94">
        <f t="shared" si="5"/>
        <v>16</v>
      </c>
      <c r="B32" s="95">
        <f t="shared" ca="1" si="6"/>
        <v>57142.857142857174</v>
      </c>
      <c r="C32" s="96">
        <v>4.4999999999999998E-2</v>
      </c>
      <c r="D32" s="97">
        <f t="shared" ca="1" si="7"/>
        <v>50224.857142857174</v>
      </c>
      <c r="E32" s="97">
        <f t="shared" si="0"/>
        <v>4500</v>
      </c>
      <c r="F32" s="100">
        <f t="shared" ca="1" si="1"/>
        <v>344.99999999999994</v>
      </c>
      <c r="G32" s="97">
        <f t="shared" ca="1" si="8"/>
        <v>1501.7232285714294</v>
      </c>
      <c r="H32" s="97">
        <f t="shared" ca="1" si="9"/>
        <v>2315.3659142857159</v>
      </c>
      <c r="I32" s="97">
        <f t="shared" ca="1" si="10"/>
        <v>2857.1428571428573</v>
      </c>
      <c r="J32" s="97">
        <f t="shared" ca="1" si="2"/>
        <v>28.571428571428587</v>
      </c>
      <c r="K32" s="97">
        <f t="shared" ca="1" si="11"/>
        <v>344.27207975039425</v>
      </c>
      <c r="L32" s="97">
        <f t="shared" ca="1" si="3"/>
        <v>7392.0755083218246</v>
      </c>
      <c r="M32" s="99">
        <f t="shared" ca="1" si="4"/>
        <v>43627.802766159286</v>
      </c>
      <c r="O32" s="10"/>
      <c r="P32" s="13"/>
      <c r="Q32" s="15"/>
      <c r="AI32" s="26"/>
      <c r="AJ32" s="26"/>
    </row>
    <row r="33" spans="1:36" x14ac:dyDescent="0.25">
      <c r="A33" s="94">
        <f t="shared" si="5"/>
        <v>17</v>
      </c>
      <c r="B33" s="95">
        <f t="shared" ca="1" si="6"/>
        <v>54285.714285714319</v>
      </c>
      <c r="C33" s="96">
        <v>4.4999999999999998E-2</v>
      </c>
      <c r="D33" s="97">
        <f t="shared" ca="1" si="7"/>
        <v>47022.714285714319</v>
      </c>
      <c r="E33" s="97">
        <f t="shared" si="0"/>
        <v>4500</v>
      </c>
      <c r="F33" s="100">
        <f t="shared" ca="1" si="1"/>
        <v>344.99999999999994</v>
      </c>
      <c r="G33" s="97">
        <f t="shared" ca="1" si="8"/>
        <v>1405.9791571428582</v>
      </c>
      <c r="H33" s="97">
        <f t="shared" ca="1" si="9"/>
        <v>2167.74712857143</v>
      </c>
      <c r="I33" s="97">
        <f t="shared" ca="1" si="10"/>
        <v>2857.1428571428573</v>
      </c>
      <c r="J33" s="97">
        <f t="shared" ca="1" si="2"/>
        <v>27.14285714285716</v>
      </c>
      <c r="K33" s="97">
        <f t="shared" ca="1" si="11"/>
        <v>295.21958489878449</v>
      </c>
      <c r="L33" s="97">
        <f t="shared" ca="1" si="3"/>
        <v>7098.2315848987873</v>
      </c>
      <c r="M33" s="99">
        <f t="shared" ca="1" si="4"/>
        <v>41991.899545235909</v>
      </c>
      <c r="O33" s="10"/>
      <c r="P33" s="13"/>
      <c r="Q33" s="15"/>
      <c r="AI33" s="26"/>
      <c r="AJ33" s="26"/>
    </row>
    <row r="34" spans="1:36" x14ac:dyDescent="0.25">
      <c r="A34" s="94">
        <f t="shared" si="5"/>
        <v>18</v>
      </c>
      <c r="B34" s="95">
        <f t="shared" ca="1" si="6"/>
        <v>51428.571428571464</v>
      </c>
      <c r="C34" s="96">
        <v>4.4999999999999998E-2</v>
      </c>
      <c r="D34" s="97">
        <f t="shared" ca="1" si="7"/>
        <v>43820.571428571464</v>
      </c>
      <c r="E34" s="97">
        <f t="shared" si="0"/>
        <v>4500</v>
      </c>
      <c r="F34" s="100">
        <f t="shared" ca="1" si="1"/>
        <v>344.99999999999994</v>
      </c>
      <c r="G34" s="97">
        <f t="shared" ca="1" si="8"/>
        <v>1310.2350857142867</v>
      </c>
      <c r="H34" s="97">
        <f t="shared" ca="1" si="9"/>
        <v>2020.1283428571446</v>
      </c>
      <c r="I34" s="97">
        <f t="shared" ca="1" si="10"/>
        <v>2857.1428571428573</v>
      </c>
      <c r="J34" s="97">
        <f t="shared" ca="1" si="2"/>
        <v>25.714285714285733</v>
      </c>
      <c r="K34" s="97">
        <f t="shared" ca="1" si="11"/>
        <v>246.1670900471745</v>
      </c>
      <c r="L34" s="97">
        <f t="shared" ca="1" si="3"/>
        <v>6804.3876614757492</v>
      </c>
      <c r="M34" s="99">
        <f t="shared" ca="1" si="4"/>
        <v>40425.675950230463</v>
      </c>
      <c r="O34" s="10"/>
      <c r="P34" s="13"/>
      <c r="Q34" s="15"/>
      <c r="AI34" s="26"/>
      <c r="AJ34" s="26"/>
    </row>
    <row r="35" spans="1:36" x14ac:dyDescent="0.25">
      <c r="A35" s="94">
        <f t="shared" si="5"/>
        <v>19</v>
      </c>
      <c r="B35" s="95">
        <f t="shared" ca="1" si="6"/>
        <v>48571.428571428609</v>
      </c>
      <c r="C35" s="96">
        <v>4.4999999999999998E-2</v>
      </c>
      <c r="D35" s="97">
        <f t="shared" ca="1" si="7"/>
        <v>40618.428571428609</v>
      </c>
      <c r="E35" s="97">
        <f t="shared" si="0"/>
        <v>4500</v>
      </c>
      <c r="F35" s="100">
        <f t="shared" ca="1" si="1"/>
        <v>344.99999999999994</v>
      </c>
      <c r="G35" s="97">
        <f t="shared" ca="1" si="8"/>
        <v>1214.4910142857154</v>
      </c>
      <c r="H35" s="97">
        <f t="shared" ca="1" si="9"/>
        <v>1872.509557142859</v>
      </c>
      <c r="I35" s="97">
        <f t="shared" ca="1" si="10"/>
        <v>2857.1428571428573</v>
      </c>
      <c r="J35" s="97">
        <f t="shared" ca="1" si="2"/>
        <v>24.285714285714306</v>
      </c>
      <c r="K35" s="97">
        <f t="shared" ca="1" si="11"/>
        <v>197.11459519556445</v>
      </c>
      <c r="L35" s="97">
        <f t="shared" ca="1" si="3"/>
        <v>6510.5437380527101</v>
      </c>
      <c r="M35" s="99">
        <f t="shared" ca="1" si="4"/>
        <v>38934.427632712686</v>
      </c>
      <c r="O35" s="10"/>
      <c r="P35" s="13"/>
      <c r="Q35" s="15"/>
      <c r="AI35" s="26"/>
      <c r="AJ35" s="26"/>
    </row>
    <row r="36" spans="1:36" x14ac:dyDescent="0.25">
      <c r="A36" s="94">
        <f t="shared" si="5"/>
        <v>20</v>
      </c>
      <c r="B36" s="95">
        <f t="shared" ca="1" si="6"/>
        <v>45714.285714285754</v>
      </c>
      <c r="C36" s="96">
        <v>4.4999999999999998E-2</v>
      </c>
      <c r="D36" s="97">
        <f t="shared" ca="1" si="7"/>
        <v>37416.285714285754</v>
      </c>
      <c r="E36" s="97">
        <f t="shared" si="0"/>
        <v>4500</v>
      </c>
      <c r="F36" s="100">
        <f t="shared" ca="1" si="1"/>
        <v>344.99999999999994</v>
      </c>
      <c r="G36" s="97">
        <f t="shared" ca="1" si="8"/>
        <v>1118.7469428571439</v>
      </c>
      <c r="H36" s="97">
        <f t="shared" ca="1" si="9"/>
        <v>1724.8907714285733</v>
      </c>
      <c r="I36" s="97">
        <f t="shared" ca="1" si="10"/>
        <v>2857.1428571428573</v>
      </c>
      <c r="J36" s="97">
        <f t="shared" ca="1" si="2"/>
        <v>22.857142857142879</v>
      </c>
      <c r="K36" s="97">
        <f t="shared" ca="1" si="11"/>
        <v>148.06210034395468</v>
      </c>
      <c r="L36" s="97">
        <f t="shared" ca="1" si="3"/>
        <v>6216.6998146296728</v>
      </c>
      <c r="M36" s="99">
        <f t="shared" ca="1" si="4"/>
        <v>37523.852713771652</v>
      </c>
      <c r="O36" s="10"/>
      <c r="P36" s="13"/>
      <c r="Q36" s="15"/>
      <c r="R36" s="25"/>
      <c r="S36" s="25"/>
      <c r="T36" s="25"/>
      <c r="AI36" s="26"/>
      <c r="AJ36" s="26"/>
    </row>
    <row r="37" spans="1:36" x14ac:dyDescent="0.25">
      <c r="A37" s="94">
        <f t="shared" si="5"/>
        <v>21</v>
      </c>
      <c r="B37" s="95">
        <f t="shared" ca="1" si="6"/>
        <v>42857.142857142899</v>
      </c>
      <c r="C37" s="96">
        <v>1.7000000000000001E-2</v>
      </c>
      <c r="D37" s="97">
        <f t="shared" ca="1" si="7"/>
        <v>34214.142857142899</v>
      </c>
      <c r="E37" s="97">
        <f t="shared" si="0"/>
        <v>1700.0000000000002</v>
      </c>
      <c r="F37" s="100">
        <f t="shared" ca="1" si="1"/>
        <v>-242.99999999999997</v>
      </c>
      <c r="G37" s="97">
        <f t="shared" ca="1" si="8"/>
        <v>1023.0028714285727</v>
      </c>
      <c r="H37" s="97">
        <f t="shared" ca="1" si="9"/>
        <v>1577.2719857142877</v>
      </c>
      <c r="I37" s="97">
        <f t="shared" ca="1" si="10"/>
        <v>2857.1428571428573</v>
      </c>
      <c r="J37" s="97">
        <f t="shared" ca="1" si="2"/>
        <v>21.428571428571448</v>
      </c>
      <c r="K37" s="97">
        <f t="shared" ca="1" si="11"/>
        <v>826.99378912173665</v>
      </c>
      <c r="L37" s="97">
        <f t="shared" ca="1" si="3"/>
        <v>6062.8400748360255</v>
      </c>
      <c r="M37" s="99">
        <f t="shared" ca="1" si="4"/>
        <v>36200.082371699187</v>
      </c>
      <c r="O37" s="10"/>
      <c r="P37" s="13"/>
      <c r="Q37" s="15"/>
    </row>
    <row r="38" spans="1:36" x14ac:dyDescent="0.25">
      <c r="A38" s="94">
        <f t="shared" si="5"/>
        <v>22</v>
      </c>
      <c r="B38" s="95">
        <f t="shared" ca="1" si="6"/>
        <v>40000.000000000044</v>
      </c>
      <c r="C38" s="96">
        <v>0</v>
      </c>
      <c r="D38" s="97">
        <f t="shared" ca="1" si="7"/>
        <v>31600.00000000004</v>
      </c>
      <c r="E38" s="97">
        <f t="shared" si="0"/>
        <v>0</v>
      </c>
      <c r="F38" s="100">
        <f t="shared" ca="1" si="1"/>
        <v>-600</v>
      </c>
      <c r="G38" s="97">
        <f t="shared" ca="1" si="8"/>
        <v>944.84000000000117</v>
      </c>
      <c r="H38" s="97">
        <f t="shared" ca="1" si="9"/>
        <v>1456.7600000000018</v>
      </c>
      <c r="I38" s="97">
        <f t="shared" ca="1" si="10"/>
        <v>2857.1428571428573</v>
      </c>
      <c r="J38" s="97">
        <f t="shared" ca="1" si="2"/>
        <v>20.000000000000021</v>
      </c>
      <c r="K38" s="97">
        <f t="shared" ca="1" si="11"/>
        <v>1228.8527229695289</v>
      </c>
      <c r="L38" s="97">
        <f t="shared" ca="1" si="3"/>
        <v>5907.5955801123901</v>
      </c>
      <c r="M38" s="99">
        <f t="shared" ca="1" si="4"/>
        <v>34829.729570707917</v>
      </c>
      <c r="O38" s="10"/>
      <c r="P38" s="13"/>
      <c r="Q38" s="15"/>
    </row>
    <row r="39" spans="1:36" x14ac:dyDescent="0.25">
      <c r="A39" s="94">
        <f t="shared" si="5"/>
        <v>23</v>
      </c>
      <c r="B39" s="95">
        <f t="shared" ca="1" si="6"/>
        <v>37142.857142857189</v>
      </c>
      <c r="C39" s="96">
        <v>0</v>
      </c>
      <c r="D39" s="97">
        <f t="shared" ca="1" si="7"/>
        <v>29342.857142857181</v>
      </c>
      <c r="E39" s="97">
        <f t="shared" si="0"/>
        <v>0</v>
      </c>
      <c r="F39" s="100">
        <f t="shared" ca="1" si="1"/>
        <v>-600</v>
      </c>
      <c r="G39" s="97">
        <f t="shared" ca="1" si="8"/>
        <v>877.35142857142966</v>
      </c>
      <c r="H39" s="97">
        <f t="shared" ca="1" si="9"/>
        <v>1352.7057142857161</v>
      </c>
      <c r="I39" s="97">
        <f t="shared" ca="1" si="10"/>
        <v>2857.1428571428573</v>
      </c>
      <c r="J39" s="97">
        <f t="shared" ca="1" si="2"/>
        <v>18.571428571428594</v>
      </c>
      <c r="K39" s="97">
        <f t="shared" ca="1" si="11"/>
        <v>1194.13760016481</v>
      </c>
      <c r="L39" s="97">
        <f t="shared" ca="1" si="3"/>
        <v>5699.9090287362415</v>
      </c>
      <c r="M39" s="99">
        <f t="shared" ca="1" si="4"/>
        <v>33410.638798850006</v>
      </c>
      <c r="O39" s="10"/>
      <c r="P39" s="13"/>
      <c r="Q39" s="15"/>
    </row>
    <row r="40" spans="1:36" x14ac:dyDescent="0.25">
      <c r="A40" s="94">
        <f t="shared" si="5"/>
        <v>24</v>
      </c>
      <c r="B40" s="95">
        <f t="shared" ca="1" si="6"/>
        <v>34285.714285714334</v>
      </c>
      <c r="C40" s="96">
        <v>0</v>
      </c>
      <c r="D40" s="97">
        <f t="shared" ca="1" si="7"/>
        <v>27085.714285714323</v>
      </c>
      <c r="E40" s="97">
        <f t="shared" si="0"/>
        <v>0</v>
      </c>
      <c r="F40" s="100">
        <f t="shared" ca="1" si="1"/>
        <v>-600</v>
      </c>
      <c r="G40" s="97">
        <f t="shared" ca="1" si="8"/>
        <v>809.86285714285827</v>
      </c>
      <c r="H40" s="97">
        <f t="shared" ca="1" si="9"/>
        <v>1248.6514285714304</v>
      </c>
      <c r="I40" s="97">
        <f t="shared" ca="1" si="10"/>
        <v>2857.1428571428573</v>
      </c>
      <c r="J40" s="97">
        <f t="shared" ca="1" si="2"/>
        <v>17.142857142857167</v>
      </c>
      <c r="K40" s="97">
        <f t="shared" ca="1" si="11"/>
        <v>1159.4224773600911</v>
      </c>
      <c r="L40" s="97">
        <f t="shared" ca="1" si="3"/>
        <v>5492.2224773600938</v>
      </c>
      <c r="M40" s="99">
        <f t="shared" ca="1" si="4"/>
        <v>31991.548026992088</v>
      </c>
      <c r="O40" s="10"/>
      <c r="P40" s="13"/>
      <c r="Q40" s="15"/>
    </row>
    <row r="41" spans="1:36" x14ac:dyDescent="0.25">
      <c r="A41" s="94">
        <f t="shared" si="5"/>
        <v>25</v>
      </c>
      <c r="B41" s="95">
        <f t="shared" ca="1" si="6"/>
        <v>31428.571428571475</v>
      </c>
      <c r="C41" s="96">
        <v>0</v>
      </c>
      <c r="D41" s="97">
        <f t="shared" ca="1" si="7"/>
        <v>24828.571428571464</v>
      </c>
      <c r="E41" s="97">
        <f t="shared" si="0"/>
        <v>0</v>
      </c>
      <c r="F41" s="100">
        <f t="shared" ca="1" si="1"/>
        <v>-600</v>
      </c>
      <c r="G41" s="97">
        <f t="shared" ca="1" si="8"/>
        <v>742.37428571428677</v>
      </c>
      <c r="H41" s="97">
        <f t="shared" ca="1" si="9"/>
        <v>1144.5971428571445</v>
      </c>
      <c r="I41" s="97">
        <f t="shared" ca="1" si="10"/>
        <v>2857.1428571428573</v>
      </c>
      <c r="J41" s="97">
        <f t="shared" ca="1" si="2"/>
        <v>15.714285714285738</v>
      </c>
      <c r="K41" s="97">
        <f t="shared" ca="1" si="11"/>
        <v>1124.7073545553717</v>
      </c>
      <c r="L41" s="97">
        <f t="shared" ca="1" si="3"/>
        <v>5284.5359259839461</v>
      </c>
      <c r="M41" s="99">
        <f t="shared" ca="1" si="4"/>
        <v>30572.457255134181</v>
      </c>
      <c r="O41" s="10"/>
      <c r="P41" s="13"/>
      <c r="Q41" s="15"/>
    </row>
    <row r="42" spans="1:36" x14ac:dyDescent="0.25">
      <c r="A42" s="94">
        <f t="shared" si="5"/>
        <v>26</v>
      </c>
      <c r="B42" s="95">
        <f t="shared" ca="1" si="6"/>
        <v>28571.428571428616</v>
      </c>
      <c r="C42" s="96">
        <v>0</v>
      </c>
      <c r="D42" s="97">
        <f t="shared" ca="1" si="7"/>
        <v>22571.428571428605</v>
      </c>
      <c r="E42" s="97">
        <f t="shared" si="0"/>
        <v>0</v>
      </c>
      <c r="F42" s="100">
        <f t="shared" ca="1" si="1"/>
        <v>-600</v>
      </c>
      <c r="G42" s="97">
        <f t="shared" ca="1" si="8"/>
        <v>674.88571428571527</v>
      </c>
      <c r="H42" s="97">
        <f t="shared" ca="1" si="9"/>
        <v>1040.5428571428588</v>
      </c>
      <c r="I42" s="97">
        <f t="shared" ca="1" si="10"/>
        <v>2857.1428571428573</v>
      </c>
      <c r="J42" s="97">
        <f t="shared" ca="1" si="2"/>
        <v>14.285714285714308</v>
      </c>
      <c r="K42" s="97">
        <f t="shared" ca="1" si="11"/>
        <v>1089.9922317506528</v>
      </c>
      <c r="L42" s="97">
        <f t="shared" ca="1" si="3"/>
        <v>5076.8493746077984</v>
      </c>
      <c r="M42" s="99">
        <f ca="1">NPV($L$9,L42:L51)</f>
        <v>29153.366483276266</v>
      </c>
      <c r="O42" s="10"/>
      <c r="P42" s="13"/>
      <c r="Q42" s="15"/>
    </row>
    <row r="43" spans="1:36" x14ac:dyDescent="0.25">
      <c r="A43" s="94">
        <f t="shared" si="5"/>
        <v>27</v>
      </c>
      <c r="B43" s="95">
        <f t="shared" ca="1" si="6"/>
        <v>25714.285714285757</v>
      </c>
      <c r="C43" s="96">
        <v>0</v>
      </c>
      <c r="D43" s="97">
        <f t="shared" ca="1" si="7"/>
        <v>20314.285714285747</v>
      </c>
      <c r="E43" s="97">
        <f t="shared" si="0"/>
        <v>0</v>
      </c>
      <c r="F43" s="100">
        <f t="shared" ca="1" si="1"/>
        <v>-600</v>
      </c>
      <c r="G43" s="97">
        <f t="shared" ca="1" si="8"/>
        <v>607.39714285714376</v>
      </c>
      <c r="H43" s="97">
        <f t="shared" ca="1" si="9"/>
        <v>936.48857142857298</v>
      </c>
      <c r="I43" s="97">
        <f t="shared" ca="1" si="10"/>
        <v>2857.1428571428573</v>
      </c>
      <c r="J43" s="97">
        <f t="shared" ca="1" si="2"/>
        <v>12.857142857142879</v>
      </c>
      <c r="K43" s="97">
        <f t="shared" ca="1" si="11"/>
        <v>1055.2771089459334</v>
      </c>
      <c r="L43" s="97">
        <f t="shared" ca="1" si="3"/>
        <v>4869.1628232316507</v>
      </c>
      <c r="M43" s="99">
        <f ca="1">NPV($L$9,L43:L51)</f>
        <v>26292.172961397468</v>
      </c>
      <c r="O43" s="10"/>
      <c r="P43" s="13"/>
      <c r="Q43" s="15"/>
    </row>
    <row r="44" spans="1:36" x14ac:dyDescent="0.25">
      <c r="A44" s="94">
        <f t="shared" si="5"/>
        <v>28</v>
      </c>
      <c r="B44" s="95">
        <f t="shared" ca="1" si="6"/>
        <v>22857.142857142899</v>
      </c>
      <c r="C44" s="96">
        <v>0</v>
      </c>
      <c r="D44" s="97">
        <f t="shared" ca="1" si="7"/>
        <v>18057.142857142888</v>
      </c>
      <c r="E44" s="97">
        <f t="shared" si="0"/>
        <v>0</v>
      </c>
      <c r="F44" s="100">
        <f t="shared" ca="1" si="1"/>
        <v>-600</v>
      </c>
      <c r="G44" s="97">
        <f t="shared" ca="1" si="8"/>
        <v>539.90857142857237</v>
      </c>
      <c r="H44" s="97">
        <f t="shared" ca="1" si="9"/>
        <v>832.43428571428717</v>
      </c>
      <c r="I44" s="97">
        <f t="shared" ca="1" si="10"/>
        <v>2857.1428571428573</v>
      </c>
      <c r="J44" s="97">
        <f t="shared" ca="1" si="2"/>
        <v>11.42857142857145</v>
      </c>
      <c r="K44" s="97">
        <f t="shared" ca="1" si="11"/>
        <v>1020.5619861412144</v>
      </c>
      <c r="L44" s="97">
        <f t="shared" ca="1" si="3"/>
        <v>4661.476271855503</v>
      </c>
      <c r="M44" s="99">
        <f ca="1">NPV($L$9,L44:L51)</f>
        <v>23421.215283232024</v>
      </c>
      <c r="O44" s="10"/>
      <c r="P44" s="13"/>
      <c r="Q44" s="15"/>
    </row>
    <row r="45" spans="1:36" x14ac:dyDescent="0.25">
      <c r="A45" s="94">
        <f t="shared" si="5"/>
        <v>29</v>
      </c>
      <c r="B45" s="95">
        <f t="shared" ca="1" si="6"/>
        <v>20000.00000000004</v>
      </c>
      <c r="C45" s="96">
        <v>0</v>
      </c>
      <c r="D45" s="97">
        <f t="shared" ca="1" si="7"/>
        <v>15800.000000000031</v>
      </c>
      <c r="E45" s="97">
        <f t="shared" si="0"/>
        <v>0</v>
      </c>
      <c r="F45" s="100">
        <f t="shared" ca="1" si="1"/>
        <v>-600</v>
      </c>
      <c r="G45" s="97">
        <f t="shared" ca="1" si="8"/>
        <v>472.42000000000093</v>
      </c>
      <c r="H45" s="97">
        <f t="shared" ca="1" si="9"/>
        <v>728.38000000000147</v>
      </c>
      <c r="I45" s="97">
        <f t="shared" ca="1" si="10"/>
        <v>2857.1428571428573</v>
      </c>
      <c r="J45" s="97">
        <f t="shared" ca="1" si="2"/>
        <v>10.00000000000002</v>
      </c>
      <c r="K45" s="97">
        <f t="shared" ca="1" si="11"/>
        <v>985.8468633364954</v>
      </c>
      <c r="L45" s="97">
        <f t="shared" ca="1" si="3"/>
        <v>4453.7897204793553</v>
      </c>
      <c r="M45" s="99">
        <f ca="1">NPV($L$9,L45:L51)</f>
        <v>20539.751372902156</v>
      </c>
      <c r="O45" s="10"/>
      <c r="P45" s="13"/>
      <c r="Q45" s="15"/>
      <c r="R45" s="25"/>
      <c r="S45" s="25"/>
      <c r="T45" s="25"/>
    </row>
    <row r="46" spans="1:36" x14ac:dyDescent="0.25">
      <c r="A46" s="94">
        <f t="shared" si="5"/>
        <v>30</v>
      </c>
      <c r="B46" s="95">
        <f t="shared" ca="1" si="6"/>
        <v>17142.857142857181</v>
      </c>
      <c r="C46" s="96">
        <v>0</v>
      </c>
      <c r="D46" s="97">
        <f t="shared" ca="1" si="7"/>
        <v>13542.857142857172</v>
      </c>
      <c r="E46" s="97">
        <f t="shared" si="0"/>
        <v>0</v>
      </c>
      <c r="F46" s="100">
        <f t="shared" ca="1" si="1"/>
        <v>-600</v>
      </c>
      <c r="G46" s="97">
        <f t="shared" ca="1" si="8"/>
        <v>404.93142857142942</v>
      </c>
      <c r="H46" s="97">
        <f t="shared" ca="1" si="9"/>
        <v>624.32571428571566</v>
      </c>
      <c r="I46" s="97">
        <f t="shared" ca="1" si="10"/>
        <v>2857.1428571428573</v>
      </c>
      <c r="J46" s="97">
        <f t="shared" ca="1" si="2"/>
        <v>8.5714285714285907</v>
      </c>
      <c r="K46" s="97">
        <f t="shared" ca="1" si="11"/>
        <v>951.13174053177613</v>
      </c>
      <c r="L46" s="97">
        <f t="shared" ca="1" si="3"/>
        <v>4246.1031691032067</v>
      </c>
      <c r="M46" s="99">
        <f ca="1">NPV($L$9,L46:L51)</f>
        <v>17646.982756763369</v>
      </c>
      <c r="O46" s="10"/>
      <c r="P46" s="13"/>
      <c r="Q46" s="15"/>
    </row>
    <row r="47" spans="1:36" x14ac:dyDescent="0.25">
      <c r="A47" s="94">
        <f t="shared" si="5"/>
        <v>31</v>
      </c>
      <c r="B47" s="95">
        <f t="shared" ca="1" si="6"/>
        <v>14285.714285714324</v>
      </c>
      <c r="C47" s="96">
        <v>0</v>
      </c>
      <c r="D47" s="97">
        <f t="shared" ca="1" si="7"/>
        <v>11285.714285714315</v>
      </c>
      <c r="E47" s="97">
        <f t="shared" si="0"/>
        <v>0</v>
      </c>
      <c r="F47" s="100">
        <f t="shared" ca="1" si="1"/>
        <v>-600</v>
      </c>
      <c r="G47" s="97">
        <f t="shared" ca="1" si="8"/>
        <v>337.44285714285803</v>
      </c>
      <c r="H47" s="97">
        <f t="shared" ca="1" si="9"/>
        <v>520.27142857142996</v>
      </c>
      <c r="I47" s="97">
        <f t="shared" ca="1" si="10"/>
        <v>2857.1428571428573</v>
      </c>
      <c r="J47" s="97">
        <f t="shared" ca="1" si="2"/>
        <v>7.1428571428571628</v>
      </c>
      <c r="K47" s="97">
        <f t="shared" ca="1" si="11"/>
        <v>916.4166177270572</v>
      </c>
      <c r="L47" s="97">
        <f t="shared" ca="1" si="3"/>
        <v>4038.4166177270599</v>
      </c>
      <c r="M47" s="99">
        <f ca="1">NPV($L$9,L47:L51)</f>
        <v>14742.050277174178</v>
      </c>
      <c r="O47" s="10"/>
      <c r="P47" s="13"/>
      <c r="Q47" s="15"/>
    </row>
    <row r="48" spans="1:36" x14ac:dyDescent="0.25">
      <c r="A48" s="94">
        <f t="shared" si="5"/>
        <v>32</v>
      </c>
      <c r="B48" s="95">
        <f t="shared" ca="1" si="6"/>
        <v>11428.571428571468</v>
      </c>
      <c r="C48" s="96">
        <v>0</v>
      </c>
      <c r="D48" s="97">
        <f t="shared" ca="1" si="7"/>
        <v>9028.5714285714585</v>
      </c>
      <c r="E48" s="97">
        <f t="shared" si="0"/>
        <v>0</v>
      </c>
      <c r="F48" s="100">
        <f t="shared" ca="1" si="1"/>
        <v>-600</v>
      </c>
      <c r="G48" s="97">
        <f t="shared" ca="1" si="8"/>
        <v>269.95428571428658</v>
      </c>
      <c r="H48" s="97">
        <f t="shared" ca="1" si="9"/>
        <v>416.21714285714427</v>
      </c>
      <c r="I48" s="97">
        <f t="shared" ca="1" si="10"/>
        <v>2857.1428571428573</v>
      </c>
      <c r="J48" s="97">
        <f t="shared" ca="1" si="2"/>
        <v>5.714285714285734</v>
      </c>
      <c r="K48" s="97">
        <f t="shared" ca="1" si="11"/>
        <v>881.70149492233804</v>
      </c>
      <c r="L48" s="97">
        <f t="shared" ca="1" si="3"/>
        <v>3830.7300663509122</v>
      </c>
      <c r="M48" s="99">
        <f ca="1">NPV($L$9,L48:L51)</f>
        <v>11824.029480512356</v>
      </c>
      <c r="O48" s="10"/>
      <c r="P48" s="13"/>
      <c r="Q48" s="15"/>
    </row>
    <row r="49" spans="1:17" x14ac:dyDescent="0.25">
      <c r="A49" s="94">
        <f t="shared" si="5"/>
        <v>33</v>
      </c>
      <c r="B49" s="95">
        <f t="shared" ca="1" si="6"/>
        <v>8571.4285714286107</v>
      </c>
      <c r="C49" s="96">
        <v>0</v>
      </c>
      <c r="D49" s="97">
        <f t="shared" ca="1" si="7"/>
        <v>6771.4285714286016</v>
      </c>
      <c r="E49" s="97">
        <f t="shared" si="0"/>
        <v>0</v>
      </c>
      <c r="F49" s="100">
        <f t="shared" ca="1" si="1"/>
        <v>-600</v>
      </c>
      <c r="G49" s="97">
        <f t="shared" ca="1" si="8"/>
        <v>202.46571428571519</v>
      </c>
      <c r="H49" s="97">
        <f t="shared" ca="1" si="9"/>
        <v>312.16285714285857</v>
      </c>
      <c r="I49" s="97">
        <f t="shared" ca="1" si="10"/>
        <v>2857.1428571428573</v>
      </c>
      <c r="J49" s="97">
        <f t="shared" ca="1" si="2"/>
        <v>4.2857142857143051</v>
      </c>
      <c r="K49" s="97">
        <f t="shared" ca="1" si="11"/>
        <v>846.986372117619</v>
      </c>
      <c r="L49" s="97">
        <f t="shared" ca="1" si="3"/>
        <v>3623.0435149747641</v>
      </c>
      <c r="M49" s="99">
        <f ca="1">NPV($L$9,L49:L51)</f>
        <v>8891.9256546803826</v>
      </c>
      <c r="O49" s="10"/>
      <c r="P49" s="13"/>
      <c r="Q49" s="15"/>
    </row>
    <row r="50" spans="1:17" x14ac:dyDescent="0.25">
      <c r="A50" s="94">
        <f t="shared" si="5"/>
        <v>34</v>
      </c>
      <c r="B50" s="95">
        <f t="shared" ca="1" si="6"/>
        <v>5714.2857142857538</v>
      </c>
      <c r="C50" s="96">
        <v>0</v>
      </c>
      <c r="D50" s="97">
        <f t="shared" ca="1" si="7"/>
        <v>4514.2857142857447</v>
      </c>
      <c r="E50" s="97">
        <f t="shared" si="0"/>
        <v>0</v>
      </c>
      <c r="F50" s="100">
        <f t="shared" ca="1" si="1"/>
        <v>-600</v>
      </c>
      <c r="G50" s="97">
        <f t="shared" ca="1" si="8"/>
        <v>134.97714285714378</v>
      </c>
      <c r="H50" s="97">
        <f t="shared" ca="1" si="9"/>
        <v>208.10857142857284</v>
      </c>
      <c r="I50" s="97">
        <f t="shared" ca="1" si="10"/>
        <v>2857.1428571428573</v>
      </c>
      <c r="J50" s="97">
        <f t="shared" ca="1" si="2"/>
        <v>2.8571428571428767</v>
      </c>
      <c r="K50" s="97">
        <f t="shared" ca="1" si="11"/>
        <v>812.27124931289984</v>
      </c>
      <c r="L50" s="97">
        <f t="shared" ca="1" si="3"/>
        <v>3415.3569635986164</v>
      </c>
      <c r="M50" s="99">
        <f ca="1">NPV($L$9,L50:L51)</f>
        <v>5944.668489461329</v>
      </c>
      <c r="O50" s="10"/>
      <c r="P50" s="13"/>
      <c r="Q50" s="15"/>
    </row>
    <row r="51" spans="1:17" x14ac:dyDescent="0.25">
      <c r="A51" s="94">
        <f t="shared" si="5"/>
        <v>35</v>
      </c>
      <c r="B51" s="95">
        <f t="shared" ref="B51" ca="1" si="12">B50-I50</f>
        <v>2857.1428571428964</v>
      </c>
      <c r="C51" s="96">
        <v>0</v>
      </c>
      <c r="D51" s="97">
        <f t="shared" ref="D51" ca="1" si="13">D50-F50-I50</f>
        <v>2257.1428571428874</v>
      </c>
      <c r="E51" s="97">
        <f t="shared" ref="E51" si="14">D$13*C51</f>
        <v>0</v>
      </c>
      <c r="F51" s="100">
        <f t="shared" ref="F51" ca="1" si="15">H$14*(E51-I51*D$13/D$12)</f>
        <v>-600</v>
      </c>
      <c r="G51" s="97">
        <f t="shared" ca="1" si="8"/>
        <v>67.488571428572328</v>
      </c>
      <c r="H51" s="97">
        <f t="shared" ca="1" si="9"/>
        <v>104.05428571428712</v>
      </c>
      <c r="I51" s="97">
        <f t="shared" ref="I51" ca="1" si="16">D$12/H$12</f>
        <v>2857.1428571428573</v>
      </c>
      <c r="J51" s="97">
        <f t="shared" ref="J51" ca="1" si="17">+B51*$H$11</f>
        <v>1.4285714285714481</v>
      </c>
      <c r="K51" s="97">
        <f t="shared" ref="K51" ca="1" si="18">(H$13/(1-H$13))*(H51+I51-E51+F51+J51)</f>
        <v>777.55612650818091</v>
      </c>
      <c r="L51" s="97">
        <f t="shared" ref="L51" ca="1" si="19">SUM(F51:K51)</f>
        <v>3207.6704122224692</v>
      </c>
      <c r="M51" s="99">
        <f ca="1">NPV($L$9,L51:L53)</f>
        <v>5572.2671953795016</v>
      </c>
      <c r="O51" s="10"/>
      <c r="P51" s="13"/>
      <c r="Q51" s="15"/>
    </row>
    <row r="52" spans="1:17" x14ac:dyDescent="0.25">
      <c r="A52" s="116">
        <f t="shared" si="5"/>
        <v>36</v>
      </c>
      <c r="B52" s="95">
        <f t="shared" ref="B52" ca="1" si="20">B51-I51</f>
        <v>3.9108272176235914E-11</v>
      </c>
      <c r="C52" s="96">
        <v>0</v>
      </c>
      <c r="D52" s="97">
        <f t="shared" ref="D52" ca="1" si="21">D51-F51-I51</f>
        <v>3.0013325158506632E-11</v>
      </c>
      <c r="E52" s="97">
        <f t="shared" ref="E52" si="22">D$13*C52</f>
        <v>0</v>
      </c>
      <c r="F52" s="100">
        <f t="shared" ref="F52" ca="1" si="23">H$14*(E52-I52*D$13/D$12)</f>
        <v>-600</v>
      </c>
      <c r="G52" s="97">
        <f t="shared" ref="G52" ca="1" si="24">L$5*D52</f>
        <v>8.9739842223934831E-13</v>
      </c>
      <c r="H52" s="97">
        <f t="shared" ref="H52" ca="1" si="25">D52*(L$6+L$7)</f>
        <v>1.3836142898071558E-12</v>
      </c>
      <c r="I52" s="97">
        <f t="shared" ref="I52" ca="1" si="26">D$12/H$12</f>
        <v>2857.1428571428573</v>
      </c>
      <c r="J52" s="97">
        <f t="shared" ref="J52" ca="1" si="27">+B52*$H$11</f>
        <v>1.9554136088117959E-14</v>
      </c>
      <c r="K52" s="97">
        <f t="shared" ref="K52" ca="1" si="28">(H$13/(1-H$13))*(H52+I52-E52+F52+J52)</f>
        <v>742.84100370346164</v>
      </c>
      <c r="L52" s="97">
        <f t="shared" ref="L52" ca="1" si="29">SUM(F52:K52)</f>
        <v>2999.9838608463215</v>
      </c>
      <c r="M52" s="99">
        <f ca="1">NPV($L$9,L52:L54)</f>
        <v>203649.10586916297</v>
      </c>
      <c r="O52" s="10"/>
      <c r="P52" s="13"/>
      <c r="Q52" s="15"/>
    </row>
    <row r="53" spans="1:17" x14ac:dyDescent="0.25">
      <c r="A53" s="94" t="s">
        <v>14</v>
      </c>
      <c r="B53" s="95"/>
      <c r="C53" s="96" t="s">
        <v>14</v>
      </c>
      <c r="D53" s="97" t="s">
        <v>14</v>
      </c>
      <c r="E53" s="97" t="s">
        <v>14</v>
      </c>
      <c r="F53" s="97" t="s">
        <v>14</v>
      </c>
      <c r="G53" s="97" t="s">
        <v>14</v>
      </c>
      <c r="H53" s="97" t="s">
        <v>14</v>
      </c>
      <c r="I53" s="97" t="s">
        <v>14</v>
      </c>
      <c r="J53" s="97" t="s">
        <v>14</v>
      </c>
      <c r="K53" s="97" t="s">
        <v>14</v>
      </c>
      <c r="L53" s="97" t="s">
        <v>14</v>
      </c>
      <c r="M53" s="99"/>
      <c r="O53" s="24"/>
      <c r="P53" s="24"/>
      <c r="Q53" s="24"/>
    </row>
    <row r="54" spans="1:17" x14ac:dyDescent="0.25">
      <c r="A54" s="94" t="s">
        <v>13</v>
      </c>
      <c r="B54" s="95"/>
      <c r="C54" s="96">
        <f>SUM(C17:C51)</f>
        <v>1.0000000000000002</v>
      </c>
      <c r="D54" s="97" t="s">
        <v>12</v>
      </c>
      <c r="E54" s="97">
        <f t="shared" ref="E54:L54" si="30">SUM(E17:E51)</f>
        <v>100000</v>
      </c>
      <c r="F54" s="97">
        <f t="shared" ca="1" si="30"/>
        <v>-1.8189894035458565E-12</v>
      </c>
      <c r="G54" s="97">
        <f t="shared" ca="1" si="30"/>
        <v>48874.659600000028</v>
      </c>
      <c r="H54" s="97">
        <f t="shared" ca="1" si="30"/>
        <v>75355.244400000083</v>
      </c>
      <c r="I54" s="97">
        <f t="shared" ca="1" si="30"/>
        <v>99999.999999999971</v>
      </c>
      <c r="J54" s="97">
        <f t="shared" ca="1" si="30"/>
        <v>900.00000000000034</v>
      </c>
      <c r="K54" s="97">
        <f t="shared" ca="1" si="30"/>
        <v>25096.117469255783</v>
      </c>
      <c r="L54" s="97">
        <f t="shared" ca="1" si="30"/>
        <v>250226.02146925585</v>
      </c>
      <c r="M54" s="101"/>
      <c r="O54" s="10"/>
      <c r="P54" s="10"/>
      <c r="Q54" s="10"/>
    </row>
    <row r="55" spans="1:17" x14ac:dyDescent="0.25">
      <c r="A55" s="65"/>
      <c r="B55" s="95"/>
      <c r="C55" s="102"/>
      <c r="D55" s="103"/>
      <c r="E55" s="103"/>
      <c r="F55" s="97"/>
      <c r="G55" s="97"/>
      <c r="H55" s="97"/>
      <c r="I55" s="97"/>
      <c r="J55" s="97"/>
      <c r="K55" s="97"/>
      <c r="L55" s="97"/>
      <c r="M55" s="101"/>
    </row>
    <row r="56" spans="1:17" x14ac:dyDescent="0.25">
      <c r="A56" s="65"/>
      <c r="B56" s="95"/>
      <c r="C56" s="240" t="s">
        <v>11</v>
      </c>
      <c r="D56" s="240"/>
      <c r="E56" s="97">
        <f t="shared" ref="E56:L56" ca="1" si="31">NPV($L9,E17:E51)</f>
        <v>52196.217819642414</v>
      </c>
      <c r="F56" s="97">
        <f t="shared" ca="1" si="31"/>
        <v>3674.4753150979946</v>
      </c>
      <c r="G56" s="97">
        <f t="shared" ca="1" si="31"/>
        <v>24245.283817568597</v>
      </c>
      <c r="H56" s="97">
        <f t="shared" ca="1" si="31"/>
        <v>37381.524548157598</v>
      </c>
      <c r="I56" s="97">
        <f t="shared" ca="1" si="31"/>
        <v>34698.71631917575</v>
      </c>
      <c r="J56" s="97">
        <f t="shared" ca="1" si="31"/>
        <v>429.61370842647506</v>
      </c>
      <c r="K56" s="97">
        <f t="shared" ca="1" si="31"/>
        <v>7894.6501731347771</v>
      </c>
      <c r="L56" s="97">
        <f t="shared" ca="1" si="31"/>
        <v>108324.2638815612</v>
      </c>
      <c r="M56" s="101"/>
      <c r="O56" s="24"/>
      <c r="P56" s="24"/>
      <c r="Q56" s="24"/>
    </row>
    <row r="57" spans="1:17" x14ac:dyDescent="0.25">
      <c r="B57" s="22"/>
      <c r="C57" s="22"/>
      <c r="D57" s="22"/>
      <c r="E57" s="22"/>
      <c r="F57" s="22"/>
      <c r="G57" s="22"/>
      <c r="H57" s="22"/>
      <c r="I57" s="22"/>
      <c r="J57" s="22"/>
      <c r="K57" s="22"/>
      <c r="L57" s="22"/>
      <c r="M57" s="22"/>
      <c r="O57" s="22"/>
    </row>
    <row r="58" spans="1:17" x14ac:dyDescent="0.25">
      <c r="B58" s="21"/>
      <c r="C58" s="23"/>
      <c r="D58" s="21"/>
      <c r="E58" s="21"/>
      <c r="F58" s="21"/>
      <c r="G58" s="21"/>
      <c r="H58" s="21"/>
      <c r="I58" s="21"/>
      <c r="J58" s="21"/>
      <c r="K58" s="21"/>
      <c r="L58" s="21"/>
      <c r="M58" s="21"/>
      <c r="O58" s="21"/>
    </row>
    <row r="59" spans="1:17" x14ac:dyDescent="0.25">
      <c r="B59" s="21"/>
      <c r="C59" s="21"/>
      <c r="D59" s="21"/>
      <c r="E59" s="21"/>
      <c r="F59" s="21"/>
      <c r="G59" s="21"/>
      <c r="H59" s="21"/>
      <c r="I59" s="21"/>
      <c r="J59" s="21"/>
      <c r="K59" s="21"/>
      <c r="L59" s="21"/>
      <c r="M59" s="21"/>
      <c r="O59" s="21"/>
    </row>
    <row r="60" spans="1:17" x14ac:dyDescent="0.25">
      <c r="B60" s="21"/>
      <c r="C60" s="21"/>
      <c r="D60" s="21"/>
      <c r="E60" s="21"/>
      <c r="F60" s="21"/>
      <c r="G60" s="21"/>
      <c r="H60" s="21"/>
      <c r="I60" s="21"/>
      <c r="J60" s="21"/>
      <c r="K60" s="21"/>
      <c r="L60" s="21"/>
      <c r="M60" s="21"/>
      <c r="O60" s="21"/>
    </row>
    <row r="61" spans="1:17" x14ac:dyDescent="0.25">
      <c r="B61" s="22"/>
      <c r="C61" s="21"/>
      <c r="D61" s="21"/>
      <c r="E61" s="21"/>
      <c r="F61" s="21"/>
      <c r="G61" s="21"/>
      <c r="H61" s="21"/>
      <c r="I61" s="21"/>
      <c r="J61" s="21"/>
      <c r="K61" s="21"/>
      <c r="L61" s="21"/>
      <c r="M61" s="21"/>
      <c r="O61" s="21"/>
    </row>
    <row r="62" spans="1:17" x14ac:dyDescent="0.25">
      <c r="B62" s="21"/>
      <c r="C62" s="21"/>
      <c r="D62" s="21"/>
      <c r="E62" s="21"/>
      <c r="F62" s="21"/>
      <c r="G62" s="21"/>
      <c r="H62" s="21"/>
      <c r="I62" s="21"/>
      <c r="J62" s="21"/>
      <c r="K62" s="21"/>
      <c r="L62" s="21"/>
      <c r="M62" s="21"/>
      <c r="O62" s="21"/>
    </row>
    <row r="63" spans="1:17" x14ac:dyDescent="0.25">
      <c r="B63" s="21"/>
      <c r="C63" s="21"/>
      <c r="D63" s="21"/>
      <c r="E63" s="21"/>
      <c r="F63" s="21"/>
      <c r="G63" s="21"/>
      <c r="H63" s="21"/>
      <c r="I63" s="21"/>
      <c r="J63" s="21"/>
      <c r="K63" s="21"/>
      <c r="L63" s="21"/>
      <c r="M63" s="21"/>
      <c r="O63" s="21"/>
    </row>
    <row r="64" spans="1:17" x14ac:dyDescent="0.25">
      <c r="B64" s="21"/>
      <c r="C64" s="21"/>
      <c r="D64" s="21"/>
      <c r="E64" s="21"/>
      <c r="F64" s="21"/>
      <c r="G64" s="21"/>
      <c r="H64" s="21"/>
      <c r="I64" s="21"/>
      <c r="J64" s="21"/>
      <c r="K64" s="21"/>
      <c r="L64" s="21"/>
      <c r="M64" s="21"/>
      <c r="O64" s="21"/>
    </row>
    <row r="65" spans="2:15" x14ac:dyDescent="0.25">
      <c r="B65" s="21"/>
      <c r="C65" s="21"/>
      <c r="D65" s="21"/>
      <c r="E65" s="21"/>
      <c r="F65" s="21"/>
      <c r="G65" s="21"/>
      <c r="H65" s="21"/>
      <c r="I65" s="21"/>
      <c r="J65" s="21"/>
      <c r="K65" s="21"/>
      <c r="L65" s="21"/>
      <c r="M65" s="21"/>
      <c r="O65" s="21"/>
    </row>
    <row r="66" spans="2:15" x14ac:dyDescent="0.25">
      <c r="B66" s="21"/>
      <c r="C66" s="21"/>
      <c r="D66" s="21"/>
      <c r="E66" s="21"/>
      <c r="F66" s="21"/>
      <c r="G66" s="21"/>
      <c r="H66" s="21"/>
      <c r="I66" s="21"/>
      <c r="J66" s="21"/>
      <c r="K66" s="21"/>
      <c r="L66" s="21"/>
      <c r="M66" s="21"/>
      <c r="O66" s="21"/>
    </row>
    <row r="67" spans="2:15" x14ac:dyDescent="0.25">
      <c r="B67" s="21"/>
      <c r="C67" s="21"/>
      <c r="D67" s="21"/>
      <c r="E67" s="21"/>
      <c r="F67" s="21"/>
      <c r="G67" s="21"/>
      <c r="H67" s="21"/>
      <c r="I67" s="21"/>
      <c r="J67" s="21"/>
      <c r="K67" s="21"/>
      <c r="L67" s="21"/>
      <c r="M67" s="21"/>
      <c r="O67" s="21"/>
    </row>
    <row r="68" spans="2:15" x14ac:dyDescent="0.25">
      <c r="B68" s="21"/>
      <c r="C68" s="21"/>
      <c r="D68" s="21"/>
      <c r="E68" s="21"/>
      <c r="F68" s="21"/>
      <c r="G68" s="21"/>
      <c r="H68" s="21"/>
      <c r="I68" s="21"/>
      <c r="J68" s="21"/>
      <c r="K68" s="21"/>
      <c r="L68" s="21"/>
      <c r="M68" s="21"/>
      <c r="O68" s="21"/>
    </row>
    <row r="69" spans="2:15" x14ac:dyDescent="0.25">
      <c r="B69" s="21"/>
      <c r="C69" s="21"/>
      <c r="D69" s="21"/>
      <c r="E69" s="21"/>
      <c r="F69" s="21"/>
      <c r="G69" s="21"/>
      <c r="H69" s="21"/>
      <c r="I69" s="21"/>
      <c r="J69" s="21"/>
      <c r="K69" s="21"/>
      <c r="L69" s="21"/>
      <c r="M69" s="21"/>
      <c r="O69" s="21"/>
    </row>
    <row r="70" spans="2:15" x14ac:dyDescent="0.25">
      <c r="B70" s="21"/>
      <c r="C70" s="21"/>
      <c r="D70" s="21"/>
      <c r="E70" s="21"/>
      <c r="F70" s="21"/>
      <c r="G70" s="21"/>
      <c r="H70" s="21"/>
      <c r="I70" s="21"/>
      <c r="J70" s="21"/>
      <c r="K70" s="21"/>
      <c r="L70" s="21"/>
      <c r="M70" s="21"/>
      <c r="O70" s="21"/>
    </row>
    <row r="71" spans="2:15" x14ac:dyDescent="0.25">
      <c r="B71" s="21"/>
      <c r="C71" s="21"/>
      <c r="D71" s="21"/>
      <c r="E71" s="21"/>
      <c r="F71" s="21"/>
      <c r="G71" s="21"/>
      <c r="H71" s="21"/>
      <c r="I71" s="21"/>
      <c r="J71" s="21"/>
      <c r="K71" s="21"/>
      <c r="L71" s="21"/>
      <c r="M71" s="21"/>
      <c r="O71" s="21"/>
    </row>
    <row r="72" spans="2:15" x14ac:dyDescent="0.25">
      <c r="B72" s="21"/>
      <c r="C72" s="21"/>
      <c r="D72" s="21"/>
      <c r="E72" s="21"/>
      <c r="F72" s="21"/>
      <c r="G72" s="21"/>
      <c r="H72" s="21"/>
      <c r="I72" s="21"/>
      <c r="J72" s="21"/>
      <c r="K72" s="21"/>
      <c r="L72" s="21"/>
      <c r="M72" s="21"/>
      <c r="O72" s="21"/>
    </row>
    <row r="73" spans="2:15" x14ac:dyDescent="0.25">
      <c r="B73" s="21"/>
      <c r="C73" s="21"/>
      <c r="D73" s="21"/>
      <c r="E73" s="21"/>
      <c r="F73" s="21"/>
      <c r="G73" s="21"/>
      <c r="H73" s="21"/>
      <c r="I73" s="21"/>
      <c r="J73" s="21"/>
      <c r="K73" s="21"/>
      <c r="L73" s="21"/>
      <c r="M73" s="21"/>
      <c r="O73" s="21"/>
    </row>
    <row r="74" spans="2:15" x14ac:dyDescent="0.25">
      <c r="B74" s="21"/>
      <c r="C74" s="21"/>
      <c r="D74" s="21"/>
      <c r="E74" s="21"/>
      <c r="F74" s="21"/>
      <c r="G74" s="21"/>
      <c r="H74" s="21"/>
      <c r="I74" s="21"/>
      <c r="J74" s="21"/>
      <c r="K74" s="21"/>
      <c r="L74" s="21"/>
      <c r="M74" s="21"/>
      <c r="O74" s="21"/>
    </row>
    <row r="75" spans="2:15" x14ac:dyDescent="0.25">
      <c r="B75" s="21"/>
      <c r="C75" s="21"/>
      <c r="D75" s="21"/>
      <c r="E75" s="21"/>
      <c r="F75" s="21"/>
      <c r="G75" s="21"/>
      <c r="H75" s="21"/>
      <c r="I75" s="21"/>
      <c r="J75" s="21"/>
      <c r="K75" s="21"/>
      <c r="L75" s="21"/>
      <c r="M75" s="21"/>
      <c r="O75" s="21"/>
    </row>
    <row r="76" spans="2:15" x14ac:dyDescent="0.25">
      <c r="B76" s="21"/>
      <c r="C76" s="21"/>
      <c r="D76" s="21"/>
      <c r="E76" s="21"/>
      <c r="F76" s="21"/>
      <c r="G76" s="21"/>
      <c r="H76" s="21"/>
      <c r="I76" s="21"/>
      <c r="J76" s="21"/>
      <c r="K76" s="21"/>
      <c r="L76" s="21"/>
      <c r="M76" s="21"/>
      <c r="O76" s="21"/>
    </row>
    <row r="77" spans="2:15" x14ac:dyDescent="0.25">
      <c r="B77" s="21"/>
      <c r="C77" s="21"/>
      <c r="D77" s="21"/>
      <c r="E77" s="21"/>
      <c r="F77" s="21"/>
      <c r="G77" s="21"/>
      <c r="H77" s="21"/>
      <c r="I77" s="21"/>
      <c r="J77" s="21"/>
      <c r="K77" s="21"/>
      <c r="L77" s="21"/>
      <c r="M77" s="21"/>
      <c r="O77" s="21"/>
    </row>
    <row r="78" spans="2:15" x14ac:dyDescent="0.25">
      <c r="B78" s="21"/>
      <c r="C78" s="21"/>
      <c r="D78" s="21"/>
      <c r="E78" s="21"/>
      <c r="F78" s="21"/>
      <c r="G78" s="21"/>
      <c r="H78" s="21"/>
      <c r="I78" s="21"/>
      <c r="J78" s="21"/>
      <c r="K78" s="21"/>
      <c r="L78" s="21"/>
      <c r="M78" s="21"/>
      <c r="O78" s="21"/>
    </row>
    <row r="79" spans="2:15" x14ac:dyDescent="0.25">
      <c r="B79" s="21"/>
      <c r="C79" s="21"/>
      <c r="D79" s="21"/>
      <c r="E79" s="21"/>
      <c r="F79" s="21"/>
      <c r="G79" s="21"/>
      <c r="H79" s="21"/>
      <c r="I79" s="21"/>
      <c r="J79" s="21"/>
      <c r="K79" s="21"/>
      <c r="L79" s="21"/>
      <c r="M79" s="21"/>
      <c r="N79" s="21"/>
      <c r="O79" s="21"/>
    </row>
    <row r="80" spans="2:15" x14ac:dyDescent="0.25">
      <c r="B80" s="21"/>
      <c r="C80" s="21"/>
      <c r="D80" s="21"/>
      <c r="E80" s="21"/>
      <c r="F80" s="21"/>
      <c r="G80" s="21"/>
      <c r="H80" s="21"/>
      <c r="I80" s="21"/>
      <c r="J80" s="21"/>
      <c r="K80" s="21"/>
      <c r="L80" s="21"/>
      <c r="M80" s="21"/>
      <c r="N80" s="21"/>
      <c r="O80" s="21"/>
    </row>
    <row r="81" spans="2:15" x14ac:dyDescent="0.25">
      <c r="B81" s="21"/>
      <c r="C81" s="21"/>
      <c r="D81" s="21"/>
      <c r="E81" s="21"/>
      <c r="F81" s="21"/>
      <c r="G81" s="21"/>
      <c r="H81" s="21"/>
      <c r="I81" s="21"/>
      <c r="J81" s="21"/>
      <c r="K81" s="21"/>
      <c r="L81" s="21"/>
      <c r="M81" s="21"/>
      <c r="N81" s="21"/>
      <c r="O81" s="21"/>
    </row>
    <row r="82" spans="2:15" x14ac:dyDescent="0.25">
      <c r="B82" s="21"/>
      <c r="C82" s="21"/>
      <c r="D82" s="21"/>
      <c r="E82" s="21"/>
      <c r="F82" s="21"/>
      <c r="G82" s="21"/>
      <c r="H82" s="21"/>
      <c r="I82" s="21"/>
      <c r="J82" s="21"/>
      <c r="K82" s="21"/>
      <c r="L82" s="21"/>
      <c r="M82" s="21"/>
      <c r="N82" s="21"/>
      <c r="O82" s="21"/>
    </row>
    <row r="83" spans="2:15" x14ac:dyDescent="0.25">
      <c r="B83" s="21"/>
      <c r="C83" s="21"/>
      <c r="D83" s="21"/>
      <c r="E83" s="21"/>
      <c r="F83" s="21"/>
      <c r="G83" s="21"/>
      <c r="H83" s="21"/>
      <c r="I83" s="21"/>
      <c r="J83" s="21"/>
      <c r="K83" s="21"/>
      <c r="L83" s="21"/>
      <c r="M83" s="21"/>
      <c r="N83" s="21"/>
      <c r="O83" s="21"/>
    </row>
    <row r="84" spans="2:15" x14ac:dyDescent="0.25">
      <c r="B84" s="21"/>
      <c r="C84" s="21"/>
      <c r="D84" s="21"/>
      <c r="E84" s="21"/>
      <c r="F84" s="21"/>
      <c r="G84" s="21"/>
      <c r="H84" s="21"/>
      <c r="I84" s="21"/>
      <c r="J84" s="21"/>
      <c r="K84" s="21"/>
      <c r="L84" s="21"/>
      <c r="M84" s="21"/>
      <c r="N84" s="21"/>
      <c r="O84" s="21"/>
    </row>
    <row r="85" spans="2:15" x14ac:dyDescent="0.25">
      <c r="B85" s="21"/>
      <c r="C85" s="21"/>
      <c r="D85" s="21"/>
      <c r="E85" s="21"/>
      <c r="F85" s="21"/>
      <c r="G85" s="21"/>
      <c r="H85" s="21"/>
      <c r="I85" s="21"/>
      <c r="J85" s="21"/>
      <c r="K85" s="21"/>
      <c r="L85" s="21"/>
      <c r="M85" s="21"/>
      <c r="N85" s="21"/>
      <c r="O85" s="21"/>
    </row>
    <row r="86" spans="2:15" x14ac:dyDescent="0.25">
      <c r="B86" s="21"/>
      <c r="C86" s="21"/>
      <c r="D86" s="21"/>
      <c r="E86" s="21"/>
      <c r="F86" s="21"/>
      <c r="G86" s="21"/>
      <c r="H86" s="21"/>
      <c r="I86" s="21"/>
      <c r="J86" s="21"/>
      <c r="K86" s="21"/>
      <c r="L86" s="21"/>
      <c r="M86" s="21"/>
      <c r="N86" s="21"/>
      <c r="O86" s="21"/>
    </row>
    <row r="87" spans="2:15" x14ac:dyDescent="0.25">
      <c r="B87" s="21"/>
      <c r="C87" s="21"/>
      <c r="D87" s="21"/>
      <c r="E87" s="21"/>
      <c r="F87" s="21"/>
      <c r="G87" s="21"/>
      <c r="H87" s="21"/>
      <c r="I87" s="21"/>
      <c r="J87" s="21"/>
      <c r="K87" s="21"/>
      <c r="L87" s="21"/>
      <c r="M87" s="21"/>
      <c r="N87" s="21"/>
      <c r="O87" s="21"/>
    </row>
    <row r="88" spans="2:15" x14ac:dyDescent="0.25">
      <c r="B88" s="21"/>
      <c r="C88" s="21"/>
      <c r="D88" s="21"/>
      <c r="E88" s="21"/>
      <c r="F88" s="21"/>
      <c r="G88" s="21"/>
      <c r="H88" s="21"/>
      <c r="I88" s="21"/>
      <c r="J88" s="21"/>
      <c r="K88" s="21"/>
      <c r="L88" s="21"/>
      <c r="M88" s="21"/>
      <c r="N88" s="21"/>
      <c r="O88" s="21"/>
    </row>
    <row r="89" spans="2:15" x14ac:dyDescent="0.25">
      <c r="B89" s="21"/>
      <c r="C89" s="21"/>
      <c r="D89" s="21"/>
      <c r="E89" s="21"/>
      <c r="F89" s="21"/>
      <c r="G89" s="21"/>
      <c r="H89" s="21"/>
      <c r="I89" s="21"/>
      <c r="J89" s="21"/>
      <c r="K89" s="21"/>
      <c r="L89" s="21"/>
      <c r="M89" s="21"/>
      <c r="N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&amp;L&amp;"Arial,Regular"&amp;8&amp;F&amp;C&amp;A&amp;R&amp;"Arial,Regular"2017 GRC Compliance Filing
Docket No. UE-170033
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activeCell="B7" sqref="B7"/>
      <selection pane="topRight" activeCell="B7" sqref="B7"/>
      <selection pane="bottomLeft" activeCell="B7" sqref="B7"/>
      <selection pane="bottomRight" activeCell="J2" sqref="J2"/>
    </sheetView>
  </sheetViews>
  <sheetFormatPr defaultColWidth="13.33203125" defaultRowHeight="13.2" x14ac:dyDescent="0.25"/>
  <cols>
    <col min="1" max="1" width="8.6640625" style="2" bestFit="1" customWidth="1"/>
    <col min="2" max="2" width="10.6640625" style="2" bestFit="1" customWidth="1"/>
    <col min="3" max="3" width="8.33203125" style="2" bestFit="1" customWidth="1"/>
    <col min="4" max="4" width="12.33203125" style="2" bestFit="1" customWidth="1"/>
    <col min="5" max="5" width="9.21875" style="2" bestFit="1" customWidth="1"/>
    <col min="6" max="6" width="10.88671875" style="2" bestFit="1" customWidth="1"/>
    <col min="7" max="7" width="9.88671875" style="2" bestFit="1" customWidth="1"/>
    <col min="8" max="8" width="9.21875" style="2" bestFit="1" customWidth="1"/>
    <col min="9" max="9" width="12" style="2" bestFit="1" customWidth="1"/>
    <col min="10" max="10" width="9.21875" style="2" bestFit="1" customWidth="1"/>
    <col min="11" max="11" width="11.44140625" style="2" bestFit="1" customWidth="1"/>
    <col min="12" max="12" width="8.33203125" style="2" bestFit="1" customWidth="1"/>
    <col min="13" max="21" width="13.33203125" style="2"/>
    <col min="22" max="22" width="2" style="2" bestFit="1" customWidth="1"/>
    <col min="23" max="24" width="15.5546875" style="2" customWidth="1"/>
    <col min="25" max="199" width="13.33203125" style="2"/>
    <col min="200" max="200" width="83" style="2" customWidth="1"/>
    <col min="201" max="16384" width="13.33203125" style="2"/>
  </cols>
  <sheetData>
    <row r="1" spans="1:200" x14ac:dyDescent="0.25">
      <c r="A1" s="231" t="s">
        <v>50</v>
      </c>
      <c r="B1" s="231"/>
      <c r="C1" s="231"/>
      <c r="D1" s="231"/>
      <c r="E1" s="231"/>
      <c r="F1" s="231"/>
      <c r="G1" s="231"/>
      <c r="I1" s="250" t="s">
        <v>51</v>
      </c>
      <c r="J1" s="251"/>
      <c r="K1" s="251"/>
      <c r="L1" s="252"/>
      <c r="P1" s="26"/>
      <c r="Q1" s="26"/>
      <c r="R1" s="26"/>
      <c r="V1" s="30" t="s">
        <v>15</v>
      </c>
    </row>
    <row r="2" spans="1:200" x14ac:dyDescent="0.25">
      <c r="A2" s="231" t="s">
        <v>31</v>
      </c>
      <c r="B2" s="231"/>
      <c r="C2" s="231"/>
      <c r="D2" s="231"/>
      <c r="E2" s="231"/>
      <c r="F2" s="231"/>
      <c r="G2" s="231"/>
      <c r="I2" s="44" t="s">
        <v>32</v>
      </c>
      <c r="J2" s="104">
        <f ca="1">+'Pg 1 CofCap'!D21</f>
        <v>0.51500000000000001</v>
      </c>
      <c r="K2" s="221">
        <f ca="1">+'Pg 1 CofCap'!E21</f>
        <v>5.8058252427184473E-2</v>
      </c>
      <c r="L2" s="106">
        <f ca="1">ROUND(J2*K2,4)</f>
        <v>2.9899999999999999E-2</v>
      </c>
      <c r="P2" s="26"/>
      <c r="Q2" s="26"/>
      <c r="R2" s="26"/>
      <c r="V2" s="30" t="s">
        <v>15</v>
      </c>
    </row>
    <row r="3" spans="1:200" x14ac:dyDescent="0.25">
      <c r="E3" s="39"/>
      <c r="I3" s="44" t="s">
        <v>33</v>
      </c>
      <c r="J3" s="104"/>
      <c r="K3" s="43"/>
      <c r="L3" s="106">
        <f>ROUND(J3*K3,4)</f>
        <v>0</v>
      </c>
      <c r="P3" s="26"/>
      <c r="Q3" s="26"/>
      <c r="R3" s="26"/>
      <c r="V3" s="30" t="s">
        <v>15</v>
      </c>
      <c r="W3" s="26"/>
      <c r="X3" s="26"/>
    </row>
    <row r="4" spans="1:200" x14ac:dyDescent="0.25">
      <c r="I4" s="38" t="s">
        <v>34</v>
      </c>
      <c r="J4" s="105">
        <f ca="1">SUM(J2:J3)</f>
        <v>0.51500000000000001</v>
      </c>
      <c r="K4" s="37"/>
      <c r="L4" s="113">
        <f ca="1">SUM(L2:L3)</f>
        <v>2.9899999999999999E-2</v>
      </c>
      <c r="P4" s="26"/>
      <c r="Q4" s="26"/>
      <c r="R4" s="26"/>
      <c r="V4" s="30" t="s">
        <v>15</v>
      </c>
      <c r="W4" s="26"/>
      <c r="X4" s="26"/>
    </row>
    <row r="5" spans="1:200" x14ac:dyDescent="0.25">
      <c r="C5" s="236" t="s">
        <v>24</v>
      </c>
      <c r="D5" s="236"/>
      <c r="E5" s="26">
        <f ca="1">K68</f>
        <v>116883.75539181961</v>
      </c>
      <c r="I5" s="38" t="s">
        <v>25</v>
      </c>
      <c r="J5" s="104">
        <v>0</v>
      </c>
      <c r="K5" s="43">
        <v>0</v>
      </c>
      <c r="L5" s="106">
        <f t="shared" ref="L5:L6" si="0">ROUND(J5*K5,4)</f>
        <v>0</v>
      </c>
      <c r="P5" s="26"/>
      <c r="Q5" s="26"/>
      <c r="R5" s="26"/>
      <c r="V5" s="30" t="s">
        <v>15</v>
      </c>
      <c r="W5" s="26"/>
      <c r="X5" s="26"/>
    </row>
    <row r="6" spans="1:200" x14ac:dyDescent="0.25">
      <c r="C6" s="236" t="s">
        <v>22</v>
      </c>
      <c r="D6" s="236"/>
      <c r="E6" s="26">
        <f ca="1">PMT(L8,I10,-E5)</f>
        <v>9135.4726579609087</v>
      </c>
      <c r="I6" s="38" t="s">
        <v>23</v>
      </c>
      <c r="J6" s="104">
        <f ca="1">+'Pg 1 CofCap'!D22</f>
        <v>0.48499999999999999</v>
      </c>
      <c r="K6" s="43">
        <f ca="1">+'Pg 1 CofCap'!E22</f>
        <v>9.5000000000000001E-2</v>
      </c>
      <c r="L6" s="106">
        <f t="shared" ca="1" si="0"/>
        <v>4.6100000000000002E-2</v>
      </c>
      <c r="V6" s="30" t="s">
        <v>15</v>
      </c>
      <c r="W6" s="26"/>
      <c r="X6" s="26"/>
    </row>
    <row r="7" spans="1:200" ht="13.8" thickBot="1" x14ac:dyDescent="0.3">
      <c r="C7" s="236" t="s">
        <v>21</v>
      </c>
      <c r="D7" s="236"/>
      <c r="E7" s="42">
        <f ca="1">($E$6/$E$10)*100</f>
        <v>9.1354726579609071</v>
      </c>
      <c r="G7" s="41">
        <f ca="1">+E7/100</f>
        <v>9.1354726579609066E-2</v>
      </c>
      <c r="I7" s="36"/>
      <c r="J7" s="37"/>
      <c r="K7" s="37"/>
      <c r="L7" s="106" t="s">
        <v>14</v>
      </c>
      <c r="P7" s="26"/>
      <c r="Q7" s="26"/>
      <c r="R7" s="26"/>
      <c r="V7" s="30" t="s">
        <v>15</v>
      </c>
      <c r="W7" s="26"/>
      <c r="X7" s="26"/>
    </row>
    <row r="8" spans="1:200" ht="13.8" thickBot="1" x14ac:dyDescent="0.3">
      <c r="I8" s="248" t="s">
        <v>20</v>
      </c>
      <c r="J8" s="249"/>
      <c r="K8" s="249"/>
      <c r="L8" s="114">
        <f ca="1">SUM(L4:L7)</f>
        <v>7.5999999999999998E-2</v>
      </c>
      <c r="P8" s="26"/>
      <c r="Q8" s="26"/>
      <c r="R8" s="26"/>
      <c r="V8" s="30" t="s">
        <v>15</v>
      </c>
      <c r="W8" s="26"/>
      <c r="X8" s="26"/>
    </row>
    <row r="9" spans="1:200" x14ac:dyDescent="0.25">
      <c r="C9" s="236" t="s">
        <v>19</v>
      </c>
      <c r="D9" s="236"/>
      <c r="E9" s="34">
        <v>12</v>
      </c>
      <c r="M9" s="35"/>
      <c r="P9" s="26"/>
      <c r="Q9" s="26"/>
      <c r="R9" s="26"/>
      <c r="V9" s="30" t="s">
        <v>15</v>
      </c>
      <c r="W9" s="26"/>
      <c r="X9" s="26"/>
    </row>
    <row r="10" spans="1:200" x14ac:dyDescent="0.25">
      <c r="C10" s="236" t="s">
        <v>17</v>
      </c>
      <c r="D10" s="236"/>
      <c r="E10" s="26">
        <v>100000</v>
      </c>
      <c r="I10" s="27">
        <f ca="1">+'Sub &amp; Feeder Depr Life'!Q17</f>
        <v>49</v>
      </c>
      <c r="J10" s="247" t="s">
        <v>26</v>
      </c>
      <c r="K10" s="247"/>
      <c r="L10" s="247"/>
      <c r="V10" s="30" t="s">
        <v>15</v>
      </c>
      <c r="W10" s="26"/>
      <c r="X10" s="26"/>
    </row>
    <row r="11" spans="1:200" ht="13.2" customHeight="1" x14ac:dyDescent="0.25">
      <c r="C11" s="236" t="s">
        <v>16</v>
      </c>
      <c r="D11" s="236"/>
      <c r="E11" s="26">
        <f>E10</f>
        <v>100000</v>
      </c>
      <c r="G11" s="31"/>
      <c r="I11" s="33">
        <f ca="1">+'Lvl FCR Feeder'!H13</f>
        <v>0.24761500000000003</v>
      </c>
      <c r="J11" s="247" t="s">
        <v>44</v>
      </c>
      <c r="K11" s="247"/>
      <c r="L11" s="247"/>
      <c r="V11" s="30" t="s">
        <v>15</v>
      </c>
      <c r="W11" s="26"/>
      <c r="X11" s="26"/>
    </row>
    <row r="12" spans="1:200" x14ac:dyDescent="0.25">
      <c r="C12" s="236" t="s">
        <v>18</v>
      </c>
      <c r="D12" s="236"/>
      <c r="E12" s="26">
        <f>E10</f>
        <v>100000</v>
      </c>
      <c r="I12" s="33">
        <f ca="1">+'Lvl FCR Feeder'!H14</f>
        <v>0.21</v>
      </c>
      <c r="J12" s="247" t="s">
        <v>42</v>
      </c>
      <c r="K12" s="247"/>
      <c r="L12" s="247"/>
      <c r="M12" s="29"/>
    </row>
    <row r="13" spans="1:200" x14ac:dyDescent="0.25">
      <c r="C13" s="63"/>
      <c r="M13" s="29"/>
    </row>
    <row r="14" spans="1:200" ht="40.200000000000003" thickBot="1" x14ac:dyDescent="0.3">
      <c r="A14" s="72" t="s">
        <v>52</v>
      </c>
      <c r="B14" s="72" t="s">
        <v>53</v>
      </c>
      <c r="C14" s="72" t="s">
        <v>62</v>
      </c>
      <c r="D14" s="72" t="s">
        <v>54</v>
      </c>
      <c r="E14" s="72" t="s">
        <v>64</v>
      </c>
      <c r="F14" s="72" t="s">
        <v>61</v>
      </c>
      <c r="G14" s="72" t="s">
        <v>55</v>
      </c>
      <c r="H14" s="72" t="s">
        <v>56</v>
      </c>
      <c r="I14" s="72" t="s">
        <v>63</v>
      </c>
      <c r="J14" s="72" t="s">
        <v>58</v>
      </c>
      <c r="K14" s="72" t="s">
        <v>59</v>
      </c>
    </row>
    <row r="15" spans="1:200" x14ac:dyDescent="0.25">
      <c r="A15" s="22">
        <v>1</v>
      </c>
      <c r="B15" s="24">
        <f>E10</f>
        <v>100000</v>
      </c>
      <c r="C15" s="22">
        <v>0</v>
      </c>
      <c r="D15" s="56">
        <f>E10</f>
        <v>100000</v>
      </c>
      <c r="E15" s="56">
        <f t="shared" ref="E15:E58" si="1">E$11*C15</f>
        <v>0</v>
      </c>
      <c r="F15" s="60">
        <f t="shared" ref="F15:F58" ca="1" si="2">$I$12*(E15-I15*E$11/E$10)</f>
        <v>0</v>
      </c>
      <c r="G15" s="56">
        <f ca="1">L$4*D15*(E9/12)</f>
        <v>2990</v>
      </c>
      <c r="H15" s="56">
        <f ca="1">D15*(L$5+L$6)*(E9/12)</f>
        <v>4610</v>
      </c>
      <c r="I15" s="56">
        <v>0</v>
      </c>
      <c r="J15" s="56">
        <f t="shared" ref="J15:J58" ca="1" si="3">(I$11/(1-I$11))*(H15+I15-E15+F15)</f>
        <v>1517.1822271842209</v>
      </c>
      <c r="K15" s="56">
        <f ca="1">F15+G15+H15+I15+J15</f>
        <v>9117.1822271842211</v>
      </c>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row>
    <row r="16" spans="1:200" x14ac:dyDescent="0.25">
      <c r="A16" s="22">
        <f t="shared" ref="A16:A64" si="4">A15+1</f>
        <v>2</v>
      </c>
      <c r="B16" s="24">
        <f t="shared" ref="B16:B53" si="5">B15-I15</f>
        <v>100000</v>
      </c>
      <c r="C16" s="22">
        <v>0</v>
      </c>
      <c r="D16" s="56">
        <f t="shared" ref="D16:D53" ca="1" si="6">D15-F15-I15</f>
        <v>100000</v>
      </c>
      <c r="E16" s="56">
        <f t="shared" si="1"/>
        <v>0</v>
      </c>
      <c r="F16" s="60">
        <f t="shared" ca="1" si="2"/>
        <v>0</v>
      </c>
      <c r="G16" s="56">
        <f t="shared" ref="G16:G47" ca="1" si="7">L$4*D16</f>
        <v>2990</v>
      </c>
      <c r="H16" s="56">
        <f t="shared" ref="H16:H47" ca="1" si="8">D16*(L$5+L$6)</f>
        <v>4610</v>
      </c>
      <c r="I16" s="56">
        <v>0</v>
      </c>
      <c r="J16" s="56">
        <f t="shared" ca="1" si="3"/>
        <v>1517.1822271842209</v>
      </c>
      <c r="K16" s="56">
        <f t="shared" ref="K16:K58" ca="1" si="9">F16+G16+H16+I16+J16</f>
        <v>9117.1822271842211</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row>
    <row r="17" spans="1:200" x14ac:dyDescent="0.25">
      <c r="A17" s="22">
        <f t="shared" si="4"/>
        <v>3</v>
      </c>
      <c r="B17" s="24">
        <f t="shared" si="5"/>
        <v>100000</v>
      </c>
      <c r="C17" s="22">
        <v>0</v>
      </c>
      <c r="D17" s="56">
        <f t="shared" ca="1" si="6"/>
        <v>100000</v>
      </c>
      <c r="E17" s="56">
        <f t="shared" si="1"/>
        <v>0</v>
      </c>
      <c r="F17" s="60">
        <f t="shared" ca="1" si="2"/>
        <v>0</v>
      </c>
      <c r="G17" s="56">
        <f t="shared" ca="1" si="7"/>
        <v>2990</v>
      </c>
      <c r="H17" s="56">
        <f t="shared" ca="1" si="8"/>
        <v>4610</v>
      </c>
      <c r="I17" s="56">
        <v>0</v>
      </c>
      <c r="J17" s="56">
        <f t="shared" ca="1" si="3"/>
        <v>1517.1822271842209</v>
      </c>
      <c r="K17" s="56">
        <f t="shared" ca="1" si="9"/>
        <v>9117.1822271842211</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row>
    <row r="18" spans="1:200" x14ac:dyDescent="0.25">
      <c r="A18" s="22">
        <f t="shared" si="4"/>
        <v>4</v>
      </c>
      <c r="B18" s="24">
        <f t="shared" si="5"/>
        <v>100000</v>
      </c>
      <c r="C18" s="22">
        <v>0</v>
      </c>
      <c r="D18" s="56">
        <f t="shared" ca="1" si="6"/>
        <v>100000</v>
      </c>
      <c r="E18" s="56">
        <f t="shared" si="1"/>
        <v>0</v>
      </c>
      <c r="F18" s="60">
        <f t="shared" ca="1" si="2"/>
        <v>0</v>
      </c>
      <c r="G18" s="56">
        <f t="shared" ca="1" si="7"/>
        <v>2990</v>
      </c>
      <c r="H18" s="56">
        <f t="shared" ca="1" si="8"/>
        <v>4610</v>
      </c>
      <c r="I18" s="56">
        <v>0</v>
      </c>
      <c r="J18" s="56">
        <f t="shared" ca="1" si="3"/>
        <v>1517.1822271842209</v>
      </c>
      <c r="K18" s="56">
        <f t="shared" ca="1" si="9"/>
        <v>9117.1822271842211</v>
      </c>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row>
    <row r="19" spans="1:200" x14ac:dyDescent="0.25">
      <c r="A19" s="22">
        <f t="shared" si="4"/>
        <v>5</v>
      </c>
      <c r="B19" s="24">
        <f t="shared" si="5"/>
        <v>100000</v>
      </c>
      <c r="C19" s="22">
        <v>0</v>
      </c>
      <c r="D19" s="56">
        <f t="shared" ca="1" si="6"/>
        <v>100000</v>
      </c>
      <c r="E19" s="56">
        <f t="shared" si="1"/>
        <v>0</v>
      </c>
      <c r="F19" s="60">
        <f t="shared" ca="1" si="2"/>
        <v>0</v>
      </c>
      <c r="G19" s="56">
        <f t="shared" ca="1" si="7"/>
        <v>2990</v>
      </c>
      <c r="H19" s="56">
        <f t="shared" ca="1" si="8"/>
        <v>4610</v>
      </c>
      <c r="I19" s="56">
        <v>0</v>
      </c>
      <c r="J19" s="56">
        <f t="shared" ca="1" si="3"/>
        <v>1517.1822271842209</v>
      </c>
      <c r="K19" s="56">
        <f t="shared" ca="1" si="9"/>
        <v>9117.1822271842211</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row>
    <row r="20" spans="1:200" x14ac:dyDescent="0.25">
      <c r="A20" s="22">
        <f t="shared" si="4"/>
        <v>6</v>
      </c>
      <c r="B20" s="24">
        <f t="shared" si="5"/>
        <v>100000</v>
      </c>
      <c r="C20" s="22">
        <v>0</v>
      </c>
      <c r="D20" s="56">
        <f t="shared" ca="1" si="6"/>
        <v>100000</v>
      </c>
      <c r="E20" s="56">
        <f t="shared" si="1"/>
        <v>0</v>
      </c>
      <c r="F20" s="60">
        <f t="shared" ca="1" si="2"/>
        <v>0</v>
      </c>
      <c r="G20" s="56">
        <f t="shared" ca="1" si="7"/>
        <v>2990</v>
      </c>
      <c r="H20" s="56">
        <f t="shared" ca="1" si="8"/>
        <v>4610</v>
      </c>
      <c r="I20" s="56">
        <v>0</v>
      </c>
      <c r="J20" s="56">
        <f t="shared" ca="1" si="3"/>
        <v>1517.1822271842209</v>
      </c>
      <c r="K20" s="56">
        <f t="shared" ca="1" si="9"/>
        <v>9117.1822271842211</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row>
    <row r="21" spans="1:200" x14ac:dyDescent="0.25">
      <c r="A21" s="22">
        <f t="shared" si="4"/>
        <v>7</v>
      </c>
      <c r="B21" s="24">
        <f t="shared" si="5"/>
        <v>100000</v>
      </c>
      <c r="C21" s="22">
        <v>0</v>
      </c>
      <c r="D21" s="56">
        <f t="shared" ca="1" si="6"/>
        <v>100000</v>
      </c>
      <c r="E21" s="56">
        <f t="shared" si="1"/>
        <v>0</v>
      </c>
      <c r="F21" s="60">
        <f t="shared" ca="1" si="2"/>
        <v>0</v>
      </c>
      <c r="G21" s="56">
        <f t="shared" ca="1" si="7"/>
        <v>2990</v>
      </c>
      <c r="H21" s="56">
        <f t="shared" ca="1" si="8"/>
        <v>4610</v>
      </c>
      <c r="I21" s="56">
        <v>0</v>
      </c>
      <c r="J21" s="56">
        <f t="shared" ca="1" si="3"/>
        <v>1517.1822271842209</v>
      </c>
      <c r="K21" s="56">
        <f t="shared" ca="1" si="9"/>
        <v>9117.1822271842211</v>
      </c>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row>
    <row r="22" spans="1:200" x14ac:dyDescent="0.25">
      <c r="A22" s="22">
        <f t="shared" si="4"/>
        <v>8</v>
      </c>
      <c r="B22" s="24">
        <f t="shared" si="5"/>
        <v>100000</v>
      </c>
      <c r="C22" s="22">
        <v>0</v>
      </c>
      <c r="D22" s="56">
        <f t="shared" ca="1" si="6"/>
        <v>100000</v>
      </c>
      <c r="E22" s="56">
        <f t="shared" si="1"/>
        <v>0</v>
      </c>
      <c r="F22" s="60">
        <f t="shared" ca="1" si="2"/>
        <v>0</v>
      </c>
      <c r="G22" s="56">
        <f t="shared" ca="1" si="7"/>
        <v>2990</v>
      </c>
      <c r="H22" s="56">
        <f t="shared" ca="1" si="8"/>
        <v>4610</v>
      </c>
      <c r="I22" s="56">
        <v>0</v>
      </c>
      <c r="J22" s="56">
        <f t="shared" ca="1" si="3"/>
        <v>1517.1822271842209</v>
      </c>
      <c r="K22" s="56">
        <f t="shared" ca="1" si="9"/>
        <v>9117.1822271842211</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row>
    <row r="23" spans="1:200" x14ac:dyDescent="0.25">
      <c r="A23" s="22">
        <f t="shared" si="4"/>
        <v>9</v>
      </c>
      <c r="B23" s="24">
        <f t="shared" si="5"/>
        <v>100000</v>
      </c>
      <c r="C23" s="22">
        <v>0</v>
      </c>
      <c r="D23" s="56">
        <f t="shared" ca="1" si="6"/>
        <v>100000</v>
      </c>
      <c r="E23" s="56">
        <f t="shared" si="1"/>
        <v>0</v>
      </c>
      <c r="F23" s="60">
        <f t="shared" ca="1" si="2"/>
        <v>0</v>
      </c>
      <c r="G23" s="56">
        <f t="shared" ca="1" si="7"/>
        <v>2990</v>
      </c>
      <c r="H23" s="56">
        <f t="shared" ca="1" si="8"/>
        <v>4610</v>
      </c>
      <c r="I23" s="56">
        <v>0</v>
      </c>
      <c r="J23" s="56">
        <f t="shared" ca="1" si="3"/>
        <v>1517.1822271842209</v>
      </c>
      <c r="K23" s="56">
        <f t="shared" ca="1" si="9"/>
        <v>9117.1822271842211</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row>
    <row r="24" spans="1:200" x14ac:dyDescent="0.25">
      <c r="A24" s="22">
        <f t="shared" si="4"/>
        <v>10</v>
      </c>
      <c r="B24" s="24">
        <f t="shared" si="5"/>
        <v>100000</v>
      </c>
      <c r="C24" s="22">
        <v>0</v>
      </c>
      <c r="D24" s="56">
        <f t="shared" ca="1" si="6"/>
        <v>100000</v>
      </c>
      <c r="E24" s="56">
        <f t="shared" si="1"/>
        <v>0</v>
      </c>
      <c r="F24" s="60">
        <f t="shared" ca="1" si="2"/>
        <v>0</v>
      </c>
      <c r="G24" s="56">
        <f t="shared" ca="1" si="7"/>
        <v>2990</v>
      </c>
      <c r="H24" s="56">
        <f t="shared" ca="1" si="8"/>
        <v>4610</v>
      </c>
      <c r="I24" s="56">
        <v>0</v>
      </c>
      <c r="J24" s="56">
        <f t="shared" ca="1" si="3"/>
        <v>1517.1822271842209</v>
      </c>
      <c r="K24" s="56">
        <f t="shared" ca="1" si="9"/>
        <v>9117.1822271842211</v>
      </c>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row>
    <row r="25" spans="1:200" x14ac:dyDescent="0.25">
      <c r="A25" s="22">
        <f t="shared" si="4"/>
        <v>11</v>
      </c>
      <c r="B25" s="24">
        <f t="shared" si="5"/>
        <v>100000</v>
      </c>
      <c r="C25" s="22">
        <v>0</v>
      </c>
      <c r="D25" s="56">
        <f t="shared" ca="1" si="6"/>
        <v>100000</v>
      </c>
      <c r="E25" s="56">
        <f t="shared" si="1"/>
        <v>0</v>
      </c>
      <c r="F25" s="60">
        <f t="shared" ca="1" si="2"/>
        <v>0</v>
      </c>
      <c r="G25" s="56">
        <f t="shared" ca="1" si="7"/>
        <v>2990</v>
      </c>
      <c r="H25" s="56">
        <f t="shared" ca="1" si="8"/>
        <v>4610</v>
      </c>
      <c r="I25" s="56">
        <v>0</v>
      </c>
      <c r="J25" s="56">
        <f t="shared" ca="1" si="3"/>
        <v>1517.1822271842209</v>
      </c>
      <c r="K25" s="56">
        <f t="shared" ca="1" si="9"/>
        <v>9117.1822271842211</v>
      </c>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row>
    <row r="26" spans="1:200" x14ac:dyDescent="0.25">
      <c r="A26" s="22">
        <f t="shared" si="4"/>
        <v>12</v>
      </c>
      <c r="B26" s="24">
        <f t="shared" si="5"/>
        <v>100000</v>
      </c>
      <c r="C26" s="22">
        <v>0</v>
      </c>
      <c r="D26" s="56">
        <f t="shared" ca="1" si="6"/>
        <v>100000</v>
      </c>
      <c r="E26" s="56">
        <f t="shared" si="1"/>
        <v>0</v>
      </c>
      <c r="F26" s="60">
        <f t="shared" ca="1" si="2"/>
        <v>0</v>
      </c>
      <c r="G26" s="56">
        <f t="shared" ca="1" si="7"/>
        <v>2990</v>
      </c>
      <c r="H26" s="56">
        <f t="shared" ca="1" si="8"/>
        <v>4610</v>
      </c>
      <c r="I26" s="56">
        <v>0</v>
      </c>
      <c r="J26" s="56">
        <f t="shared" ca="1" si="3"/>
        <v>1517.1822271842209</v>
      </c>
      <c r="K26" s="56">
        <f t="shared" ca="1" si="9"/>
        <v>9117.1822271842211</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row>
    <row r="27" spans="1:200" x14ac:dyDescent="0.25">
      <c r="A27" s="22">
        <f t="shared" si="4"/>
        <v>13</v>
      </c>
      <c r="B27" s="24">
        <f t="shared" si="5"/>
        <v>100000</v>
      </c>
      <c r="C27" s="22">
        <v>0</v>
      </c>
      <c r="D27" s="56">
        <f t="shared" ca="1" si="6"/>
        <v>100000</v>
      </c>
      <c r="E27" s="56">
        <f t="shared" si="1"/>
        <v>0</v>
      </c>
      <c r="F27" s="60">
        <f t="shared" ca="1" si="2"/>
        <v>0</v>
      </c>
      <c r="G27" s="56">
        <f t="shared" ca="1" si="7"/>
        <v>2990</v>
      </c>
      <c r="H27" s="56">
        <f t="shared" ca="1" si="8"/>
        <v>4610</v>
      </c>
      <c r="I27" s="56">
        <v>0</v>
      </c>
      <c r="J27" s="56">
        <f t="shared" ca="1" si="3"/>
        <v>1517.1822271842209</v>
      </c>
      <c r="K27" s="56">
        <f t="shared" ca="1" si="9"/>
        <v>9117.1822271842211</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row>
    <row r="28" spans="1:200" x14ac:dyDescent="0.25">
      <c r="A28" s="22">
        <f t="shared" si="4"/>
        <v>14</v>
      </c>
      <c r="B28" s="24">
        <f t="shared" si="5"/>
        <v>100000</v>
      </c>
      <c r="C28" s="22">
        <v>0</v>
      </c>
      <c r="D28" s="56">
        <f t="shared" ca="1" si="6"/>
        <v>100000</v>
      </c>
      <c r="E28" s="56">
        <f t="shared" si="1"/>
        <v>0</v>
      </c>
      <c r="F28" s="60">
        <f t="shared" ca="1" si="2"/>
        <v>0</v>
      </c>
      <c r="G28" s="56">
        <f t="shared" ca="1" si="7"/>
        <v>2990</v>
      </c>
      <c r="H28" s="56">
        <f t="shared" ca="1" si="8"/>
        <v>4610</v>
      </c>
      <c r="I28" s="56">
        <v>0</v>
      </c>
      <c r="J28" s="56">
        <f t="shared" ca="1" si="3"/>
        <v>1517.1822271842209</v>
      </c>
      <c r="K28" s="56">
        <f t="shared" ca="1" si="9"/>
        <v>9117.1822271842211</v>
      </c>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row>
    <row r="29" spans="1:200" x14ac:dyDescent="0.25">
      <c r="A29" s="22">
        <f t="shared" si="4"/>
        <v>15</v>
      </c>
      <c r="B29" s="24">
        <f t="shared" si="5"/>
        <v>100000</v>
      </c>
      <c r="C29" s="22">
        <v>0</v>
      </c>
      <c r="D29" s="56">
        <f t="shared" ca="1" si="6"/>
        <v>100000</v>
      </c>
      <c r="E29" s="56">
        <f t="shared" si="1"/>
        <v>0</v>
      </c>
      <c r="F29" s="60">
        <f t="shared" ca="1" si="2"/>
        <v>0</v>
      </c>
      <c r="G29" s="56">
        <f t="shared" ca="1" si="7"/>
        <v>2990</v>
      </c>
      <c r="H29" s="56">
        <f t="shared" ca="1" si="8"/>
        <v>4610</v>
      </c>
      <c r="I29" s="56">
        <v>0</v>
      </c>
      <c r="J29" s="56">
        <f t="shared" ca="1" si="3"/>
        <v>1517.1822271842209</v>
      </c>
      <c r="K29" s="56">
        <f t="shared" ca="1" si="9"/>
        <v>9117.1822271842211</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row>
    <row r="30" spans="1:200" x14ac:dyDescent="0.25">
      <c r="A30" s="22">
        <f t="shared" si="4"/>
        <v>16</v>
      </c>
      <c r="B30" s="24">
        <f t="shared" si="5"/>
        <v>100000</v>
      </c>
      <c r="C30" s="22">
        <v>0</v>
      </c>
      <c r="D30" s="56">
        <f t="shared" ca="1" si="6"/>
        <v>100000</v>
      </c>
      <c r="E30" s="56">
        <f t="shared" si="1"/>
        <v>0</v>
      </c>
      <c r="F30" s="60">
        <f t="shared" ca="1" si="2"/>
        <v>0</v>
      </c>
      <c r="G30" s="56">
        <f t="shared" ca="1" si="7"/>
        <v>2990</v>
      </c>
      <c r="H30" s="56">
        <f t="shared" ca="1" si="8"/>
        <v>4610</v>
      </c>
      <c r="I30" s="56">
        <v>0</v>
      </c>
      <c r="J30" s="56">
        <f t="shared" ca="1" si="3"/>
        <v>1517.1822271842209</v>
      </c>
      <c r="K30" s="56">
        <f t="shared" ca="1" si="9"/>
        <v>9117.1822271842211</v>
      </c>
      <c r="L30" s="58"/>
      <c r="M30" s="58"/>
      <c r="N30" s="58"/>
      <c r="O30" s="58"/>
      <c r="P30" s="58"/>
      <c r="Q30" s="58"/>
      <c r="R30" s="58"/>
      <c r="S30" s="58"/>
      <c r="T30" s="58"/>
      <c r="U30" s="58"/>
      <c r="V30" s="58"/>
      <c r="W30" s="58"/>
      <c r="X30" s="58"/>
      <c r="Y30" s="58"/>
      <c r="Z30" s="58"/>
      <c r="AA30" s="58"/>
      <c r="AB30" s="58"/>
      <c r="AC30" s="58"/>
      <c r="AD30" s="58"/>
      <c r="AE30" s="58"/>
      <c r="AF30" s="58"/>
      <c r="AG30" s="58"/>
      <c r="AH30" s="61"/>
      <c r="AI30" s="61"/>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row>
    <row r="31" spans="1:200" x14ac:dyDescent="0.25">
      <c r="A31" s="22">
        <f t="shared" si="4"/>
        <v>17</v>
      </c>
      <c r="B31" s="24">
        <f t="shared" si="5"/>
        <v>100000</v>
      </c>
      <c r="C31" s="22">
        <v>0</v>
      </c>
      <c r="D31" s="56">
        <f t="shared" ca="1" si="6"/>
        <v>100000</v>
      </c>
      <c r="E31" s="56">
        <f t="shared" si="1"/>
        <v>0</v>
      </c>
      <c r="F31" s="60">
        <f t="shared" ca="1" si="2"/>
        <v>0</v>
      </c>
      <c r="G31" s="56">
        <f t="shared" ca="1" si="7"/>
        <v>2990</v>
      </c>
      <c r="H31" s="56">
        <f t="shared" ca="1" si="8"/>
        <v>4610</v>
      </c>
      <c r="I31" s="56">
        <v>0</v>
      </c>
      <c r="J31" s="56">
        <f t="shared" ca="1" si="3"/>
        <v>1517.1822271842209</v>
      </c>
      <c r="K31" s="56">
        <f t="shared" ca="1" si="9"/>
        <v>9117.1822271842211</v>
      </c>
      <c r="L31" s="58"/>
      <c r="M31" s="58"/>
      <c r="N31" s="58"/>
      <c r="O31" s="58"/>
      <c r="P31" s="58"/>
      <c r="Q31" s="58"/>
      <c r="R31" s="58"/>
      <c r="S31" s="58"/>
      <c r="T31" s="58"/>
      <c r="U31" s="58"/>
      <c r="V31" s="58"/>
      <c r="W31" s="58"/>
      <c r="X31" s="58"/>
      <c r="Y31" s="58"/>
      <c r="Z31" s="58"/>
      <c r="AA31" s="58"/>
      <c r="AB31" s="58"/>
      <c r="AC31" s="58"/>
      <c r="AD31" s="58"/>
      <c r="AE31" s="58"/>
      <c r="AF31" s="58"/>
      <c r="AG31" s="58"/>
      <c r="AH31" s="61"/>
      <c r="AI31" s="61"/>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row>
    <row r="32" spans="1:200" x14ac:dyDescent="0.25">
      <c r="A32" s="22">
        <f t="shared" si="4"/>
        <v>18</v>
      </c>
      <c r="B32" s="24">
        <f t="shared" si="5"/>
        <v>100000</v>
      </c>
      <c r="C32" s="22">
        <v>0</v>
      </c>
      <c r="D32" s="56">
        <f t="shared" ca="1" si="6"/>
        <v>100000</v>
      </c>
      <c r="E32" s="56">
        <f t="shared" si="1"/>
        <v>0</v>
      </c>
      <c r="F32" s="60">
        <f t="shared" ca="1" si="2"/>
        <v>0</v>
      </c>
      <c r="G32" s="56">
        <f t="shared" ca="1" si="7"/>
        <v>2990</v>
      </c>
      <c r="H32" s="56">
        <f t="shared" ca="1" si="8"/>
        <v>4610</v>
      </c>
      <c r="I32" s="56">
        <v>0</v>
      </c>
      <c r="J32" s="56">
        <f t="shared" ca="1" si="3"/>
        <v>1517.1822271842209</v>
      </c>
      <c r="K32" s="56">
        <f t="shared" ca="1" si="9"/>
        <v>9117.1822271842211</v>
      </c>
      <c r="L32" s="58"/>
      <c r="M32" s="58"/>
      <c r="N32" s="58"/>
      <c r="O32" s="58"/>
      <c r="P32" s="58"/>
      <c r="Q32" s="58"/>
      <c r="R32" s="58"/>
      <c r="S32" s="58"/>
      <c r="T32" s="58"/>
      <c r="U32" s="58"/>
      <c r="V32" s="58"/>
      <c r="W32" s="58"/>
      <c r="X32" s="58"/>
      <c r="Y32" s="58"/>
      <c r="Z32" s="58"/>
      <c r="AA32" s="58"/>
      <c r="AB32" s="58"/>
      <c r="AC32" s="58"/>
      <c r="AD32" s="58"/>
      <c r="AE32" s="58"/>
      <c r="AF32" s="58"/>
      <c r="AG32" s="58"/>
      <c r="AH32" s="61"/>
      <c r="AI32" s="61"/>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row>
    <row r="33" spans="1:200" x14ac:dyDescent="0.25">
      <c r="A33" s="22">
        <f t="shared" si="4"/>
        <v>19</v>
      </c>
      <c r="B33" s="24">
        <f t="shared" si="5"/>
        <v>100000</v>
      </c>
      <c r="C33" s="22">
        <v>0</v>
      </c>
      <c r="D33" s="56">
        <f t="shared" ca="1" si="6"/>
        <v>100000</v>
      </c>
      <c r="E33" s="56">
        <f t="shared" si="1"/>
        <v>0</v>
      </c>
      <c r="F33" s="60">
        <f t="shared" ca="1" si="2"/>
        <v>0</v>
      </c>
      <c r="G33" s="56">
        <f t="shared" ca="1" si="7"/>
        <v>2990</v>
      </c>
      <c r="H33" s="56">
        <f t="shared" ca="1" si="8"/>
        <v>4610</v>
      </c>
      <c r="I33" s="56">
        <v>0</v>
      </c>
      <c r="J33" s="56">
        <f t="shared" ca="1" si="3"/>
        <v>1517.1822271842209</v>
      </c>
      <c r="K33" s="56">
        <f t="shared" ca="1" si="9"/>
        <v>9117.1822271842211</v>
      </c>
      <c r="L33" s="58"/>
      <c r="M33" s="58"/>
      <c r="N33" s="58"/>
      <c r="O33" s="58"/>
      <c r="P33" s="58"/>
      <c r="Q33" s="58"/>
      <c r="R33" s="58"/>
      <c r="S33" s="58"/>
      <c r="T33" s="58"/>
      <c r="U33" s="58"/>
      <c r="V33" s="58"/>
      <c r="W33" s="58"/>
      <c r="X33" s="58"/>
      <c r="Y33" s="58"/>
      <c r="Z33" s="58"/>
      <c r="AA33" s="58"/>
      <c r="AB33" s="58"/>
      <c r="AC33" s="58"/>
      <c r="AD33" s="58"/>
      <c r="AE33" s="58"/>
      <c r="AF33" s="58"/>
      <c r="AG33" s="58"/>
      <c r="AH33" s="61"/>
      <c r="AI33" s="61"/>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row>
    <row r="34" spans="1:200" x14ac:dyDescent="0.25">
      <c r="A34" s="22">
        <f t="shared" si="4"/>
        <v>20</v>
      </c>
      <c r="B34" s="24">
        <f t="shared" si="5"/>
        <v>100000</v>
      </c>
      <c r="C34" s="22">
        <v>0</v>
      </c>
      <c r="D34" s="56">
        <f t="shared" ca="1" si="6"/>
        <v>100000</v>
      </c>
      <c r="E34" s="56">
        <f t="shared" si="1"/>
        <v>0</v>
      </c>
      <c r="F34" s="60">
        <f t="shared" ca="1" si="2"/>
        <v>0</v>
      </c>
      <c r="G34" s="56">
        <f t="shared" ca="1" si="7"/>
        <v>2990</v>
      </c>
      <c r="H34" s="56">
        <f t="shared" ca="1" si="8"/>
        <v>4610</v>
      </c>
      <c r="I34" s="56">
        <v>0</v>
      </c>
      <c r="J34" s="56">
        <f t="shared" ca="1" si="3"/>
        <v>1517.1822271842209</v>
      </c>
      <c r="K34" s="56">
        <f t="shared" ca="1" si="9"/>
        <v>9117.1822271842211</v>
      </c>
      <c r="L34" s="58"/>
      <c r="M34" s="58"/>
      <c r="N34" s="58"/>
      <c r="O34" s="58"/>
      <c r="P34" s="58"/>
      <c r="Q34" s="58"/>
      <c r="R34" s="58"/>
      <c r="S34" s="58"/>
      <c r="T34" s="58"/>
      <c r="U34" s="58"/>
      <c r="V34" s="58"/>
      <c r="W34" s="58"/>
      <c r="X34" s="58"/>
      <c r="Y34" s="58"/>
      <c r="Z34" s="58"/>
      <c r="AA34" s="58"/>
      <c r="AB34" s="58"/>
      <c r="AC34" s="58"/>
      <c r="AD34" s="58"/>
      <c r="AE34" s="58"/>
      <c r="AF34" s="58"/>
      <c r="AG34" s="58"/>
      <c r="AH34" s="61"/>
      <c r="AI34" s="61"/>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row>
    <row r="35" spans="1:200" x14ac:dyDescent="0.25">
      <c r="A35" s="22">
        <f t="shared" si="4"/>
        <v>21</v>
      </c>
      <c r="B35" s="24">
        <f t="shared" si="5"/>
        <v>100000</v>
      </c>
      <c r="C35" s="22">
        <v>0</v>
      </c>
      <c r="D35" s="56">
        <f t="shared" ca="1" si="6"/>
        <v>100000</v>
      </c>
      <c r="E35" s="56">
        <f t="shared" si="1"/>
        <v>0</v>
      </c>
      <c r="F35" s="60">
        <f t="shared" ca="1" si="2"/>
        <v>0</v>
      </c>
      <c r="G35" s="56">
        <f t="shared" ca="1" si="7"/>
        <v>2990</v>
      </c>
      <c r="H35" s="56">
        <f t="shared" ca="1" si="8"/>
        <v>4610</v>
      </c>
      <c r="I35" s="56">
        <v>0</v>
      </c>
      <c r="J35" s="56">
        <f t="shared" ca="1" si="3"/>
        <v>1517.1822271842209</v>
      </c>
      <c r="K35" s="56">
        <f t="shared" ca="1" si="9"/>
        <v>9117.1822271842211</v>
      </c>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row>
    <row r="36" spans="1:200" x14ac:dyDescent="0.25">
      <c r="A36" s="22">
        <f t="shared" si="4"/>
        <v>22</v>
      </c>
      <c r="B36" s="24">
        <f t="shared" si="5"/>
        <v>100000</v>
      </c>
      <c r="C36" s="22">
        <v>0</v>
      </c>
      <c r="D36" s="56">
        <f t="shared" ca="1" si="6"/>
        <v>100000</v>
      </c>
      <c r="E36" s="56">
        <f t="shared" si="1"/>
        <v>0</v>
      </c>
      <c r="F36" s="60">
        <f t="shared" ca="1" si="2"/>
        <v>0</v>
      </c>
      <c r="G36" s="56">
        <f t="shared" ca="1" si="7"/>
        <v>2990</v>
      </c>
      <c r="H36" s="56">
        <f t="shared" ca="1" si="8"/>
        <v>4610</v>
      </c>
      <c r="I36" s="56">
        <v>0</v>
      </c>
      <c r="J36" s="56">
        <f t="shared" ca="1" si="3"/>
        <v>1517.1822271842209</v>
      </c>
      <c r="K36" s="56">
        <f t="shared" ca="1" si="9"/>
        <v>9117.1822271842211</v>
      </c>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row>
    <row r="37" spans="1:200" x14ac:dyDescent="0.25">
      <c r="A37" s="22">
        <f t="shared" si="4"/>
        <v>23</v>
      </c>
      <c r="B37" s="24">
        <f t="shared" si="5"/>
        <v>100000</v>
      </c>
      <c r="C37" s="22">
        <v>0</v>
      </c>
      <c r="D37" s="56">
        <f t="shared" ca="1" si="6"/>
        <v>100000</v>
      </c>
      <c r="E37" s="56">
        <f t="shared" si="1"/>
        <v>0</v>
      </c>
      <c r="F37" s="60">
        <f t="shared" ca="1" si="2"/>
        <v>0</v>
      </c>
      <c r="G37" s="56">
        <f t="shared" ca="1" si="7"/>
        <v>2990</v>
      </c>
      <c r="H37" s="56">
        <f t="shared" ca="1" si="8"/>
        <v>4610</v>
      </c>
      <c r="I37" s="56">
        <v>0</v>
      </c>
      <c r="J37" s="56">
        <f t="shared" ca="1" si="3"/>
        <v>1517.1822271842209</v>
      </c>
      <c r="K37" s="56">
        <f t="shared" ca="1" si="9"/>
        <v>9117.1822271842211</v>
      </c>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row>
    <row r="38" spans="1:200" x14ac:dyDescent="0.25">
      <c r="A38" s="22">
        <f t="shared" si="4"/>
        <v>24</v>
      </c>
      <c r="B38" s="24">
        <f t="shared" si="5"/>
        <v>100000</v>
      </c>
      <c r="C38" s="22">
        <v>0</v>
      </c>
      <c r="D38" s="56">
        <f t="shared" ca="1" si="6"/>
        <v>100000</v>
      </c>
      <c r="E38" s="56">
        <f t="shared" si="1"/>
        <v>0</v>
      </c>
      <c r="F38" s="60">
        <f t="shared" ca="1" si="2"/>
        <v>0</v>
      </c>
      <c r="G38" s="56">
        <f t="shared" ca="1" si="7"/>
        <v>2990</v>
      </c>
      <c r="H38" s="56">
        <f t="shared" ca="1" si="8"/>
        <v>4610</v>
      </c>
      <c r="I38" s="56">
        <v>0</v>
      </c>
      <c r="J38" s="56">
        <f t="shared" ca="1" si="3"/>
        <v>1517.1822271842209</v>
      </c>
      <c r="K38" s="56">
        <f t="shared" ca="1" si="9"/>
        <v>9117.1822271842211</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row>
    <row r="39" spans="1:200" x14ac:dyDescent="0.25">
      <c r="A39" s="22">
        <f t="shared" si="4"/>
        <v>25</v>
      </c>
      <c r="B39" s="24">
        <f t="shared" si="5"/>
        <v>100000</v>
      </c>
      <c r="C39" s="22">
        <v>0</v>
      </c>
      <c r="D39" s="56">
        <f t="shared" ca="1" si="6"/>
        <v>100000</v>
      </c>
      <c r="E39" s="56">
        <f t="shared" si="1"/>
        <v>0</v>
      </c>
      <c r="F39" s="60">
        <f t="shared" ca="1" si="2"/>
        <v>0</v>
      </c>
      <c r="G39" s="56">
        <f t="shared" ca="1" si="7"/>
        <v>2990</v>
      </c>
      <c r="H39" s="56">
        <f t="shared" ca="1" si="8"/>
        <v>4610</v>
      </c>
      <c r="I39" s="56">
        <v>0</v>
      </c>
      <c r="J39" s="56">
        <f t="shared" ca="1" si="3"/>
        <v>1517.1822271842209</v>
      </c>
      <c r="K39" s="56">
        <f t="shared" ca="1" si="9"/>
        <v>9117.1822271842211</v>
      </c>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row>
    <row r="40" spans="1:200" x14ac:dyDescent="0.25">
      <c r="A40" s="22">
        <f t="shared" si="4"/>
        <v>26</v>
      </c>
      <c r="B40" s="24">
        <f t="shared" si="5"/>
        <v>100000</v>
      </c>
      <c r="C40" s="22">
        <v>0</v>
      </c>
      <c r="D40" s="56">
        <f t="shared" ca="1" si="6"/>
        <v>100000</v>
      </c>
      <c r="E40" s="56">
        <f t="shared" si="1"/>
        <v>0</v>
      </c>
      <c r="F40" s="60">
        <f t="shared" ca="1" si="2"/>
        <v>0</v>
      </c>
      <c r="G40" s="56">
        <f t="shared" ca="1" si="7"/>
        <v>2990</v>
      </c>
      <c r="H40" s="56">
        <f t="shared" ca="1" si="8"/>
        <v>4610</v>
      </c>
      <c r="I40" s="56">
        <v>0</v>
      </c>
      <c r="J40" s="56">
        <f t="shared" ca="1" si="3"/>
        <v>1517.1822271842209</v>
      </c>
      <c r="K40" s="56">
        <f t="shared" ca="1" si="9"/>
        <v>9117.1822271842211</v>
      </c>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row>
    <row r="41" spans="1:200" x14ac:dyDescent="0.25">
      <c r="A41" s="22">
        <f t="shared" si="4"/>
        <v>27</v>
      </c>
      <c r="B41" s="24">
        <f t="shared" si="5"/>
        <v>100000</v>
      </c>
      <c r="C41" s="22">
        <v>0</v>
      </c>
      <c r="D41" s="56">
        <f t="shared" ca="1" si="6"/>
        <v>100000</v>
      </c>
      <c r="E41" s="56">
        <f t="shared" si="1"/>
        <v>0</v>
      </c>
      <c r="F41" s="60">
        <f t="shared" ca="1" si="2"/>
        <v>0</v>
      </c>
      <c r="G41" s="56">
        <f t="shared" ca="1" si="7"/>
        <v>2990</v>
      </c>
      <c r="H41" s="56">
        <f t="shared" ca="1" si="8"/>
        <v>4610</v>
      </c>
      <c r="I41" s="56">
        <v>0</v>
      </c>
      <c r="J41" s="56">
        <f t="shared" ca="1" si="3"/>
        <v>1517.1822271842209</v>
      </c>
      <c r="K41" s="56">
        <f t="shared" ca="1" si="9"/>
        <v>9117.1822271842211</v>
      </c>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row>
    <row r="42" spans="1:200" x14ac:dyDescent="0.25">
      <c r="A42" s="22">
        <f t="shared" si="4"/>
        <v>28</v>
      </c>
      <c r="B42" s="24">
        <f t="shared" si="5"/>
        <v>100000</v>
      </c>
      <c r="C42" s="22">
        <v>0</v>
      </c>
      <c r="D42" s="56">
        <f t="shared" ca="1" si="6"/>
        <v>100000</v>
      </c>
      <c r="E42" s="56">
        <f t="shared" si="1"/>
        <v>0</v>
      </c>
      <c r="F42" s="60">
        <f t="shared" ca="1" si="2"/>
        <v>0</v>
      </c>
      <c r="G42" s="56">
        <f t="shared" ca="1" si="7"/>
        <v>2990</v>
      </c>
      <c r="H42" s="56">
        <f t="shared" ca="1" si="8"/>
        <v>4610</v>
      </c>
      <c r="I42" s="56">
        <v>0</v>
      </c>
      <c r="J42" s="56">
        <f t="shared" ca="1" si="3"/>
        <v>1517.1822271842209</v>
      </c>
      <c r="K42" s="56">
        <f t="shared" ca="1" si="9"/>
        <v>9117.1822271842211</v>
      </c>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row>
    <row r="43" spans="1:200" x14ac:dyDescent="0.25">
      <c r="A43" s="22">
        <f t="shared" si="4"/>
        <v>29</v>
      </c>
      <c r="B43" s="24">
        <f t="shared" si="5"/>
        <v>100000</v>
      </c>
      <c r="C43" s="22">
        <v>0</v>
      </c>
      <c r="D43" s="56">
        <f t="shared" ca="1" si="6"/>
        <v>100000</v>
      </c>
      <c r="E43" s="56">
        <f t="shared" si="1"/>
        <v>0</v>
      </c>
      <c r="F43" s="60">
        <f t="shared" ca="1" si="2"/>
        <v>0</v>
      </c>
      <c r="G43" s="56">
        <f t="shared" ca="1" si="7"/>
        <v>2990</v>
      </c>
      <c r="H43" s="56">
        <f t="shared" ca="1" si="8"/>
        <v>4610</v>
      </c>
      <c r="I43" s="56">
        <v>0</v>
      </c>
      <c r="J43" s="56">
        <f t="shared" ca="1" si="3"/>
        <v>1517.1822271842209</v>
      </c>
      <c r="K43" s="56">
        <f t="shared" ca="1" si="9"/>
        <v>9117.1822271842211</v>
      </c>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row>
    <row r="44" spans="1:200" x14ac:dyDescent="0.25">
      <c r="A44" s="22">
        <f t="shared" si="4"/>
        <v>30</v>
      </c>
      <c r="B44" s="24">
        <f t="shared" si="5"/>
        <v>100000</v>
      </c>
      <c r="C44" s="22">
        <v>0</v>
      </c>
      <c r="D44" s="56">
        <f t="shared" ca="1" si="6"/>
        <v>100000</v>
      </c>
      <c r="E44" s="56">
        <f t="shared" si="1"/>
        <v>0</v>
      </c>
      <c r="F44" s="60">
        <f t="shared" ca="1" si="2"/>
        <v>0</v>
      </c>
      <c r="G44" s="56">
        <f t="shared" ca="1" si="7"/>
        <v>2990</v>
      </c>
      <c r="H44" s="56">
        <f t="shared" ca="1" si="8"/>
        <v>4610</v>
      </c>
      <c r="I44" s="56">
        <v>0</v>
      </c>
      <c r="J44" s="56">
        <f t="shared" ca="1" si="3"/>
        <v>1517.1822271842209</v>
      </c>
      <c r="K44" s="56">
        <f t="shared" ca="1" si="9"/>
        <v>9117.1822271842211</v>
      </c>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row>
    <row r="45" spans="1:200" x14ac:dyDescent="0.25">
      <c r="A45" s="22">
        <f t="shared" si="4"/>
        <v>31</v>
      </c>
      <c r="B45" s="24">
        <f t="shared" si="5"/>
        <v>100000</v>
      </c>
      <c r="C45" s="22">
        <v>0</v>
      </c>
      <c r="D45" s="56">
        <f t="shared" ca="1" si="6"/>
        <v>100000</v>
      </c>
      <c r="E45" s="56">
        <f t="shared" si="1"/>
        <v>0</v>
      </c>
      <c r="F45" s="60">
        <f t="shared" ca="1" si="2"/>
        <v>0</v>
      </c>
      <c r="G45" s="56">
        <f t="shared" ca="1" si="7"/>
        <v>2990</v>
      </c>
      <c r="H45" s="56">
        <f t="shared" ca="1" si="8"/>
        <v>4610</v>
      </c>
      <c r="I45" s="56">
        <v>0</v>
      </c>
      <c r="J45" s="56">
        <f t="shared" ca="1" si="3"/>
        <v>1517.1822271842209</v>
      </c>
      <c r="K45" s="56">
        <f t="shared" ca="1" si="9"/>
        <v>9117.1822271842211</v>
      </c>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row>
    <row r="46" spans="1:200" x14ac:dyDescent="0.25">
      <c r="A46" s="22">
        <f t="shared" si="4"/>
        <v>32</v>
      </c>
      <c r="B46" s="24">
        <f t="shared" si="5"/>
        <v>100000</v>
      </c>
      <c r="C46" s="22">
        <v>0</v>
      </c>
      <c r="D46" s="56">
        <f t="shared" ca="1" si="6"/>
        <v>100000</v>
      </c>
      <c r="E46" s="56">
        <f t="shared" si="1"/>
        <v>0</v>
      </c>
      <c r="F46" s="60">
        <f t="shared" ca="1" si="2"/>
        <v>0</v>
      </c>
      <c r="G46" s="56">
        <f t="shared" ca="1" si="7"/>
        <v>2990</v>
      </c>
      <c r="H46" s="56">
        <f t="shared" ca="1" si="8"/>
        <v>4610</v>
      </c>
      <c r="I46" s="56">
        <v>0</v>
      </c>
      <c r="J46" s="56">
        <f t="shared" ca="1" si="3"/>
        <v>1517.1822271842209</v>
      </c>
      <c r="K46" s="56">
        <f t="shared" ca="1" si="9"/>
        <v>9117.1822271842211</v>
      </c>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row>
    <row r="47" spans="1:200" x14ac:dyDescent="0.25">
      <c r="A47" s="22">
        <f t="shared" si="4"/>
        <v>33</v>
      </c>
      <c r="B47" s="24">
        <f t="shared" si="5"/>
        <v>100000</v>
      </c>
      <c r="C47" s="22">
        <v>0</v>
      </c>
      <c r="D47" s="56">
        <f t="shared" ca="1" si="6"/>
        <v>100000</v>
      </c>
      <c r="E47" s="56">
        <f t="shared" si="1"/>
        <v>0</v>
      </c>
      <c r="F47" s="60">
        <f t="shared" ca="1" si="2"/>
        <v>0</v>
      </c>
      <c r="G47" s="56">
        <f t="shared" ca="1" si="7"/>
        <v>2990</v>
      </c>
      <c r="H47" s="56">
        <f t="shared" ca="1" si="8"/>
        <v>4610</v>
      </c>
      <c r="I47" s="56">
        <v>0</v>
      </c>
      <c r="J47" s="56">
        <f t="shared" ca="1" si="3"/>
        <v>1517.1822271842209</v>
      </c>
      <c r="K47" s="56">
        <f t="shared" ca="1" si="9"/>
        <v>9117.1822271842211</v>
      </c>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row>
    <row r="48" spans="1:200" x14ac:dyDescent="0.25">
      <c r="A48" s="22">
        <f t="shared" si="4"/>
        <v>34</v>
      </c>
      <c r="B48" s="24">
        <f t="shared" si="5"/>
        <v>100000</v>
      </c>
      <c r="C48" s="22">
        <v>0</v>
      </c>
      <c r="D48" s="56">
        <f t="shared" ca="1" si="6"/>
        <v>100000</v>
      </c>
      <c r="E48" s="56">
        <f t="shared" si="1"/>
        <v>0</v>
      </c>
      <c r="F48" s="60">
        <f t="shared" ca="1" si="2"/>
        <v>0</v>
      </c>
      <c r="G48" s="56">
        <f t="shared" ref="G48:G64" ca="1" si="10">L$4*D48</f>
        <v>2990</v>
      </c>
      <c r="H48" s="56">
        <f t="shared" ref="H48:H64" ca="1" si="11">D48*(L$5+L$6)</f>
        <v>4610</v>
      </c>
      <c r="I48" s="56">
        <v>0</v>
      </c>
      <c r="J48" s="56">
        <f t="shared" ca="1" si="3"/>
        <v>1517.1822271842209</v>
      </c>
      <c r="K48" s="56">
        <f t="shared" ca="1" si="9"/>
        <v>9117.1822271842211</v>
      </c>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row>
    <row r="49" spans="1:200" x14ac:dyDescent="0.25">
      <c r="A49" s="22">
        <f t="shared" si="4"/>
        <v>35</v>
      </c>
      <c r="B49" s="24">
        <f t="shared" si="5"/>
        <v>100000</v>
      </c>
      <c r="C49" s="22">
        <v>0</v>
      </c>
      <c r="D49" s="56">
        <f t="shared" ca="1" si="6"/>
        <v>100000</v>
      </c>
      <c r="E49" s="56">
        <f t="shared" si="1"/>
        <v>0</v>
      </c>
      <c r="F49" s="60">
        <f t="shared" ca="1" si="2"/>
        <v>0</v>
      </c>
      <c r="G49" s="56">
        <f t="shared" ca="1" si="10"/>
        <v>2990</v>
      </c>
      <c r="H49" s="56">
        <f t="shared" ca="1" si="11"/>
        <v>4610</v>
      </c>
      <c r="I49" s="56">
        <v>0</v>
      </c>
      <c r="J49" s="56">
        <f t="shared" ca="1" si="3"/>
        <v>1517.1822271842209</v>
      </c>
      <c r="K49" s="56">
        <f t="shared" ca="1" si="9"/>
        <v>9117.1822271842211</v>
      </c>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row>
    <row r="50" spans="1:200" x14ac:dyDescent="0.25">
      <c r="A50" s="22">
        <f t="shared" si="4"/>
        <v>36</v>
      </c>
      <c r="B50" s="24">
        <f t="shared" si="5"/>
        <v>100000</v>
      </c>
      <c r="C50" s="22">
        <v>0</v>
      </c>
      <c r="D50" s="56">
        <f t="shared" ca="1" si="6"/>
        <v>100000</v>
      </c>
      <c r="E50" s="56">
        <f t="shared" si="1"/>
        <v>0</v>
      </c>
      <c r="F50" s="60">
        <f t="shared" ca="1" si="2"/>
        <v>0</v>
      </c>
      <c r="G50" s="56">
        <f t="shared" ca="1" si="10"/>
        <v>2990</v>
      </c>
      <c r="H50" s="56">
        <f t="shared" ca="1" si="11"/>
        <v>4610</v>
      </c>
      <c r="I50" s="56">
        <v>0</v>
      </c>
      <c r="J50" s="56">
        <f t="shared" ca="1" si="3"/>
        <v>1517.1822271842209</v>
      </c>
      <c r="K50" s="56">
        <f t="shared" ca="1" si="9"/>
        <v>9117.1822271842211</v>
      </c>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row>
    <row r="51" spans="1:200" x14ac:dyDescent="0.25">
      <c r="A51" s="22">
        <f t="shared" si="4"/>
        <v>37</v>
      </c>
      <c r="B51" s="24">
        <f t="shared" si="5"/>
        <v>100000</v>
      </c>
      <c r="C51" s="22">
        <v>0</v>
      </c>
      <c r="D51" s="56">
        <f t="shared" ca="1" si="6"/>
        <v>100000</v>
      </c>
      <c r="E51" s="56">
        <f t="shared" si="1"/>
        <v>0</v>
      </c>
      <c r="F51" s="60">
        <f t="shared" ca="1" si="2"/>
        <v>0</v>
      </c>
      <c r="G51" s="56">
        <f t="shared" ca="1" si="10"/>
        <v>2990</v>
      </c>
      <c r="H51" s="56">
        <f t="shared" ca="1" si="11"/>
        <v>4610</v>
      </c>
      <c r="I51" s="56">
        <v>0</v>
      </c>
      <c r="J51" s="56">
        <f t="shared" ca="1" si="3"/>
        <v>1517.1822271842209</v>
      </c>
      <c r="K51" s="56">
        <f t="shared" ca="1" si="9"/>
        <v>9117.1822271842211</v>
      </c>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row>
    <row r="52" spans="1:200" x14ac:dyDescent="0.25">
      <c r="A52" s="22">
        <f t="shared" si="4"/>
        <v>38</v>
      </c>
      <c r="B52" s="24">
        <f t="shared" si="5"/>
        <v>100000</v>
      </c>
      <c r="C52" s="22">
        <v>0</v>
      </c>
      <c r="D52" s="56">
        <f t="shared" ca="1" si="6"/>
        <v>100000</v>
      </c>
      <c r="E52" s="56">
        <f t="shared" si="1"/>
        <v>0</v>
      </c>
      <c r="F52" s="60">
        <f t="shared" ca="1" si="2"/>
        <v>0</v>
      </c>
      <c r="G52" s="56">
        <f t="shared" ca="1" si="10"/>
        <v>2990</v>
      </c>
      <c r="H52" s="56">
        <f t="shared" ca="1" si="11"/>
        <v>4610</v>
      </c>
      <c r="I52" s="56">
        <v>0</v>
      </c>
      <c r="J52" s="56">
        <f t="shared" ca="1" si="3"/>
        <v>1517.1822271842209</v>
      </c>
      <c r="K52" s="56">
        <f t="shared" ca="1" si="9"/>
        <v>9117.1822271842211</v>
      </c>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row>
    <row r="53" spans="1:200" x14ac:dyDescent="0.25">
      <c r="A53" s="22">
        <f t="shared" si="4"/>
        <v>39</v>
      </c>
      <c r="B53" s="24">
        <f t="shared" si="5"/>
        <v>100000</v>
      </c>
      <c r="C53" s="22">
        <v>0</v>
      </c>
      <c r="D53" s="56">
        <f t="shared" ca="1" si="6"/>
        <v>100000</v>
      </c>
      <c r="E53" s="56">
        <f t="shared" si="1"/>
        <v>0</v>
      </c>
      <c r="F53" s="60">
        <f t="shared" ca="1" si="2"/>
        <v>0</v>
      </c>
      <c r="G53" s="56">
        <f t="shared" ca="1" si="10"/>
        <v>2990</v>
      </c>
      <c r="H53" s="56">
        <f t="shared" ca="1" si="11"/>
        <v>4610</v>
      </c>
      <c r="I53" s="56">
        <v>0</v>
      </c>
      <c r="J53" s="56">
        <f t="shared" ca="1" si="3"/>
        <v>1517.1822271842209</v>
      </c>
      <c r="K53" s="56">
        <f t="shared" ca="1" si="9"/>
        <v>9117.1822271842211</v>
      </c>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row>
    <row r="54" spans="1:200" x14ac:dyDescent="0.25">
      <c r="A54" s="22">
        <f t="shared" si="4"/>
        <v>40</v>
      </c>
      <c r="B54" s="24">
        <f t="shared" ref="B54:B58" si="12">B53-I53</f>
        <v>100000</v>
      </c>
      <c r="C54" s="22">
        <v>0</v>
      </c>
      <c r="D54" s="56">
        <f t="shared" ref="D54:D58" ca="1" si="13">D53-F53-I53</f>
        <v>100000</v>
      </c>
      <c r="E54" s="56">
        <f t="shared" si="1"/>
        <v>0</v>
      </c>
      <c r="F54" s="60">
        <f t="shared" ca="1" si="2"/>
        <v>0</v>
      </c>
      <c r="G54" s="56">
        <f t="shared" ca="1" si="10"/>
        <v>2990</v>
      </c>
      <c r="H54" s="56">
        <f t="shared" ca="1" si="11"/>
        <v>4610</v>
      </c>
      <c r="I54" s="56">
        <v>0</v>
      </c>
      <c r="J54" s="56">
        <f t="shared" ca="1" si="3"/>
        <v>1517.1822271842209</v>
      </c>
      <c r="K54" s="56">
        <f t="shared" ca="1" si="9"/>
        <v>9117.1822271842211</v>
      </c>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row>
    <row r="55" spans="1:200" x14ac:dyDescent="0.25">
      <c r="A55" s="22">
        <f t="shared" si="4"/>
        <v>41</v>
      </c>
      <c r="B55" s="24">
        <f t="shared" si="12"/>
        <v>100000</v>
      </c>
      <c r="C55" s="22">
        <v>0</v>
      </c>
      <c r="D55" s="56">
        <f t="shared" ca="1" si="13"/>
        <v>100000</v>
      </c>
      <c r="E55" s="56">
        <f t="shared" si="1"/>
        <v>0</v>
      </c>
      <c r="F55" s="60">
        <f t="shared" ca="1" si="2"/>
        <v>0</v>
      </c>
      <c r="G55" s="56">
        <f t="shared" ca="1" si="10"/>
        <v>2990</v>
      </c>
      <c r="H55" s="56">
        <f t="shared" ca="1" si="11"/>
        <v>4610</v>
      </c>
      <c r="I55" s="56">
        <v>0</v>
      </c>
      <c r="J55" s="56">
        <f t="shared" ca="1" si="3"/>
        <v>1517.1822271842209</v>
      </c>
      <c r="K55" s="56">
        <f t="shared" ca="1" si="9"/>
        <v>9117.1822271842211</v>
      </c>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row>
    <row r="56" spans="1:200" x14ac:dyDescent="0.25">
      <c r="A56" s="22">
        <f t="shared" si="4"/>
        <v>42</v>
      </c>
      <c r="B56" s="24">
        <f t="shared" si="12"/>
        <v>100000</v>
      </c>
      <c r="C56" s="22">
        <v>0</v>
      </c>
      <c r="D56" s="56">
        <f t="shared" ca="1" si="13"/>
        <v>100000</v>
      </c>
      <c r="E56" s="56">
        <f t="shared" si="1"/>
        <v>0</v>
      </c>
      <c r="F56" s="60">
        <f t="shared" ca="1" si="2"/>
        <v>0</v>
      </c>
      <c r="G56" s="56">
        <f t="shared" ca="1" si="10"/>
        <v>2990</v>
      </c>
      <c r="H56" s="56">
        <f t="shared" ca="1" si="11"/>
        <v>4610</v>
      </c>
      <c r="I56" s="56">
        <v>0</v>
      </c>
      <c r="J56" s="56">
        <f t="shared" ca="1" si="3"/>
        <v>1517.1822271842209</v>
      </c>
      <c r="K56" s="56">
        <f t="shared" ca="1" si="9"/>
        <v>9117.1822271842211</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row>
    <row r="57" spans="1:200" x14ac:dyDescent="0.25">
      <c r="A57" s="22">
        <f t="shared" si="4"/>
        <v>43</v>
      </c>
      <c r="B57" s="24">
        <f t="shared" si="12"/>
        <v>100000</v>
      </c>
      <c r="C57" s="22">
        <v>0</v>
      </c>
      <c r="D57" s="56">
        <f t="shared" ca="1" si="13"/>
        <v>100000</v>
      </c>
      <c r="E57" s="56">
        <f t="shared" si="1"/>
        <v>0</v>
      </c>
      <c r="F57" s="60">
        <f t="shared" ca="1" si="2"/>
        <v>0</v>
      </c>
      <c r="G57" s="56">
        <f t="shared" ca="1" si="10"/>
        <v>2990</v>
      </c>
      <c r="H57" s="56">
        <f t="shared" ca="1" si="11"/>
        <v>4610</v>
      </c>
      <c r="I57" s="56">
        <v>0</v>
      </c>
      <c r="J57" s="56">
        <f t="shared" ca="1" si="3"/>
        <v>1517.1822271842209</v>
      </c>
      <c r="K57" s="56">
        <f t="shared" ca="1" si="9"/>
        <v>9117.1822271842211</v>
      </c>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row>
    <row r="58" spans="1:200" x14ac:dyDescent="0.25">
      <c r="A58" s="22">
        <f t="shared" si="4"/>
        <v>44</v>
      </c>
      <c r="B58" s="24">
        <f t="shared" si="12"/>
        <v>100000</v>
      </c>
      <c r="C58" s="74">
        <v>0</v>
      </c>
      <c r="D58" s="56">
        <f t="shared" ca="1" si="13"/>
        <v>100000</v>
      </c>
      <c r="E58" s="56">
        <f t="shared" si="1"/>
        <v>0</v>
      </c>
      <c r="F58" s="60">
        <f t="shared" ca="1" si="2"/>
        <v>0</v>
      </c>
      <c r="G58" s="56">
        <f t="shared" ca="1" si="10"/>
        <v>2990</v>
      </c>
      <c r="H58" s="56">
        <f t="shared" ca="1" si="11"/>
        <v>4610</v>
      </c>
      <c r="I58" s="56">
        <v>0</v>
      </c>
      <c r="J58" s="56">
        <f t="shared" ca="1" si="3"/>
        <v>1517.1822271842209</v>
      </c>
      <c r="K58" s="56">
        <f t="shared" ca="1" si="9"/>
        <v>9117.1822271842211</v>
      </c>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row>
    <row r="59" spans="1:200" x14ac:dyDescent="0.25">
      <c r="A59" s="74">
        <f t="shared" si="4"/>
        <v>45</v>
      </c>
      <c r="B59" s="24">
        <f t="shared" ref="B59:B63" si="14">B58-I58</f>
        <v>100000</v>
      </c>
      <c r="C59" s="74">
        <v>0</v>
      </c>
      <c r="D59" s="56">
        <f t="shared" ref="D59:D63" ca="1" si="15">D58-F58-I58</f>
        <v>100000</v>
      </c>
      <c r="E59" s="56">
        <f t="shared" ref="E59:E63" si="16">E$11*C59</f>
        <v>0</v>
      </c>
      <c r="F59" s="60">
        <f t="shared" ref="F59:F63" ca="1" si="17">$I$12*(E59-I59*E$11/E$10)</f>
        <v>0</v>
      </c>
      <c r="G59" s="56">
        <f t="shared" ca="1" si="10"/>
        <v>2990</v>
      </c>
      <c r="H59" s="56">
        <f t="shared" ca="1" si="11"/>
        <v>4610</v>
      </c>
      <c r="I59" s="56">
        <v>0</v>
      </c>
      <c r="J59" s="56">
        <f t="shared" ref="J59:J63" ca="1" si="18">(I$11/(1-I$11))*(H59+I59-E59+F59)</f>
        <v>1517.1822271842209</v>
      </c>
      <c r="K59" s="56">
        <f t="shared" ref="K59:K63" ca="1" si="19">F59+G59+H59+I59+J59</f>
        <v>9117.1822271842211</v>
      </c>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row>
    <row r="60" spans="1:200" x14ac:dyDescent="0.25">
      <c r="A60" s="74">
        <f t="shared" si="4"/>
        <v>46</v>
      </c>
      <c r="B60" s="24">
        <f t="shared" si="14"/>
        <v>100000</v>
      </c>
      <c r="C60" s="74">
        <v>0</v>
      </c>
      <c r="D60" s="56">
        <f t="shared" ca="1" si="15"/>
        <v>100000</v>
      </c>
      <c r="E60" s="56">
        <f t="shared" si="16"/>
        <v>0</v>
      </c>
      <c r="F60" s="60">
        <f t="shared" ca="1" si="17"/>
        <v>0</v>
      </c>
      <c r="G60" s="56">
        <f t="shared" ca="1" si="10"/>
        <v>2990</v>
      </c>
      <c r="H60" s="56">
        <f t="shared" ca="1" si="11"/>
        <v>4610</v>
      </c>
      <c r="I60" s="56">
        <v>0</v>
      </c>
      <c r="J60" s="56">
        <f t="shared" ca="1" si="18"/>
        <v>1517.1822271842209</v>
      </c>
      <c r="K60" s="56">
        <f t="shared" ca="1" si="19"/>
        <v>9117.1822271842211</v>
      </c>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row>
    <row r="61" spans="1:200" x14ac:dyDescent="0.25">
      <c r="A61" s="74">
        <f t="shared" si="4"/>
        <v>47</v>
      </c>
      <c r="B61" s="24">
        <f t="shared" si="14"/>
        <v>100000</v>
      </c>
      <c r="C61" s="74">
        <v>0</v>
      </c>
      <c r="D61" s="56">
        <f t="shared" ca="1" si="15"/>
        <v>100000</v>
      </c>
      <c r="E61" s="56">
        <f t="shared" si="16"/>
        <v>0</v>
      </c>
      <c r="F61" s="60">
        <f t="shared" ca="1" si="17"/>
        <v>0</v>
      </c>
      <c r="G61" s="56">
        <f t="shared" ca="1" si="10"/>
        <v>2990</v>
      </c>
      <c r="H61" s="56">
        <f t="shared" ca="1" si="11"/>
        <v>4610</v>
      </c>
      <c r="I61" s="56">
        <v>0</v>
      </c>
      <c r="J61" s="56">
        <f t="shared" ca="1" si="18"/>
        <v>1517.1822271842209</v>
      </c>
      <c r="K61" s="56">
        <f t="shared" ca="1" si="19"/>
        <v>9117.1822271842211</v>
      </c>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row>
    <row r="62" spans="1:200" x14ac:dyDescent="0.25">
      <c r="A62" s="74">
        <f t="shared" si="4"/>
        <v>48</v>
      </c>
      <c r="B62" s="24">
        <f t="shared" si="14"/>
        <v>100000</v>
      </c>
      <c r="C62" s="74">
        <v>0</v>
      </c>
      <c r="D62" s="56">
        <f t="shared" ca="1" si="15"/>
        <v>100000</v>
      </c>
      <c r="E62" s="56">
        <f t="shared" si="16"/>
        <v>0</v>
      </c>
      <c r="F62" s="60">
        <f t="shared" ca="1" si="17"/>
        <v>0</v>
      </c>
      <c r="G62" s="56">
        <f t="shared" ca="1" si="10"/>
        <v>2990</v>
      </c>
      <c r="H62" s="56">
        <f t="shared" ca="1" si="11"/>
        <v>4610</v>
      </c>
      <c r="I62" s="56">
        <v>0</v>
      </c>
      <c r="J62" s="56">
        <f t="shared" ca="1" si="18"/>
        <v>1517.1822271842209</v>
      </c>
      <c r="K62" s="56">
        <f t="shared" ca="1" si="19"/>
        <v>9117.1822271842211</v>
      </c>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row>
    <row r="63" spans="1:200" x14ac:dyDescent="0.25">
      <c r="A63" s="74">
        <f t="shared" si="4"/>
        <v>49</v>
      </c>
      <c r="B63" s="24">
        <f t="shared" si="14"/>
        <v>100000</v>
      </c>
      <c r="C63" s="74">
        <v>0</v>
      </c>
      <c r="D63" s="56">
        <f t="shared" ca="1" si="15"/>
        <v>100000</v>
      </c>
      <c r="E63" s="56">
        <f t="shared" si="16"/>
        <v>0</v>
      </c>
      <c r="F63" s="60">
        <f t="shared" ca="1" si="17"/>
        <v>0</v>
      </c>
      <c r="G63" s="56">
        <f t="shared" ca="1" si="10"/>
        <v>2990</v>
      </c>
      <c r="H63" s="56">
        <f t="shared" ca="1" si="11"/>
        <v>4610</v>
      </c>
      <c r="I63" s="56">
        <v>0</v>
      </c>
      <c r="J63" s="56">
        <f t="shared" ca="1" si="18"/>
        <v>1517.1822271842209</v>
      </c>
      <c r="K63" s="56">
        <f t="shared" ca="1" si="19"/>
        <v>9117.1822271842211</v>
      </c>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row>
    <row r="64" spans="1:200" x14ac:dyDescent="0.25">
      <c r="A64" s="74">
        <f t="shared" si="4"/>
        <v>50</v>
      </c>
      <c r="B64" s="24">
        <f t="shared" ref="B64" si="20">B63-I63</f>
        <v>100000</v>
      </c>
      <c r="C64" s="74">
        <v>0</v>
      </c>
      <c r="D64" s="56">
        <f t="shared" ref="D64" ca="1" si="21">D63-F63-I63</f>
        <v>100000</v>
      </c>
      <c r="E64" s="56">
        <f t="shared" ref="E64" si="22">E$11*C64</f>
        <v>0</v>
      </c>
      <c r="F64" s="60">
        <f t="shared" ref="F64" ca="1" si="23">$I$12*(E64-I64*E$11/E$10)</f>
        <v>0</v>
      </c>
      <c r="G64" s="56">
        <f t="shared" ca="1" si="10"/>
        <v>2990</v>
      </c>
      <c r="H64" s="56">
        <f t="shared" ca="1" si="11"/>
        <v>4610</v>
      </c>
      <c r="I64" s="56">
        <v>0</v>
      </c>
      <c r="J64" s="56">
        <f t="shared" ref="J64" ca="1" si="24">(I$11/(1-I$11))*(H64+I64-E64+F64)</f>
        <v>1517.1822271842209</v>
      </c>
      <c r="K64" s="56">
        <f t="shared" ref="K64" ca="1" si="25">F64+G64+H64+I64+J64</f>
        <v>9117.1822271842211</v>
      </c>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row>
    <row r="65" spans="1:200" x14ac:dyDescent="0.25">
      <c r="A65" s="22" t="s">
        <v>14</v>
      </c>
      <c r="B65" s="24"/>
      <c r="C65" s="23" t="s">
        <v>14</v>
      </c>
      <c r="D65" s="56" t="s">
        <v>14</v>
      </c>
      <c r="E65" s="56" t="s">
        <v>14</v>
      </c>
      <c r="F65" s="56" t="s">
        <v>14</v>
      </c>
      <c r="G65" s="56" t="s">
        <v>14</v>
      </c>
      <c r="H65" s="56" t="s">
        <v>14</v>
      </c>
      <c r="I65" s="56" t="s">
        <v>14</v>
      </c>
      <c r="J65" s="56" t="s">
        <v>14</v>
      </c>
      <c r="K65" s="56" t="s">
        <v>14</v>
      </c>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row>
    <row r="66" spans="1:200" x14ac:dyDescent="0.25">
      <c r="A66" s="22" t="s">
        <v>13</v>
      </c>
      <c r="B66" s="24"/>
      <c r="C66" s="23">
        <f>SUM(C15:C64)</f>
        <v>0</v>
      </c>
      <c r="D66" s="56" t="s">
        <v>12</v>
      </c>
      <c r="E66" s="56">
        <f t="shared" ref="E66:K66" si="26">SUM(E15:E64)</f>
        <v>0</v>
      </c>
      <c r="F66" s="56">
        <f t="shared" ca="1" si="26"/>
        <v>0</v>
      </c>
      <c r="G66" s="56">
        <f t="shared" ca="1" si="26"/>
        <v>149500</v>
      </c>
      <c r="H66" s="56">
        <f t="shared" ca="1" si="26"/>
        <v>230500</v>
      </c>
      <c r="I66" s="56">
        <f t="shared" si="26"/>
        <v>0</v>
      </c>
      <c r="J66" s="56">
        <f t="shared" ca="1" si="26"/>
        <v>75859.11135921099</v>
      </c>
      <c r="K66" s="56">
        <f t="shared" ca="1" si="26"/>
        <v>455859.11135921133</v>
      </c>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row>
    <row r="67" spans="1:200" x14ac:dyDescent="0.25">
      <c r="B67" s="24"/>
      <c r="C67" s="23"/>
      <c r="D67" s="59"/>
      <c r="E67" s="59"/>
      <c r="F67" s="56"/>
      <c r="G67" s="56"/>
      <c r="H67" s="56"/>
      <c r="I67" s="56"/>
      <c r="J67" s="56"/>
      <c r="K67" s="56"/>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row>
    <row r="68" spans="1:200" x14ac:dyDescent="0.25">
      <c r="B68" s="24"/>
      <c r="C68" s="229" t="s">
        <v>11</v>
      </c>
      <c r="D68" s="229"/>
      <c r="E68" s="56">
        <f t="shared" ref="E68:K68" ca="1" si="27">NPV($L8,E15:E64)</f>
        <v>0</v>
      </c>
      <c r="F68" s="56">
        <f t="shared" ca="1" si="27"/>
        <v>0</v>
      </c>
      <c r="G68" s="56">
        <f t="shared" ca="1" si="27"/>
        <v>38332.285119793618</v>
      </c>
      <c r="H68" s="56">
        <f t="shared" ca="1" si="27"/>
        <v>59100.947960618287</v>
      </c>
      <c r="I68" s="56">
        <f t="shared" ca="1" si="27"/>
        <v>0</v>
      </c>
      <c r="J68" s="56">
        <f t="shared" ca="1" si="27"/>
        <v>19450.522311407727</v>
      </c>
      <c r="K68" s="56">
        <f t="shared" ca="1" si="27"/>
        <v>116883.75539181961</v>
      </c>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row>
    <row r="69" spans="1:200" x14ac:dyDescent="0.25">
      <c r="B69" s="22"/>
      <c r="C69" s="22"/>
      <c r="D69" s="56"/>
      <c r="E69" s="56"/>
      <c r="F69" s="56"/>
      <c r="G69" s="56"/>
      <c r="H69" s="56"/>
      <c r="I69" s="56"/>
      <c r="J69" s="56"/>
      <c r="K69" s="56"/>
      <c r="L69" s="56"/>
      <c r="M69" s="56"/>
      <c r="N69" s="56"/>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row>
    <row r="70" spans="1:200" x14ac:dyDescent="0.25">
      <c r="B70" s="21"/>
      <c r="C70" s="23"/>
      <c r="D70" s="59"/>
      <c r="E70" s="59"/>
      <c r="F70" s="59"/>
      <c r="G70" s="59"/>
      <c r="H70" s="59"/>
      <c r="I70" s="59"/>
      <c r="J70" s="59"/>
      <c r="K70" s="59"/>
      <c r="L70" s="59"/>
      <c r="M70" s="59"/>
      <c r="N70" s="59"/>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row>
    <row r="71" spans="1:200" x14ac:dyDescent="0.25">
      <c r="B71" s="21"/>
      <c r="C71" s="21"/>
      <c r="D71" s="59"/>
      <c r="E71" s="59"/>
      <c r="F71" s="59"/>
      <c r="G71" s="59"/>
      <c r="H71" s="59"/>
      <c r="I71" s="59"/>
      <c r="J71" s="59"/>
      <c r="K71" s="59"/>
      <c r="L71" s="59"/>
      <c r="M71" s="59"/>
      <c r="N71" s="59"/>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row>
    <row r="72" spans="1:200" x14ac:dyDescent="0.25">
      <c r="B72" s="21"/>
      <c r="C72" s="21"/>
      <c r="D72" s="59"/>
      <c r="E72" s="59"/>
      <c r="F72" s="59"/>
      <c r="G72" s="59"/>
      <c r="H72" s="59"/>
      <c r="I72" s="59"/>
      <c r="J72" s="59"/>
      <c r="K72" s="59"/>
      <c r="L72" s="59"/>
      <c r="M72" s="59"/>
      <c r="N72" s="59"/>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row>
    <row r="73" spans="1:200" x14ac:dyDescent="0.25">
      <c r="B73" s="22"/>
      <c r="C73" s="21"/>
      <c r="D73" s="59"/>
      <c r="E73" s="59"/>
      <c r="F73" s="59"/>
      <c r="G73" s="59"/>
      <c r="H73" s="59"/>
      <c r="I73" s="59"/>
      <c r="J73" s="59"/>
      <c r="K73" s="59"/>
      <c r="L73" s="59"/>
      <c r="M73" s="59"/>
      <c r="N73" s="59"/>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row>
    <row r="74" spans="1:200" x14ac:dyDescent="0.25">
      <c r="B74" s="21"/>
      <c r="C74" s="21"/>
      <c r="D74" s="59"/>
      <c r="E74" s="59"/>
      <c r="F74" s="59"/>
      <c r="G74" s="59"/>
      <c r="H74" s="59"/>
      <c r="I74" s="59"/>
      <c r="J74" s="59"/>
      <c r="K74" s="59"/>
      <c r="L74" s="59"/>
      <c r="M74" s="59"/>
      <c r="N74" s="59"/>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row>
    <row r="75" spans="1:200" x14ac:dyDescent="0.25">
      <c r="B75" s="21"/>
      <c r="C75" s="21"/>
      <c r="D75" s="59"/>
      <c r="E75" s="59"/>
      <c r="F75" s="59"/>
      <c r="G75" s="59"/>
      <c r="H75" s="59"/>
      <c r="I75" s="59"/>
      <c r="J75" s="59"/>
      <c r="K75" s="59"/>
      <c r="L75" s="59"/>
      <c r="M75" s="59"/>
      <c r="N75" s="59"/>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row>
    <row r="76" spans="1:200" x14ac:dyDescent="0.25">
      <c r="B76" s="21"/>
      <c r="C76" s="21"/>
      <c r="D76" s="59"/>
      <c r="E76" s="59"/>
      <c r="F76" s="59"/>
      <c r="G76" s="59"/>
      <c r="H76" s="59"/>
      <c r="I76" s="59"/>
      <c r="J76" s="59"/>
      <c r="K76" s="59"/>
      <c r="L76" s="59"/>
      <c r="M76" s="59"/>
      <c r="N76" s="59"/>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row>
    <row r="77" spans="1:200" x14ac:dyDescent="0.25">
      <c r="B77" s="21"/>
      <c r="C77" s="21"/>
      <c r="D77" s="59"/>
      <c r="E77" s="59"/>
      <c r="F77" s="59"/>
      <c r="G77" s="59"/>
      <c r="H77" s="59"/>
      <c r="I77" s="59"/>
      <c r="J77" s="59"/>
      <c r="K77" s="59"/>
      <c r="L77" s="59"/>
      <c r="M77" s="59"/>
      <c r="N77" s="59"/>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row>
    <row r="78" spans="1:200" x14ac:dyDescent="0.25">
      <c r="B78" s="21"/>
      <c r="C78" s="21"/>
      <c r="D78" s="59"/>
      <c r="E78" s="59"/>
      <c r="F78" s="59"/>
      <c r="G78" s="59"/>
      <c r="H78" s="59"/>
      <c r="I78" s="59"/>
      <c r="J78" s="59"/>
      <c r="K78" s="59"/>
      <c r="L78" s="59"/>
      <c r="M78" s="59"/>
      <c r="N78" s="59"/>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row>
    <row r="79" spans="1:200" x14ac:dyDescent="0.25">
      <c r="B79" s="21"/>
      <c r="C79" s="21"/>
      <c r="D79" s="59"/>
      <c r="E79" s="59"/>
      <c r="F79" s="59"/>
      <c r="G79" s="59"/>
      <c r="H79" s="59"/>
      <c r="I79" s="59"/>
      <c r="J79" s="59"/>
      <c r="K79" s="59"/>
      <c r="L79" s="59"/>
      <c r="M79" s="59"/>
      <c r="N79" s="59"/>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row>
    <row r="80" spans="1:200" x14ac:dyDescent="0.25">
      <c r="B80" s="21"/>
      <c r="C80" s="21"/>
      <c r="D80" s="59"/>
      <c r="E80" s="59"/>
      <c r="F80" s="59"/>
      <c r="G80" s="59"/>
      <c r="H80" s="59"/>
      <c r="I80" s="59"/>
      <c r="J80" s="59"/>
      <c r="K80" s="59"/>
      <c r="L80" s="59"/>
      <c r="M80" s="59"/>
      <c r="N80" s="59"/>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row>
    <row r="81" spans="2:200" x14ac:dyDescent="0.25">
      <c r="B81" s="21"/>
      <c r="C81" s="21"/>
      <c r="D81" s="59"/>
      <c r="E81" s="59"/>
      <c r="F81" s="59"/>
      <c r="G81" s="59"/>
      <c r="H81" s="59"/>
      <c r="I81" s="59"/>
      <c r="J81" s="59"/>
      <c r="K81" s="59"/>
      <c r="L81" s="59"/>
      <c r="M81" s="59"/>
      <c r="N81" s="59"/>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row>
    <row r="82" spans="2:200" x14ac:dyDescent="0.25">
      <c r="B82" s="21"/>
      <c r="C82" s="21"/>
      <c r="D82" s="59"/>
      <c r="E82" s="59"/>
      <c r="F82" s="59"/>
      <c r="G82" s="59"/>
      <c r="H82" s="59"/>
      <c r="I82" s="59"/>
      <c r="J82" s="59"/>
      <c r="K82" s="59"/>
      <c r="L82" s="59"/>
      <c r="M82" s="59"/>
      <c r="N82" s="59"/>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row>
    <row r="83" spans="2:200" x14ac:dyDescent="0.25">
      <c r="B83" s="21"/>
      <c r="C83" s="21"/>
      <c r="D83" s="59"/>
      <c r="E83" s="59"/>
      <c r="F83" s="59"/>
      <c r="G83" s="59"/>
      <c r="H83" s="59"/>
      <c r="I83" s="59"/>
      <c r="J83" s="59"/>
      <c r="K83" s="59"/>
      <c r="L83" s="59"/>
      <c r="M83" s="59"/>
      <c r="N83" s="59"/>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row>
    <row r="84" spans="2:200" x14ac:dyDescent="0.25">
      <c r="B84" s="21"/>
      <c r="C84" s="21"/>
      <c r="D84" s="59"/>
      <c r="E84" s="59"/>
      <c r="F84" s="59"/>
      <c r="G84" s="59"/>
      <c r="H84" s="59"/>
      <c r="I84" s="59"/>
      <c r="J84" s="59"/>
      <c r="K84" s="59"/>
      <c r="L84" s="59"/>
      <c r="M84" s="59"/>
      <c r="N84" s="59"/>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row>
    <row r="85" spans="2:200" x14ac:dyDescent="0.25">
      <c r="B85" s="21"/>
      <c r="C85" s="21"/>
      <c r="D85" s="59"/>
      <c r="E85" s="59"/>
      <c r="F85" s="59"/>
      <c r="G85" s="59"/>
      <c r="H85" s="59"/>
      <c r="I85" s="59"/>
      <c r="J85" s="59"/>
      <c r="K85" s="59"/>
      <c r="L85" s="59"/>
      <c r="M85" s="59"/>
      <c r="N85" s="59"/>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row>
    <row r="86" spans="2:200" x14ac:dyDescent="0.25">
      <c r="B86" s="21"/>
      <c r="C86" s="21"/>
      <c r="D86" s="59"/>
      <c r="E86" s="59"/>
      <c r="F86" s="59"/>
      <c r="G86" s="59"/>
      <c r="H86" s="59"/>
      <c r="I86" s="59"/>
      <c r="J86" s="59"/>
      <c r="K86" s="59"/>
      <c r="L86" s="59"/>
      <c r="M86" s="59"/>
      <c r="N86" s="59"/>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row>
    <row r="87" spans="2:200" x14ac:dyDescent="0.25">
      <c r="B87" s="21"/>
      <c r="C87" s="21"/>
      <c r="D87" s="59"/>
      <c r="E87" s="59"/>
      <c r="F87" s="59"/>
      <c r="G87" s="59"/>
      <c r="H87" s="59"/>
      <c r="I87" s="59"/>
      <c r="J87" s="59"/>
      <c r="K87" s="59"/>
      <c r="L87" s="59"/>
      <c r="M87" s="59"/>
      <c r="N87" s="59"/>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row>
    <row r="88" spans="2:200" x14ac:dyDescent="0.25">
      <c r="B88" s="21"/>
      <c r="C88" s="21"/>
      <c r="D88" s="59"/>
      <c r="E88" s="59"/>
      <c r="F88" s="59"/>
      <c r="G88" s="59"/>
      <c r="H88" s="59"/>
      <c r="I88" s="59"/>
      <c r="J88" s="59"/>
      <c r="K88" s="59"/>
      <c r="L88" s="59"/>
      <c r="M88" s="59"/>
      <c r="N88" s="59"/>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row>
    <row r="89" spans="2:200" x14ac:dyDescent="0.25">
      <c r="B89" s="21"/>
      <c r="C89" s="21"/>
      <c r="D89" s="59"/>
      <c r="E89" s="59"/>
      <c r="F89" s="59"/>
      <c r="G89" s="59"/>
      <c r="H89" s="59"/>
      <c r="I89" s="59"/>
      <c r="J89" s="59"/>
      <c r="K89" s="59"/>
      <c r="L89" s="59"/>
      <c r="M89" s="59"/>
      <c r="N89" s="59"/>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row>
    <row r="90" spans="2:200" x14ac:dyDescent="0.25">
      <c r="B90" s="21"/>
      <c r="C90" s="21"/>
      <c r="D90" s="59"/>
      <c r="E90" s="59"/>
      <c r="F90" s="59"/>
      <c r="G90" s="59"/>
      <c r="H90" s="59"/>
      <c r="I90" s="59"/>
      <c r="J90" s="59"/>
      <c r="K90" s="59"/>
      <c r="L90" s="59"/>
      <c r="M90" s="59"/>
      <c r="N90" s="59"/>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row>
    <row r="91" spans="2:200" x14ac:dyDescent="0.25">
      <c r="B91" s="21"/>
      <c r="C91" s="21"/>
      <c r="D91" s="59"/>
      <c r="E91" s="59"/>
      <c r="F91" s="59"/>
      <c r="G91" s="59"/>
      <c r="H91" s="59"/>
      <c r="I91" s="59"/>
      <c r="J91" s="59"/>
      <c r="K91" s="59"/>
      <c r="L91" s="59"/>
      <c r="M91" s="59"/>
      <c r="N91" s="59"/>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row>
    <row r="92" spans="2:200" x14ac:dyDescent="0.25">
      <c r="B92" s="21"/>
      <c r="C92" s="21"/>
      <c r="D92" s="59"/>
      <c r="E92" s="59"/>
      <c r="F92" s="59"/>
      <c r="G92" s="59"/>
      <c r="H92" s="59"/>
      <c r="I92" s="59"/>
      <c r="J92" s="59"/>
      <c r="K92" s="59"/>
      <c r="L92" s="59"/>
      <c r="M92" s="59"/>
      <c r="N92" s="59"/>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row>
    <row r="93" spans="2:200" x14ac:dyDescent="0.25">
      <c r="B93" s="21"/>
      <c r="C93" s="21"/>
      <c r="D93" s="59"/>
      <c r="E93" s="59"/>
      <c r="F93" s="59"/>
      <c r="G93" s="59"/>
      <c r="H93" s="59"/>
      <c r="I93" s="59"/>
      <c r="J93" s="59"/>
      <c r="K93" s="59"/>
      <c r="L93" s="59"/>
      <c r="M93" s="59"/>
      <c r="N93" s="59"/>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row>
    <row r="94" spans="2:200" x14ac:dyDescent="0.25">
      <c r="B94" s="21"/>
      <c r="C94" s="21"/>
      <c r="D94" s="59"/>
      <c r="E94" s="59"/>
      <c r="F94" s="59"/>
      <c r="G94" s="59"/>
      <c r="H94" s="59"/>
      <c r="I94" s="59"/>
      <c r="J94" s="59"/>
      <c r="K94" s="59"/>
      <c r="L94" s="59"/>
      <c r="M94" s="59"/>
      <c r="N94" s="59"/>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row>
    <row r="95" spans="2:200" x14ac:dyDescent="0.25">
      <c r="B95" s="21"/>
      <c r="C95" s="21"/>
      <c r="D95" s="59"/>
      <c r="E95" s="59"/>
      <c r="F95" s="59"/>
      <c r="G95" s="59"/>
      <c r="H95" s="59"/>
      <c r="I95" s="59"/>
      <c r="J95" s="59"/>
      <c r="K95" s="59"/>
      <c r="L95" s="59"/>
      <c r="M95" s="59"/>
      <c r="N95" s="59"/>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row>
    <row r="96" spans="2:200" x14ac:dyDescent="0.25">
      <c r="B96" s="21"/>
      <c r="C96" s="21"/>
      <c r="D96" s="59"/>
      <c r="E96" s="59"/>
      <c r="F96" s="59"/>
      <c r="G96" s="59"/>
      <c r="H96" s="59"/>
      <c r="I96" s="59"/>
      <c r="J96" s="59"/>
      <c r="K96" s="59"/>
      <c r="L96" s="59"/>
      <c r="M96" s="59"/>
      <c r="N96" s="59"/>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row>
    <row r="97" spans="2:200" x14ac:dyDescent="0.25">
      <c r="B97" s="21"/>
      <c r="C97" s="21"/>
      <c r="D97" s="59"/>
      <c r="E97" s="59"/>
      <c r="F97" s="59"/>
      <c r="G97" s="59"/>
      <c r="H97" s="59"/>
      <c r="I97" s="59"/>
      <c r="J97" s="59"/>
      <c r="K97" s="59"/>
      <c r="L97" s="59"/>
      <c r="M97" s="59"/>
      <c r="N97" s="59"/>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row>
    <row r="98" spans="2:200" x14ac:dyDescent="0.25">
      <c r="B98" s="21"/>
      <c r="C98" s="21"/>
      <c r="D98" s="59"/>
      <c r="E98" s="59"/>
      <c r="F98" s="59"/>
      <c r="G98" s="59"/>
      <c r="H98" s="59"/>
      <c r="I98" s="59"/>
      <c r="J98" s="59"/>
      <c r="K98" s="59"/>
      <c r="L98" s="59"/>
      <c r="M98" s="59"/>
      <c r="N98" s="59"/>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row>
    <row r="99" spans="2:200" x14ac:dyDescent="0.25">
      <c r="B99" s="21"/>
      <c r="C99" s="21"/>
      <c r="D99" s="59"/>
      <c r="E99" s="59"/>
      <c r="F99" s="59"/>
      <c r="G99" s="59"/>
      <c r="H99" s="59"/>
      <c r="I99" s="59"/>
      <c r="J99" s="59"/>
      <c r="K99" s="59"/>
      <c r="L99" s="59"/>
      <c r="M99" s="59"/>
      <c r="N99" s="59"/>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row>
    <row r="100" spans="2:200" x14ac:dyDescent="0.25">
      <c r="B100" s="21"/>
      <c r="C100" s="21"/>
      <c r="D100" s="59"/>
      <c r="E100" s="59"/>
      <c r="F100" s="59"/>
      <c r="G100" s="59"/>
      <c r="H100" s="59"/>
      <c r="I100" s="59"/>
      <c r="J100" s="59"/>
      <c r="K100" s="59"/>
      <c r="L100" s="59"/>
      <c r="M100" s="59"/>
      <c r="N100" s="59"/>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row>
    <row r="101" spans="2:200" x14ac:dyDescent="0.25">
      <c r="B101" s="21"/>
      <c r="C101" s="21"/>
      <c r="D101" s="59"/>
      <c r="E101" s="59"/>
      <c r="F101" s="59"/>
      <c r="G101" s="59"/>
      <c r="H101" s="59"/>
      <c r="I101" s="59"/>
      <c r="J101" s="59"/>
      <c r="K101" s="59"/>
      <c r="L101" s="59"/>
      <c r="M101" s="59"/>
      <c r="N101" s="59"/>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row>
    <row r="102" spans="2:200" x14ac:dyDescent="0.25">
      <c r="B102" s="21"/>
      <c r="C102" s="21"/>
      <c r="D102" s="59"/>
      <c r="E102" s="59"/>
      <c r="F102" s="59"/>
      <c r="G102" s="59"/>
      <c r="H102" s="59"/>
      <c r="I102" s="59"/>
      <c r="J102" s="59"/>
      <c r="K102" s="59"/>
      <c r="L102" s="59"/>
      <c r="M102" s="59"/>
      <c r="N102" s="59"/>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row>
    <row r="103" spans="2:200" x14ac:dyDescent="0.25">
      <c r="B103" s="21"/>
      <c r="C103" s="21"/>
      <c r="D103" s="59"/>
      <c r="E103" s="59"/>
      <c r="F103" s="59"/>
      <c r="G103" s="59"/>
      <c r="H103" s="59"/>
      <c r="I103" s="59"/>
      <c r="J103" s="59"/>
      <c r="K103" s="59"/>
      <c r="L103" s="59"/>
      <c r="M103" s="59"/>
      <c r="N103" s="59"/>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row>
    <row r="104" spans="2:200" x14ac:dyDescent="0.25">
      <c r="B104" s="21"/>
      <c r="C104" s="21"/>
      <c r="D104" s="59"/>
      <c r="E104" s="59"/>
      <c r="F104" s="59"/>
      <c r="G104" s="59"/>
      <c r="H104" s="59"/>
      <c r="I104" s="59"/>
      <c r="J104" s="59"/>
      <c r="K104" s="59"/>
      <c r="L104" s="59"/>
      <c r="M104" s="59"/>
      <c r="N104" s="59"/>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row>
    <row r="105" spans="2:200" x14ac:dyDescent="0.25">
      <c r="B105" s="21"/>
      <c r="C105" s="21"/>
      <c r="D105" s="59"/>
      <c r="E105" s="59"/>
      <c r="F105" s="59"/>
      <c r="G105" s="59"/>
      <c r="H105" s="59"/>
      <c r="I105" s="59"/>
      <c r="J105" s="59"/>
      <c r="K105" s="59"/>
      <c r="L105" s="59"/>
      <c r="M105" s="59"/>
      <c r="N105" s="59"/>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row>
    <row r="106" spans="2:200" x14ac:dyDescent="0.25">
      <c r="B106" s="21"/>
      <c r="C106" s="21"/>
      <c r="D106" s="59"/>
      <c r="E106" s="59"/>
      <c r="F106" s="59"/>
      <c r="G106" s="59"/>
      <c r="H106" s="59"/>
      <c r="I106" s="59"/>
      <c r="J106" s="59"/>
      <c r="K106" s="59"/>
      <c r="L106" s="59"/>
      <c r="M106" s="59"/>
      <c r="N106" s="59"/>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row>
    <row r="107" spans="2:200" x14ac:dyDescent="0.25">
      <c r="B107" s="21"/>
      <c r="C107" s="21"/>
      <c r="D107" s="59"/>
      <c r="E107" s="59"/>
      <c r="F107" s="59"/>
      <c r="G107" s="59"/>
      <c r="H107" s="59"/>
      <c r="I107" s="59"/>
      <c r="J107" s="59"/>
      <c r="K107" s="59"/>
      <c r="L107" s="59"/>
      <c r="M107" s="59"/>
      <c r="N107" s="59"/>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row>
    <row r="108" spans="2:200" x14ac:dyDescent="0.25">
      <c r="B108" s="21"/>
      <c r="C108" s="21"/>
      <c r="D108" s="59"/>
      <c r="E108" s="59"/>
      <c r="F108" s="59"/>
      <c r="G108" s="59"/>
      <c r="H108" s="59"/>
      <c r="I108" s="59"/>
      <c r="J108" s="59"/>
      <c r="K108" s="59"/>
      <c r="L108" s="59"/>
      <c r="M108" s="59"/>
      <c r="N108" s="59"/>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row>
    <row r="109" spans="2:200" x14ac:dyDescent="0.25">
      <c r="B109" s="21"/>
      <c r="C109" s="21"/>
      <c r="D109" s="59"/>
      <c r="E109" s="59"/>
      <c r="F109" s="59"/>
      <c r="G109" s="59"/>
      <c r="H109" s="59"/>
      <c r="I109" s="59"/>
      <c r="J109" s="59"/>
      <c r="K109" s="59"/>
      <c r="L109" s="59"/>
      <c r="M109" s="59"/>
      <c r="N109" s="59"/>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row>
    <row r="110" spans="2:200" x14ac:dyDescent="0.25">
      <c r="B110" s="21"/>
      <c r="C110" s="21"/>
      <c r="D110" s="59"/>
      <c r="E110" s="59"/>
      <c r="F110" s="59"/>
      <c r="G110" s="59"/>
      <c r="H110" s="59"/>
      <c r="I110" s="59"/>
      <c r="J110" s="59"/>
      <c r="K110" s="59"/>
      <c r="L110" s="59"/>
      <c r="M110" s="59"/>
      <c r="N110" s="59"/>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row>
    <row r="111" spans="2:200" x14ac:dyDescent="0.25">
      <c r="B111" s="21"/>
      <c r="C111" s="21"/>
      <c r="D111" s="59"/>
      <c r="E111" s="59"/>
      <c r="F111" s="59"/>
      <c r="G111" s="59"/>
      <c r="H111" s="59"/>
      <c r="I111" s="59"/>
      <c r="J111" s="59"/>
      <c r="K111" s="59"/>
      <c r="L111" s="59"/>
      <c r="M111" s="59"/>
      <c r="N111" s="59"/>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row>
    <row r="112" spans="2:200" x14ac:dyDescent="0.25">
      <c r="B112" s="21"/>
      <c r="C112" s="21"/>
      <c r="D112" s="59"/>
      <c r="E112" s="59"/>
      <c r="F112" s="59"/>
      <c r="G112" s="59"/>
      <c r="H112" s="59"/>
      <c r="I112" s="59"/>
      <c r="J112" s="59"/>
      <c r="K112" s="59"/>
      <c r="L112" s="59"/>
      <c r="M112" s="59"/>
      <c r="N112" s="59"/>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row>
    <row r="113" spans="2:200" x14ac:dyDescent="0.25">
      <c r="B113" s="21"/>
      <c r="C113" s="21"/>
      <c r="D113" s="59"/>
      <c r="E113" s="59"/>
      <c r="F113" s="59"/>
      <c r="G113" s="59"/>
      <c r="H113" s="59"/>
      <c r="I113" s="59"/>
      <c r="J113" s="59"/>
      <c r="K113" s="59"/>
      <c r="L113" s="59"/>
      <c r="M113" s="59"/>
      <c r="N113" s="59"/>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row>
    <row r="114" spans="2:200" x14ac:dyDescent="0.25">
      <c r="B114" s="21"/>
      <c r="C114" s="21"/>
      <c r="D114" s="59"/>
      <c r="E114" s="59"/>
      <c r="F114" s="59"/>
      <c r="G114" s="59"/>
      <c r="H114" s="59"/>
      <c r="I114" s="59"/>
      <c r="J114" s="59"/>
      <c r="K114" s="59"/>
      <c r="L114" s="59"/>
      <c r="M114" s="59"/>
      <c r="N114" s="59"/>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row>
    <row r="115" spans="2:200" x14ac:dyDescent="0.25">
      <c r="B115" s="21"/>
      <c r="C115" s="21"/>
      <c r="D115" s="59"/>
      <c r="E115" s="59"/>
      <c r="F115" s="59"/>
      <c r="G115" s="59"/>
      <c r="H115" s="59"/>
      <c r="I115" s="59"/>
      <c r="J115" s="59"/>
      <c r="K115" s="59"/>
      <c r="L115" s="59"/>
      <c r="M115" s="59"/>
      <c r="N115" s="59"/>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row>
    <row r="116" spans="2:200" x14ac:dyDescent="0.25">
      <c r="B116" s="21"/>
      <c r="C116" s="21"/>
      <c r="D116" s="59"/>
      <c r="E116" s="59"/>
      <c r="F116" s="59"/>
      <c r="G116" s="59"/>
      <c r="H116" s="59"/>
      <c r="I116" s="59"/>
      <c r="J116" s="59"/>
      <c r="K116" s="59"/>
      <c r="L116" s="59"/>
      <c r="M116" s="59"/>
      <c r="N116" s="59"/>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row>
    <row r="117" spans="2:200" x14ac:dyDescent="0.25">
      <c r="B117" s="21"/>
      <c r="C117" s="21"/>
      <c r="D117" s="59"/>
      <c r="E117" s="59"/>
      <c r="F117" s="59"/>
      <c r="G117" s="59"/>
      <c r="H117" s="59"/>
      <c r="I117" s="59"/>
      <c r="J117" s="59"/>
      <c r="K117" s="59"/>
      <c r="L117" s="59"/>
      <c r="M117" s="59"/>
      <c r="N117" s="59"/>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row>
    <row r="118" spans="2:200" x14ac:dyDescent="0.25">
      <c r="B118" s="21"/>
      <c r="C118" s="21"/>
      <c r="D118" s="59"/>
      <c r="E118" s="59"/>
      <c r="F118" s="59"/>
      <c r="G118" s="59"/>
      <c r="H118" s="59"/>
      <c r="I118" s="59"/>
      <c r="J118" s="59"/>
      <c r="K118" s="59"/>
      <c r="L118" s="59"/>
      <c r="M118" s="59"/>
      <c r="N118" s="59"/>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row>
    <row r="119" spans="2:200" x14ac:dyDescent="0.25">
      <c r="B119" s="21"/>
      <c r="C119" s="21"/>
      <c r="D119" s="59"/>
      <c r="E119" s="59"/>
      <c r="F119" s="59"/>
      <c r="G119" s="59"/>
      <c r="H119" s="59"/>
      <c r="I119" s="59"/>
      <c r="J119" s="59"/>
      <c r="K119" s="59"/>
      <c r="L119" s="59"/>
      <c r="M119" s="59"/>
      <c r="N119" s="59"/>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row>
    <row r="120" spans="2:200" x14ac:dyDescent="0.25">
      <c r="B120" s="21"/>
      <c r="C120" s="21"/>
      <c r="D120" s="59"/>
      <c r="E120" s="59"/>
      <c r="F120" s="59"/>
      <c r="G120" s="59"/>
      <c r="H120" s="59"/>
      <c r="I120" s="59"/>
      <c r="J120" s="59"/>
      <c r="K120" s="59"/>
      <c r="L120" s="59"/>
      <c r="M120" s="59"/>
      <c r="N120" s="59"/>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row>
    <row r="121" spans="2:200" x14ac:dyDescent="0.25">
      <c r="B121" s="21"/>
      <c r="C121" s="21"/>
      <c r="D121" s="59"/>
      <c r="E121" s="59"/>
      <c r="F121" s="59"/>
      <c r="G121" s="59"/>
      <c r="H121" s="59"/>
      <c r="I121" s="59"/>
      <c r="J121" s="59"/>
      <c r="K121" s="59"/>
      <c r="L121" s="59"/>
      <c r="M121" s="59"/>
      <c r="N121" s="59"/>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row>
    <row r="122" spans="2:200" x14ac:dyDescent="0.25">
      <c r="B122" s="21"/>
      <c r="C122" s="21"/>
      <c r="D122" s="59"/>
      <c r="E122" s="59"/>
      <c r="F122" s="59"/>
      <c r="G122" s="59"/>
      <c r="H122" s="59"/>
      <c r="I122" s="59"/>
      <c r="J122" s="59"/>
      <c r="K122" s="59"/>
      <c r="L122" s="59"/>
      <c r="M122" s="59"/>
      <c r="N122" s="59"/>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row>
    <row r="123" spans="2:200" x14ac:dyDescent="0.25">
      <c r="B123" s="21"/>
      <c r="C123" s="21"/>
      <c r="D123" s="59"/>
      <c r="E123" s="59"/>
      <c r="F123" s="59"/>
      <c r="G123" s="59"/>
      <c r="H123" s="59"/>
      <c r="I123" s="59"/>
      <c r="J123" s="59"/>
      <c r="K123" s="59"/>
      <c r="L123" s="59"/>
      <c r="M123" s="59"/>
      <c r="N123" s="59"/>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row>
    <row r="124" spans="2:200" x14ac:dyDescent="0.25">
      <c r="B124" s="21"/>
      <c r="C124" s="21"/>
      <c r="D124" s="59"/>
      <c r="E124" s="59"/>
      <c r="F124" s="59"/>
      <c r="G124" s="59"/>
      <c r="H124" s="59"/>
      <c r="I124" s="59"/>
      <c r="J124" s="59"/>
      <c r="K124" s="59"/>
      <c r="L124" s="59"/>
      <c r="M124" s="59"/>
      <c r="N124" s="59"/>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row>
    <row r="125" spans="2:200" x14ac:dyDescent="0.25">
      <c r="B125" s="21"/>
      <c r="C125" s="21"/>
      <c r="D125" s="59"/>
      <c r="E125" s="59"/>
      <c r="F125" s="59"/>
      <c r="G125" s="59"/>
      <c r="H125" s="59"/>
      <c r="I125" s="59"/>
      <c r="J125" s="59"/>
      <c r="K125" s="59"/>
      <c r="L125" s="59"/>
      <c r="M125" s="59"/>
      <c r="N125" s="59"/>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row>
    <row r="126" spans="2:200" x14ac:dyDescent="0.25">
      <c r="B126" s="21"/>
      <c r="C126" s="21"/>
      <c r="D126" s="59"/>
      <c r="E126" s="59"/>
      <c r="F126" s="59"/>
      <c r="G126" s="59"/>
      <c r="H126" s="59"/>
      <c r="I126" s="59"/>
      <c r="J126" s="59"/>
      <c r="K126" s="59"/>
      <c r="L126" s="59"/>
      <c r="M126" s="59"/>
      <c r="N126" s="59"/>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row>
    <row r="127" spans="2:200" x14ac:dyDescent="0.25">
      <c r="B127" s="21"/>
      <c r="C127" s="21"/>
      <c r="D127" s="59"/>
      <c r="E127" s="59"/>
      <c r="F127" s="59"/>
      <c r="G127" s="59"/>
      <c r="H127" s="59"/>
      <c r="I127" s="59"/>
      <c r="J127" s="59"/>
      <c r="K127" s="59"/>
      <c r="L127" s="59"/>
      <c r="M127" s="59"/>
      <c r="N127" s="59"/>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row>
    <row r="128" spans="2:200" x14ac:dyDescent="0.25">
      <c r="B128" s="21"/>
      <c r="C128" s="21"/>
      <c r="D128" s="59"/>
      <c r="E128" s="59"/>
      <c r="F128" s="59"/>
      <c r="G128" s="59"/>
      <c r="H128" s="59"/>
      <c r="I128" s="59"/>
      <c r="J128" s="59"/>
      <c r="K128" s="59"/>
      <c r="L128" s="59"/>
      <c r="M128" s="59"/>
      <c r="N128" s="59"/>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row>
    <row r="129" spans="2:200" x14ac:dyDescent="0.25">
      <c r="B129" s="21"/>
      <c r="C129" s="21"/>
      <c r="D129" s="59"/>
      <c r="E129" s="59"/>
      <c r="F129" s="59"/>
      <c r="G129" s="59"/>
      <c r="H129" s="59"/>
      <c r="I129" s="59"/>
      <c r="J129" s="59"/>
      <c r="K129" s="59"/>
      <c r="L129" s="59"/>
      <c r="M129" s="59"/>
      <c r="N129" s="59"/>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row>
    <row r="130" spans="2:200" x14ac:dyDescent="0.25">
      <c r="B130" s="21"/>
      <c r="C130" s="21"/>
      <c r="D130" s="59"/>
      <c r="E130" s="59"/>
      <c r="F130" s="59"/>
      <c r="G130" s="59"/>
      <c r="H130" s="59"/>
      <c r="I130" s="59"/>
      <c r="J130" s="59"/>
      <c r="K130" s="59"/>
      <c r="L130" s="59"/>
      <c r="M130" s="59"/>
      <c r="N130" s="59"/>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row>
    <row r="131" spans="2:200" x14ac:dyDescent="0.25">
      <c r="B131" s="21"/>
      <c r="C131" s="21"/>
      <c r="D131" s="59"/>
      <c r="E131" s="59"/>
      <c r="F131" s="59"/>
      <c r="G131" s="59"/>
      <c r="H131" s="59"/>
      <c r="I131" s="59"/>
      <c r="J131" s="59"/>
      <c r="K131" s="59"/>
      <c r="L131" s="59"/>
      <c r="M131" s="59"/>
      <c r="N131" s="59"/>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row>
    <row r="132" spans="2:200" x14ac:dyDescent="0.25">
      <c r="B132" s="21"/>
      <c r="C132" s="21"/>
      <c r="D132" s="59"/>
      <c r="E132" s="59"/>
      <c r="F132" s="59"/>
      <c r="G132" s="59"/>
      <c r="H132" s="59"/>
      <c r="I132" s="59"/>
      <c r="J132" s="59"/>
      <c r="K132" s="59"/>
      <c r="L132" s="59"/>
      <c r="M132" s="59"/>
      <c r="N132" s="59"/>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row>
    <row r="133" spans="2:200" x14ac:dyDescent="0.25">
      <c r="B133" s="21"/>
      <c r="C133" s="21"/>
      <c r="D133" s="59"/>
      <c r="E133" s="59"/>
      <c r="F133" s="59"/>
      <c r="G133" s="59"/>
      <c r="H133" s="59"/>
      <c r="I133" s="59"/>
      <c r="J133" s="59"/>
      <c r="K133" s="59"/>
      <c r="L133" s="59"/>
      <c r="M133" s="59"/>
      <c r="N133" s="59"/>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row>
    <row r="134" spans="2:200" x14ac:dyDescent="0.25">
      <c r="B134" s="21"/>
      <c r="C134" s="21"/>
      <c r="D134" s="59"/>
      <c r="E134" s="59"/>
      <c r="F134" s="59"/>
      <c r="G134" s="59"/>
      <c r="H134" s="59"/>
      <c r="I134" s="59"/>
      <c r="J134" s="59"/>
      <c r="K134" s="59"/>
      <c r="L134" s="59"/>
      <c r="M134" s="59"/>
      <c r="N134" s="59"/>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row>
    <row r="135" spans="2:200" x14ac:dyDescent="0.25">
      <c r="B135" s="21"/>
      <c r="C135" s="21"/>
      <c r="D135" s="59"/>
      <c r="E135" s="59"/>
      <c r="F135" s="59"/>
      <c r="G135" s="59"/>
      <c r="H135" s="59"/>
      <c r="I135" s="59"/>
      <c r="J135" s="59"/>
      <c r="K135" s="59"/>
      <c r="L135" s="59"/>
      <c r="M135" s="59"/>
      <c r="N135" s="59"/>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row>
    <row r="136" spans="2:200" x14ac:dyDescent="0.25">
      <c r="B136" s="21"/>
      <c r="C136" s="21"/>
      <c r="D136" s="59"/>
      <c r="E136" s="59"/>
      <c r="F136" s="59"/>
      <c r="G136" s="59"/>
      <c r="H136" s="59"/>
      <c r="I136" s="59"/>
      <c r="J136" s="59"/>
      <c r="K136" s="59"/>
      <c r="L136" s="59"/>
      <c r="M136" s="59"/>
      <c r="N136" s="59"/>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row>
    <row r="137" spans="2:200" x14ac:dyDescent="0.25">
      <c r="B137" s="21"/>
      <c r="C137" s="21"/>
      <c r="D137" s="59"/>
      <c r="E137" s="59"/>
      <c r="F137" s="59"/>
      <c r="G137" s="59"/>
      <c r="H137" s="59"/>
      <c r="I137" s="59"/>
      <c r="J137" s="59"/>
      <c r="K137" s="59"/>
      <c r="L137" s="59"/>
      <c r="M137" s="59"/>
      <c r="N137" s="59"/>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row>
    <row r="138" spans="2:200" x14ac:dyDescent="0.25">
      <c r="B138" s="21"/>
      <c r="C138" s="21"/>
      <c r="D138" s="59"/>
      <c r="E138" s="59"/>
      <c r="F138" s="59"/>
      <c r="G138" s="59"/>
      <c r="H138" s="59"/>
      <c r="I138" s="59"/>
      <c r="J138" s="59"/>
      <c r="K138" s="59"/>
      <c r="L138" s="59"/>
      <c r="M138" s="59"/>
      <c r="N138" s="59"/>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row>
    <row r="139" spans="2:200" x14ac:dyDescent="0.25">
      <c r="B139" s="21"/>
      <c r="C139" s="21"/>
      <c r="D139" s="59"/>
      <c r="E139" s="59"/>
      <c r="F139" s="59"/>
      <c r="G139" s="59"/>
      <c r="H139" s="59"/>
      <c r="I139" s="59"/>
      <c r="J139" s="59"/>
      <c r="K139" s="59"/>
      <c r="L139" s="59"/>
      <c r="M139" s="59"/>
      <c r="N139" s="59"/>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row>
    <row r="140" spans="2:200" x14ac:dyDescent="0.25">
      <c r="B140" s="21"/>
      <c r="C140" s="21"/>
      <c r="D140" s="59"/>
      <c r="E140" s="59"/>
      <c r="F140" s="59"/>
      <c r="G140" s="59"/>
      <c r="H140" s="59"/>
      <c r="I140" s="59"/>
      <c r="J140" s="59"/>
      <c r="K140" s="59"/>
      <c r="L140" s="59"/>
      <c r="M140" s="59"/>
      <c r="N140" s="59"/>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row>
    <row r="141" spans="2:200" x14ac:dyDescent="0.25">
      <c r="B141" s="21"/>
      <c r="C141" s="21"/>
      <c r="D141" s="59"/>
      <c r="E141" s="59"/>
      <c r="F141" s="59"/>
      <c r="G141" s="59"/>
      <c r="H141" s="59"/>
      <c r="I141" s="59"/>
      <c r="J141" s="59"/>
      <c r="K141" s="59"/>
      <c r="L141" s="59"/>
      <c r="M141" s="59"/>
      <c r="N141" s="59"/>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row>
    <row r="142" spans="2:200" x14ac:dyDescent="0.25">
      <c r="B142" s="21"/>
      <c r="C142" s="21"/>
      <c r="D142" s="59"/>
      <c r="E142" s="59"/>
      <c r="F142" s="59"/>
      <c r="G142" s="59"/>
      <c r="H142" s="59"/>
      <c r="I142" s="59"/>
      <c r="J142" s="59"/>
      <c r="K142" s="59"/>
      <c r="L142" s="59"/>
      <c r="M142" s="59"/>
      <c r="N142" s="59"/>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row>
    <row r="143" spans="2:200" x14ac:dyDescent="0.25">
      <c r="B143" s="21"/>
      <c r="C143" s="21"/>
      <c r="D143" s="59"/>
      <c r="E143" s="59"/>
      <c r="F143" s="59"/>
      <c r="G143" s="59"/>
      <c r="H143" s="59"/>
      <c r="I143" s="59"/>
      <c r="J143" s="59"/>
      <c r="K143" s="59"/>
      <c r="L143" s="59"/>
      <c r="M143" s="59"/>
      <c r="N143" s="59"/>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row>
    <row r="144" spans="2:200" x14ac:dyDescent="0.25">
      <c r="B144" s="21"/>
      <c r="C144" s="21"/>
      <c r="D144" s="59"/>
      <c r="E144" s="59"/>
      <c r="F144" s="59"/>
      <c r="G144" s="59"/>
      <c r="H144" s="59"/>
      <c r="I144" s="59"/>
      <c r="J144" s="59"/>
      <c r="K144" s="59"/>
      <c r="L144" s="59"/>
      <c r="M144" s="59"/>
      <c r="N144" s="59"/>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row>
    <row r="145" spans="2:200" x14ac:dyDescent="0.25">
      <c r="B145" s="21"/>
      <c r="C145" s="21"/>
      <c r="D145" s="59"/>
      <c r="E145" s="59"/>
      <c r="F145" s="59"/>
      <c r="G145" s="59"/>
      <c r="H145" s="59"/>
      <c r="I145" s="59"/>
      <c r="J145" s="59"/>
      <c r="K145" s="59"/>
      <c r="L145" s="59"/>
      <c r="M145" s="59"/>
      <c r="N145" s="59"/>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row>
    <row r="146" spans="2:200" x14ac:dyDescent="0.25">
      <c r="B146" s="21"/>
      <c r="C146" s="21"/>
      <c r="D146" s="59"/>
      <c r="E146" s="59"/>
      <c r="F146" s="59"/>
      <c r="G146" s="59"/>
      <c r="H146" s="59"/>
      <c r="I146" s="59"/>
      <c r="J146" s="59"/>
      <c r="K146" s="59"/>
      <c r="L146" s="59"/>
      <c r="M146" s="59"/>
      <c r="N146" s="59"/>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row>
    <row r="147" spans="2:200" x14ac:dyDescent="0.25">
      <c r="B147" s="21"/>
      <c r="C147" s="21"/>
      <c r="D147" s="59"/>
      <c r="E147" s="59"/>
      <c r="F147" s="59"/>
      <c r="G147" s="59"/>
      <c r="H147" s="59"/>
      <c r="I147" s="59"/>
      <c r="J147" s="59"/>
      <c r="K147" s="59"/>
      <c r="L147" s="59"/>
      <c r="M147" s="59"/>
      <c r="N147" s="59"/>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row>
    <row r="148" spans="2:200" x14ac:dyDescent="0.25">
      <c r="B148" s="21"/>
      <c r="C148" s="21"/>
      <c r="D148" s="59"/>
      <c r="E148" s="59"/>
      <c r="F148" s="59"/>
      <c r="G148" s="59"/>
      <c r="H148" s="59"/>
      <c r="I148" s="59"/>
      <c r="J148" s="59"/>
      <c r="K148" s="59"/>
      <c r="L148" s="59"/>
      <c r="M148" s="59"/>
      <c r="N148" s="59"/>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row>
    <row r="149" spans="2:200" x14ac:dyDescent="0.25">
      <c r="B149" s="21"/>
      <c r="C149" s="21"/>
      <c r="D149" s="59"/>
      <c r="E149" s="59"/>
      <c r="F149" s="59"/>
      <c r="G149" s="59"/>
      <c r="H149" s="59"/>
      <c r="I149" s="59"/>
      <c r="J149" s="59"/>
      <c r="K149" s="59"/>
      <c r="L149" s="59"/>
      <c r="M149" s="59"/>
      <c r="N149" s="59"/>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row>
    <row r="150" spans="2:200" x14ac:dyDescent="0.25">
      <c r="B150" s="21"/>
      <c r="C150" s="21"/>
      <c r="D150" s="59"/>
      <c r="E150" s="59"/>
      <c r="F150" s="59"/>
      <c r="G150" s="59"/>
      <c r="H150" s="59"/>
      <c r="I150" s="59"/>
      <c r="J150" s="59"/>
      <c r="K150" s="59"/>
      <c r="L150" s="59"/>
      <c r="M150" s="59"/>
      <c r="N150" s="59"/>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row>
    <row r="151" spans="2:200" x14ac:dyDescent="0.25">
      <c r="B151" s="21"/>
      <c r="C151" s="21"/>
      <c r="D151" s="59"/>
      <c r="E151" s="59"/>
      <c r="F151" s="59"/>
      <c r="G151" s="59"/>
      <c r="H151" s="59"/>
      <c r="I151" s="59"/>
      <c r="J151" s="59"/>
      <c r="K151" s="59"/>
      <c r="L151" s="59"/>
      <c r="M151" s="59"/>
      <c r="N151" s="59"/>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2" orientation="landscape" r:id="rId1"/>
  <headerFooter alignWithMargins="0">
    <oddFooter>&amp;L&amp;"Arial,Regular"&amp;8&amp;F&amp;C&amp;A&amp;R&amp;"Arial,Regular"2017 GRC Compliance Filing
Docket No. UE-170033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60" zoomScaleNormal="60" workbookViewId="0">
      <selection activeCell="B19" sqref="B19"/>
    </sheetView>
  </sheetViews>
  <sheetFormatPr defaultRowHeight="14.4" x14ac:dyDescent="0.3"/>
  <cols>
    <col min="1" max="1" width="12" bestFit="1" customWidth="1"/>
    <col min="2" max="2" width="43.6640625" bestFit="1" customWidth="1"/>
    <col min="3" max="3" width="20.88671875" bestFit="1" customWidth="1"/>
    <col min="4" max="4" width="18.77734375" bestFit="1" customWidth="1"/>
    <col min="5" max="6" width="13.109375" bestFit="1" customWidth="1"/>
    <col min="7" max="7" width="13.6640625" bestFit="1" customWidth="1"/>
    <col min="8" max="8" width="9" bestFit="1" customWidth="1"/>
    <col min="9" max="9" width="22.88671875" bestFit="1" customWidth="1"/>
    <col min="10" max="10" width="17" bestFit="1" customWidth="1"/>
    <col min="14" max="14" width="11.77734375" bestFit="1" customWidth="1"/>
    <col min="15" max="15" width="43.44140625" customWidth="1"/>
    <col min="16" max="16" width="11.5546875" bestFit="1" customWidth="1"/>
  </cols>
  <sheetData>
    <row r="1" spans="1:18" x14ac:dyDescent="0.3">
      <c r="A1" s="255" t="str">
        <f ca="1">'[1]Lead E'!A4</f>
        <v>PUGET SOUND ENERGY - ELECTRIC (PER SETTLEMENT)</v>
      </c>
      <c r="B1" s="255"/>
      <c r="C1" s="255"/>
      <c r="D1" s="255"/>
      <c r="E1" s="255"/>
      <c r="F1" s="255"/>
      <c r="G1" s="255"/>
      <c r="H1" s="255"/>
      <c r="I1" s="255"/>
      <c r="J1" s="255"/>
    </row>
    <row r="2" spans="1:18" x14ac:dyDescent="0.3">
      <c r="A2" s="255" t="str">
        <f ca="1">'[1]Lead E'!A5</f>
        <v>DEPRECIATION STUDY</v>
      </c>
      <c r="B2" s="255"/>
      <c r="C2" s="255"/>
      <c r="D2" s="255"/>
      <c r="E2" s="255"/>
      <c r="F2" s="255"/>
      <c r="G2" s="255"/>
      <c r="H2" s="255"/>
      <c r="I2" s="255"/>
      <c r="J2" s="255"/>
    </row>
    <row r="3" spans="1:18" x14ac:dyDescent="0.3">
      <c r="A3" s="255" t="str">
        <f ca="1">'[1]Lead E'!A6</f>
        <v>FOR THE TWELVE MONTHS ENDED SEPTEMBER 30, 2016</v>
      </c>
      <c r="B3" s="255"/>
      <c r="C3" s="255"/>
      <c r="D3" s="255"/>
      <c r="E3" s="255"/>
      <c r="F3" s="255"/>
      <c r="G3" s="255"/>
      <c r="H3" s="255"/>
      <c r="I3" s="255"/>
      <c r="J3" s="255"/>
    </row>
    <row r="4" spans="1:18" x14ac:dyDescent="0.3">
      <c r="A4" s="255" t="str">
        <f ca="1">'[1]Lead E'!A7</f>
        <v>2017 GENERAL RATE CASE</v>
      </c>
      <c r="B4" s="255"/>
      <c r="C4" s="255"/>
      <c r="D4" s="255"/>
      <c r="E4" s="255"/>
      <c r="F4" s="255"/>
      <c r="G4" s="255"/>
      <c r="H4" s="255"/>
      <c r="I4" s="255"/>
      <c r="J4" s="255"/>
    </row>
    <row r="8" spans="1:18" x14ac:dyDescent="0.3">
      <c r="A8" s="117"/>
      <c r="B8" s="118"/>
      <c r="C8" s="119"/>
      <c r="D8" s="120" t="s">
        <v>73</v>
      </c>
      <c r="E8" s="121"/>
      <c r="F8" s="122" t="s">
        <v>73</v>
      </c>
      <c r="G8" s="118"/>
      <c r="H8" s="118"/>
      <c r="I8" s="123" t="s">
        <v>74</v>
      </c>
      <c r="J8" s="124" t="s">
        <v>75</v>
      </c>
    </row>
    <row r="9" spans="1:18" x14ac:dyDescent="0.3">
      <c r="A9" s="124" t="s">
        <v>76</v>
      </c>
      <c r="B9" s="124"/>
      <c r="C9" s="125" t="s">
        <v>77</v>
      </c>
      <c r="D9" s="123" t="s">
        <v>78</v>
      </c>
      <c r="E9" s="123" t="s">
        <v>73</v>
      </c>
      <c r="F9" s="123" t="s">
        <v>79</v>
      </c>
      <c r="G9" s="124" t="s">
        <v>74</v>
      </c>
      <c r="H9" s="124" t="s">
        <v>80</v>
      </c>
      <c r="I9" s="123" t="s">
        <v>78</v>
      </c>
      <c r="J9" s="124" t="s">
        <v>81</v>
      </c>
      <c r="N9" t="str">
        <f t="shared" ref="N9" si="0">+A9</f>
        <v>ACCOUNT</v>
      </c>
      <c r="P9" t="str">
        <f>+G9</f>
        <v>PROPOSED</v>
      </c>
    </row>
    <row r="10" spans="1:18" x14ac:dyDescent="0.3">
      <c r="A10" s="129" t="s">
        <v>82</v>
      </c>
      <c r="B10" s="129" t="s">
        <v>83</v>
      </c>
      <c r="C10" s="129" t="s">
        <v>84</v>
      </c>
      <c r="D10" s="129" t="s">
        <v>85</v>
      </c>
      <c r="E10" s="129" t="s">
        <v>79</v>
      </c>
      <c r="F10" s="129" t="s">
        <v>86</v>
      </c>
      <c r="G10" s="129" t="s">
        <v>79</v>
      </c>
      <c r="H10" s="129" t="s">
        <v>79</v>
      </c>
      <c r="I10" s="129" t="s">
        <v>87</v>
      </c>
      <c r="J10" s="129" t="s">
        <v>88</v>
      </c>
      <c r="N10" t="str">
        <f>+A10</f>
        <v>NUMBER</v>
      </c>
      <c r="O10" t="str">
        <f t="shared" ref="O10" si="1">+B10</f>
        <v>DESCRIPTION</v>
      </c>
      <c r="P10" t="str">
        <f>+G10</f>
        <v>RATE</v>
      </c>
      <c r="Q10" s="254" t="s">
        <v>90</v>
      </c>
      <c r="R10" s="254"/>
    </row>
    <row r="11" spans="1:18" x14ac:dyDescent="0.3">
      <c r="A11" s="126"/>
      <c r="B11" s="126"/>
      <c r="C11" s="127"/>
      <c r="D11" s="128"/>
      <c r="E11" s="128"/>
      <c r="F11" s="128"/>
      <c r="G11" s="126"/>
      <c r="H11" s="126"/>
      <c r="I11" s="118"/>
      <c r="J11" s="118"/>
    </row>
    <row r="12" spans="1:18" x14ac:dyDescent="0.3">
      <c r="A12" s="253" t="s">
        <v>89</v>
      </c>
      <c r="B12" s="253"/>
      <c r="C12" s="253"/>
      <c r="D12" s="253"/>
      <c r="E12" s="253"/>
      <c r="F12" s="253"/>
      <c r="G12" s="253"/>
      <c r="H12" s="253"/>
      <c r="I12" s="253"/>
      <c r="J12" s="253"/>
    </row>
    <row r="13" spans="1:18" x14ac:dyDescent="0.3">
      <c r="A13" s="130"/>
      <c r="B13" s="131" t="str">
        <f ca="1">[1]Electric!B362</f>
        <v xml:space="preserve">DISTRIBUTION PLANT </v>
      </c>
      <c r="C13" s="132"/>
      <c r="D13" s="133"/>
      <c r="E13" s="121"/>
      <c r="F13" s="130"/>
      <c r="G13" s="130"/>
      <c r="H13" s="130"/>
      <c r="I13" s="134"/>
      <c r="J13" s="118"/>
    </row>
    <row r="14" spans="1:18" x14ac:dyDescent="0.3">
      <c r="A14" s="130"/>
      <c r="B14" s="135">
        <f ca="1">[1]Electric!B363</f>
        <v>0</v>
      </c>
      <c r="C14" s="132"/>
      <c r="D14" s="133"/>
      <c r="E14" s="121"/>
      <c r="F14" s="130"/>
      <c r="G14" s="130"/>
      <c r="H14" s="130"/>
      <c r="I14" s="133"/>
      <c r="J14" s="118"/>
    </row>
    <row r="15" spans="1:18" x14ac:dyDescent="0.3">
      <c r="A15" s="130">
        <f ca="1">[1]Electric!A364</f>
        <v>360.1</v>
      </c>
      <c r="B15" s="136" t="str">
        <f ca="1">[1]Electric!B364</f>
        <v>EASEMENTS</v>
      </c>
      <c r="C15" s="137">
        <f ca="1">[1]Electric!C364</f>
        <v>6192997.7800000003</v>
      </c>
      <c r="D15" s="138">
        <f ca="1">[1]Electric!D364</f>
        <v>137458.86999999997</v>
      </c>
      <c r="E15" s="121">
        <f ca="1">[1]Electric!E364</f>
        <v>2.2400000000000002</v>
      </c>
      <c r="F15" s="139">
        <f ca="1">[1]Electric!F364</f>
        <v>2.2400000000000003E-2</v>
      </c>
      <c r="G15" s="139">
        <f ca="1">[1]Electric!G364</f>
        <v>1.1296952216895514E-2</v>
      </c>
      <c r="H15" s="139">
        <f ca="1">[1]Electric!H364</f>
        <v>0.5043282239685497</v>
      </c>
      <c r="I15" s="138">
        <f ca="1">[1]Electric!I364</f>
        <v>69324.387775823736</v>
      </c>
      <c r="J15" s="121">
        <f ca="1">[1]Electric!J364</f>
        <v>-68134.48222417623</v>
      </c>
    </row>
    <row r="16" spans="1:18" ht="15" thickBot="1" x14ac:dyDescent="0.35">
      <c r="A16" s="130">
        <f ca="1">[1]Electric!A365</f>
        <v>361</v>
      </c>
      <c r="B16" s="140" t="str">
        <f ca="1">[1]Electric!B365</f>
        <v xml:space="preserve">STRUCTURES AND IMPROVEMENTS          </v>
      </c>
      <c r="C16" s="137">
        <f ca="1">[1]Electric!C365</f>
        <v>7980826.7300000004</v>
      </c>
      <c r="D16" s="138">
        <f ca="1">[1]Electric!D365</f>
        <v>144277.32</v>
      </c>
      <c r="E16" s="121">
        <f ca="1">[1]Electric!E365</f>
        <v>1.81</v>
      </c>
      <c r="F16" s="139">
        <f ca="1">[1]Electric!F365</f>
        <v>1.8100000000000002E-2</v>
      </c>
      <c r="G16" s="139">
        <f ca="1">[1]Electric!G365</f>
        <v>1.7604567139875744E-2</v>
      </c>
      <c r="H16" s="139">
        <f ca="1">[1]Electric!H365</f>
        <v>0.97262801877766536</v>
      </c>
      <c r="I16" s="138">
        <f ca="1">[1]Electric!I365</f>
        <v>140328.16390615125</v>
      </c>
      <c r="J16" s="121">
        <f ca="1">[1]Electric!J365</f>
        <v>-3949.1560938487528</v>
      </c>
    </row>
    <row r="17" spans="1:18" ht="15" thickBot="1" x14ac:dyDescent="0.35">
      <c r="A17" s="130">
        <f ca="1">[1]Electric!A366</f>
        <v>362</v>
      </c>
      <c r="B17" s="140" t="str">
        <f ca="1">[1]Electric!B366</f>
        <v xml:space="preserve">STATION EQUIPMENT                   </v>
      </c>
      <c r="C17" s="137">
        <f ca="1">[1]Electric!C366</f>
        <v>434912648.51999998</v>
      </c>
      <c r="D17" s="138">
        <f ca="1">[1]Electric!D366</f>
        <v>8235583.0600000005</v>
      </c>
      <c r="E17" s="121">
        <f ca="1">[1]Electric!E366</f>
        <v>1.97</v>
      </c>
      <c r="F17" s="139">
        <f ca="1">[1]Electric!F366</f>
        <v>1.9699999999999999E-2</v>
      </c>
      <c r="G17" s="139">
        <f ca="1">[1]Electric!G366</f>
        <v>2.0398169678875266E-2</v>
      </c>
      <c r="H17" s="139">
        <f ca="1">[1]Electric!H366</f>
        <v>1.0354400852220949</v>
      </c>
      <c r="I17" s="138">
        <f ca="1">[1]Electric!I366</f>
        <v>8527452.8255000412</v>
      </c>
      <c r="J17" s="121">
        <f ca="1">[1]Electric!J366</f>
        <v>291869.76550004072</v>
      </c>
      <c r="N17" s="148">
        <f ca="1">+A17</f>
        <v>362</v>
      </c>
      <c r="O17" s="149" t="str">
        <f ca="1">+B17</f>
        <v xml:space="preserve">STATION EQUIPMENT                   </v>
      </c>
      <c r="P17" s="150">
        <f ca="1">+G17</f>
        <v>2.0398169678875266E-2</v>
      </c>
      <c r="Q17" s="151">
        <f ca="1">ROUND(1/P17,0)</f>
        <v>49</v>
      </c>
      <c r="R17" s="152" t="s">
        <v>68</v>
      </c>
    </row>
    <row r="18" spans="1:18" x14ac:dyDescent="0.3">
      <c r="A18" s="130">
        <f ca="1">[1]Electric!A367</f>
        <v>363</v>
      </c>
      <c r="B18" s="140" t="str">
        <f ca="1">[1]Electric!B367</f>
        <v>BATTERY STORAGE EQUIPMENT</v>
      </c>
      <c r="C18" s="137">
        <f ca="1">[1]Electric!C367</f>
        <v>1194182.8600000001</v>
      </c>
      <c r="D18" s="138">
        <f ca="1">[1]Electric!D367</f>
        <v>23908.840000000004</v>
      </c>
      <c r="E18" s="121">
        <f ca="1">[1]Electric!E367</f>
        <v>5</v>
      </c>
      <c r="F18" s="139">
        <f ca="1">[1]Electric!F367</f>
        <v>0.05</v>
      </c>
      <c r="G18" s="139">
        <f ca="1">[1]Electric!G367</f>
        <v>4.9922840125171446E-2</v>
      </c>
      <c r="H18" s="139">
        <f ca="1">[1]Electric!H367</f>
        <v>0.99845680250342883</v>
      </c>
      <c r="I18" s="138">
        <f ca="1">[1]Electric!I367</f>
        <v>23871.943937966083</v>
      </c>
      <c r="J18" s="121">
        <f ca="1">[1]Electric!J367</f>
        <v>-36.896062033920316</v>
      </c>
      <c r="P18" s="76"/>
      <c r="Q18" s="77"/>
    </row>
    <row r="19" spans="1:18" x14ac:dyDescent="0.3">
      <c r="A19" s="130">
        <f ca="1">[1]Electric!A368</f>
        <v>364</v>
      </c>
      <c r="B19" s="140" t="str">
        <f ca="1">[1]Electric!B368</f>
        <v xml:space="preserve">POLES, TOWERS AND FIXTURES          </v>
      </c>
      <c r="C19" s="137">
        <f ca="1">[1]Electric!C368</f>
        <v>340904415.12</v>
      </c>
      <c r="D19" s="138">
        <f ca="1">[1]Electric!D368</f>
        <v>10261211.340000002</v>
      </c>
      <c r="E19" s="138">
        <f ca="1">[1]Electric!E368</f>
        <v>3.11</v>
      </c>
      <c r="F19" s="139">
        <f ca="1">[1]Electric!F368</f>
        <v>3.1099999999999999E-2</v>
      </c>
      <c r="G19" s="139">
        <f ca="1">[1]Electric!G368</f>
        <v>3.1427873986990325E-2</v>
      </c>
      <c r="H19" s="139">
        <f ca="1">[1]Electric!H368</f>
        <v>1.0105425719289494</v>
      </c>
      <c r="I19" s="138">
        <f ca="1">[1]Electric!I368</f>
        <v>10369390.898630103</v>
      </c>
      <c r="J19" s="138">
        <f ca="1">[1]Electric!J368</f>
        <v>108179.55863010138</v>
      </c>
      <c r="N19">
        <f t="shared" ref="N19:N24" ca="1" si="2">+A19</f>
        <v>364</v>
      </c>
      <c r="O19" t="str">
        <f t="shared" ref="O19:O24" ca="1" si="3">+B19</f>
        <v xml:space="preserve">POLES, TOWERS AND FIXTURES          </v>
      </c>
      <c r="P19" s="76">
        <f t="shared" ref="P19:P24" ca="1" si="4">+G19</f>
        <v>3.1427873986990325E-2</v>
      </c>
      <c r="Q19" s="77">
        <f t="shared" ref="Q19:Q24" ca="1" si="5">ROUND(1/P19,0)</f>
        <v>32</v>
      </c>
      <c r="R19" t="s">
        <v>68</v>
      </c>
    </row>
    <row r="20" spans="1:18" x14ac:dyDescent="0.3">
      <c r="A20" s="130"/>
      <c r="B20" s="140"/>
      <c r="C20" s="137"/>
      <c r="D20" s="138">
        <f ca="1">[1]Electric!D369</f>
        <v>11214.9</v>
      </c>
      <c r="E20" s="138">
        <f ca="1">[1]Electric!E369</f>
        <v>4.24</v>
      </c>
      <c r="F20" s="139">
        <f ca="1">[1]Electric!F369</f>
        <v>4.24E-2</v>
      </c>
      <c r="G20" s="139">
        <f ca="1">[1]Electric!G369</f>
        <v>3.1427873986990325E-2</v>
      </c>
      <c r="H20" s="139">
        <f ca="1">[1]Electric!H369</f>
        <v>0.74122344308939447</v>
      </c>
      <c r="I20" s="138">
        <f ca="1">[1]Electric!I369</f>
        <v>8312.7467919032497</v>
      </c>
      <c r="J20" s="138">
        <f ca="1">[1]Electric!J369</f>
        <v>-2902.1532080967499</v>
      </c>
      <c r="P20" s="76"/>
      <c r="Q20" s="77"/>
    </row>
    <row r="21" spans="1:18" x14ac:dyDescent="0.3">
      <c r="A21" s="130">
        <f ca="1">[1]Electric!A370</f>
        <v>365</v>
      </c>
      <c r="B21" s="140" t="str">
        <f ca="1">[1]Electric!B370</f>
        <v xml:space="preserve">OVERHEAD CONDUCTORS AND DEVICES     </v>
      </c>
      <c r="C21" s="137">
        <f ca="1">[1]Electric!C370</f>
        <v>409216186.50999999</v>
      </c>
      <c r="D21" s="138">
        <f ca="1">[1]Electric!D370</f>
        <v>11091701.539999999</v>
      </c>
      <c r="E21" s="138">
        <f ca="1">[1]Electric!E370</f>
        <v>2.83</v>
      </c>
      <c r="F21" s="139">
        <f ca="1">[1]Electric!F370</f>
        <v>2.8300000000000002E-2</v>
      </c>
      <c r="G21" s="139">
        <f ca="1">[1]Electric!G370</f>
        <v>3.7404563906774872E-2</v>
      </c>
      <c r="H21" s="139">
        <f ca="1">[1]Electric!H370</f>
        <v>1.3217160391086527</v>
      </c>
      <c r="I21" s="138">
        <f ca="1">[1]Electric!I370</f>
        <v>14660079.826424142</v>
      </c>
      <c r="J21" s="138">
        <f ca="1">[1]Electric!J370</f>
        <v>3568378.2864241432</v>
      </c>
      <c r="N21">
        <f t="shared" ca="1" si="2"/>
        <v>365</v>
      </c>
      <c r="O21" t="str">
        <f t="shared" ca="1" si="3"/>
        <v xml:space="preserve">OVERHEAD CONDUCTORS AND DEVICES     </v>
      </c>
      <c r="P21" s="76">
        <f t="shared" ca="1" si="4"/>
        <v>3.7404563906774872E-2</v>
      </c>
      <c r="Q21" s="77">
        <f t="shared" ca="1" si="5"/>
        <v>27</v>
      </c>
      <c r="R21" t="s">
        <v>68</v>
      </c>
    </row>
    <row r="22" spans="1:18" x14ac:dyDescent="0.3">
      <c r="A22" s="130"/>
      <c r="B22" s="140"/>
      <c r="C22" s="137"/>
      <c r="D22" s="138">
        <f ca="1">[1]Electric!D371</f>
        <v>7476.5999999999995</v>
      </c>
      <c r="E22" s="138">
        <f ca="1">[1]Electric!E371</f>
        <v>4.24</v>
      </c>
      <c r="F22" s="139">
        <f ca="1">[1]Electric!F371</f>
        <v>4.24E-2</v>
      </c>
      <c r="G22" s="139">
        <f ca="1">[1]Electric!G371</f>
        <v>3.7404563906774872E-2</v>
      </c>
      <c r="H22" s="139">
        <f ca="1">[1]Electric!H371</f>
        <v>0.88218311100884128</v>
      </c>
      <c r="I22" s="138">
        <f ca="1">[1]Electric!I371</f>
        <v>6595.7302477687026</v>
      </c>
      <c r="J22" s="138">
        <f ca="1">[1]Electric!J371</f>
        <v>-880.86975223129684</v>
      </c>
      <c r="P22" s="76"/>
      <c r="Q22" s="77"/>
    </row>
    <row r="23" spans="1:18" x14ac:dyDescent="0.3">
      <c r="A23" s="130">
        <f ca="1">[1]Electric!A372</f>
        <v>366</v>
      </c>
      <c r="B23" s="140" t="str">
        <f ca="1">[1]Electric!B372</f>
        <v xml:space="preserve">UNDERGROUND CONDUIT                 </v>
      </c>
      <c r="C23" s="137">
        <f ca="1">[1]Electric!C372</f>
        <v>672272622.88</v>
      </c>
      <c r="D23" s="138">
        <f ca="1">[1]Electric!D372</f>
        <v>14888909.970000001</v>
      </c>
      <c r="E23" s="138">
        <f ca="1">[1]Electric!E372</f>
        <v>2.2599999999999998</v>
      </c>
      <c r="F23" s="139">
        <f ca="1">[1]Electric!F372</f>
        <v>2.2599999999999999E-2</v>
      </c>
      <c r="G23" s="139">
        <f ca="1">[1]Electric!G372</f>
        <v>1.7720071581921921E-2</v>
      </c>
      <c r="H23" s="139">
        <f ca="1">[1]Electric!H372</f>
        <v>0.7840739638018549</v>
      </c>
      <c r="I23" s="138">
        <f ca="1">[1]Electric!I372</f>
        <v>11674006.656866858</v>
      </c>
      <c r="J23" s="138">
        <f ca="1">[1]Electric!J372</f>
        <v>-3214903.3131331429</v>
      </c>
      <c r="N23">
        <f t="shared" ca="1" si="2"/>
        <v>366</v>
      </c>
      <c r="O23" t="str">
        <f t="shared" ca="1" si="3"/>
        <v xml:space="preserve">UNDERGROUND CONDUIT                 </v>
      </c>
      <c r="P23" s="76">
        <f t="shared" ca="1" si="4"/>
        <v>1.7720071581921921E-2</v>
      </c>
      <c r="Q23" s="77">
        <f t="shared" ca="1" si="5"/>
        <v>56</v>
      </c>
      <c r="R23" t="s">
        <v>68</v>
      </c>
    </row>
    <row r="24" spans="1:18" x14ac:dyDescent="0.3">
      <c r="A24" s="130">
        <f ca="1">[1]Electric!A373</f>
        <v>367</v>
      </c>
      <c r="B24" s="140" t="str">
        <f ca="1">[1]Electric!B373</f>
        <v xml:space="preserve">UNDERGROUND CONDUCTORS AND DEVICES  </v>
      </c>
      <c r="C24" s="137">
        <f ca="1">[1]Electric!C373</f>
        <v>844856752.28999996</v>
      </c>
      <c r="D24" s="138">
        <f ca="1">[1]Electric!D373</f>
        <v>28926476.950000007</v>
      </c>
      <c r="E24" s="138">
        <f ca="1">[1]Electric!E373</f>
        <v>3.53</v>
      </c>
      <c r="F24" s="139">
        <f ca="1">[1]Electric!F373</f>
        <v>3.5299999999999998E-2</v>
      </c>
      <c r="G24" s="139">
        <f ca="1">[1]Electric!G373</f>
        <v>3.9321450541708852E-2</v>
      </c>
      <c r="H24" s="139">
        <f ca="1">[1]Electric!H373</f>
        <v>1.1139221116631404</v>
      </c>
      <c r="I24" s="138">
        <f ca="1">[1]Electric!I373</f>
        <v>32221842.287119165</v>
      </c>
      <c r="J24" s="138">
        <f ca="1">[1]Electric!J373</f>
        <v>3295365.3371191584</v>
      </c>
      <c r="N24">
        <f t="shared" ca="1" si="2"/>
        <v>367</v>
      </c>
      <c r="O24" t="str">
        <f t="shared" ca="1" si="3"/>
        <v xml:space="preserve">UNDERGROUND CONDUCTORS AND DEVICES  </v>
      </c>
      <c r="P24" s="76">
        <f t="shared" ca="1" si="4"/>
        <v>3.9321450541708852E-2</v>
      </c>
      <c r="Q24" s="77">
        <f t="shared" ca="1" si="5"/>
        <v>25</v>
      </c>
      <c r="R24" t="s">
        <v>68</v>
      </c>
    </row>
    <row r="25" spans="1:18" ht="15" thickBot="1" x14ac:dyDescent="0.35">
      <c r="A25" s="130"/>
      <c r="B25" s="140"/>
      <c r="C25" s="137"/>
      <c r="D25" s="138">
        <f ca="1">[1]Electric!D374</f>
        <v>796615.70000000019</v>
      </c>
      <c r="E25" s="138">
        <f ca="1">[1]Electric!E374</f>
        <v>4.24</v>
      </c>
      <c r="F25" s="139">
        <f ca="1">[1]Electric!F374</f>
        <v>4.24E-2</v>
      </c>
      <c r="G25" s="139">
        <f ca="1">[1]Electric!G374</f>
        <v>3.9321450541708852E-2</v>
      </c>
      <c r="H25" s="139">
        <f ca="1">[1]Electric!H374</f>
        <v>0.92739270145539743</v>
      </c>
      <c r="I25" s="138">
        <f ca="1">[1]Electric!I374</f>
        <v>738775.58604478266</v>
      </c>
      <c r="J25" s="138">
        <f ca="1">[1]Electric!J374</f>
        <v>-57840.11395521753</v>
      </c>
    </row>
    <row r="26" spans="1:18" ht="15" thickBot="1" x14ac:dyDescent="0.35">
      <c r="A26" s="130">
        <f ca="1">[1]Electric!A375</f>
        <v>368</v>
      </c>
      <c r="B26" s="140" t="str">
        <f ca="1">[1]Electric!B375</f>
        <v xml:space="preserve">LINE TRANSFORMERS                   </v>
      </c>
      <c r="C26" s="137">
        <f ca="1">[1]Electric!C375</f>
        <v>462673680.60000002</v>
      </c>
      <c r="D26" s="138">
        <f ca="1">[1]Electric!D375</f>
        <v>14908913.550000001</v>
      </c>
      <c r="E26" s="138">
        <f ca="1">[1]Electric!E375</f>
        <v>3.26</v>
      </c>
      <c r="F26" s="139">
        <f ca="1">[1]Electric!F375</f>
        <v>3.2599999999999997E-2</v>
      </c>
      <c r="G26" s="139">
        <f ca="1">[1]Electric!G375</f>
        <v>4.0645875891648892E-2</v>
      </c>
      <c r="H26" s="139">
        <f ca="1">[1]Electric!H375</f>
        <v>1.2468060089462851</v>
      </c>
      <c r="I26" s="138">
        <f ca="1">[1]Electric!I375</f>
        <v>18588523.001000691</v>
      </c>
      <c r="J26" s="138">
        <f ca="1">[1]Electric!J375</f>
        <v>3679609.4510006905</v>
      </c>
      <c r="N26" s="148" t="s">
        <v>91</v>
      </c>
      <c r="O26" s="153" t="s">
        <v>67</v>
      </c>
      <c r="P26" s="149"/>
      <c r="Q26" s="154">
        <f ca="1">ROUND(AVERAGE(Q19:Q24),0)</f>
        <v>35</v>
      </c>
      <c r="R26" s="152" t="s">
        <v>68</v>
      </c>
    </row>
    <row r="27" spans="1:18" x14ac:dyDescent="0.3">
      <c r="A27" s="130">
        <f ca="1">[1]Electric!A376</f>
        <v>369</v>
      </c>
      <c r="B27" s="140" t="str">
        <f ca="1">[1]Electric!B376</f>
        <v xml:space="preserve">SERVICES                            </v>
      </c>
      <c r="C27" s="137">
        <f ca="1">[1]Electric!C376</f>
        <v>182057677.19</v>
      </c>
      <c r="D27" s="138">
        <f ca="1">[1]Electric!D376</f>
        <v>4214546.3500000006</v>
      </c>
      <c r="E27" s="138">
        <f ca="1">[1]Electric!E376</f>
        <v>2.33</v>
      </c>
      <c r="F27" s="139">
        <f ca="1">[1]Electric!F376</f>
        <v>2.3300000000000001E-2</v>
      </c>
      <c r="G27" s="139">
        <f ca="1">[1]Electric!G376</f>
        <v>3.1460354149320122E-2</v>
      </c>
      <c r="H27" s="139">
        <f ca="1">[1]Electric!H376</f>
        <v>1.3502297918163142</v>
      </c>
      <c r="I27" s="138">
        <f ca="1">[1]Electric!I376</f>
        <v>5690606.040760708</v>
      </c>
      <c r="J27" s="138">
        <f ca="1">[1]Electric!J376</f>
        <v>1476059.6907607075</v>
      </c>
    </row>
    <row r="28" spans="1:18" x14ac:dyDescent="0.3">
      <c r="A28" s="130">
        <f ca="1">[1]Electric!A377</f>
        <v>370</v>
      </c>
      <c r="B28" s="140" t="str">
        <f ca="1">[1]Electric!B377</f>
        <v xml:space="preserve">METERS **            </v>
      </c>
      <c r="C28" s="137">
        <f ca="1">[1]Electric!C377</f>
        <v>140665913.55000001</v>
      </c>
      <c r="D28" s="138">
        <f ca="1">[1]Electric!D377</f>
        <v>3156227.3000000007</v>
      </c>
      <c r="E28" s="138">
        <f ca="1">[1]Electric!E377</f>
        <v>2.3199999999999998</v>
      </c>
      <c r="F28" s="139">
        <f ca="1">[1]Electric!F377</f>
        <v>2.3199999999999998E-2</v>
      </c>
      <c r="G28" s="139">
        <f ca="1">[1]Electric!G377</f>
        <v>8.3392143156489656E-2</v>
      </c>
      <c r="H28" s="139">
        <f ca="1">[1]Electric!H377</f>
        <v>3.5944889291590369</v>
      </c>
      <c r="I28" s="138">
        <f ca="1">[1]Electric!I377</f>
        <v>11345024.087759521</v>
      </c>
      <c r="J28" s="138">
        <f ca="1">[1]Electric!J377</f>
        <v>8188796.7877595201</v>
      </c>
    </row>
    <row r="29" spans="1:18" x14ac:dyDescent="0.3">
      <c r="A29" s="130">
        <f ca="1">[1]Electric!A378</f>
        <v>373</v>
      </c>
      <c r="B29" s="140" t="str">
        <f ca="1">[1]Electric!B378</f>
        <v xml:space="preserve">STREET LIGHTING AND SIGNAL SYSTEMS  </v>
      </c>
      <c r="C29" s="141">
        <f ca="1">[1]Electric!C378</f>
        <v>53727968.479999997</v>
      </c>
      <c r="D29" s="142">
        <f ca="1">[1]Electric!D378</f>
        <v>1745428.26</v>
      </c>
      <c r="E29" s="138">
        <f ca="1">[1]Electric!E378</f>
        <v>3.34</v>
      </c>
      <c r="F29" s="143">
        <f ca="1">[1]Electric!F378</f>
        <v>3.3399999999999999E-2</v>
      </c>
      <c r="G29" s="143">
        <f ca="1">[1]Electric!G378</f>
        <v>4.7508180045001402E-2</v>
      </c>
      <c r="H29" s="143">
        <f ca="1">[1]Electric!H378</f>
        <v>1.4224006001497427</v>
      </c>
      <c r="I29" s="142">
        <f ca="1">[1]Electric!I378</f>
        <v>2482698.2045423212</v>
      </c>
      <c r="J29" s="142">
        <f ca="1">[1]Electric!J378</f>
        <v>737269.94454232114</v>
      </c>
    </row>
    <row r="30" spans="1:18" x14ac:dyDescent="0.3">
      <c r="A30" s="130"/>
      <c r="B30" s="140"/>
      <c r="C30" s="132"/>
      <c r="D30" s="133"/>
      <c r="E30" s="121"/>
      <c r="F30" s="130"/>
      <c r="G30" s="130"/>
      <c r="H30" s="130"/>
      <c r="I30" s="133"/>
      <c r="J30" s="118"/>
    </row>
    <row r="31" spans="1:18" x14ac:dyDescent="0.3">
      <c r="A31" s="130"/>
      <c r="B31" s="144" t="str">
        <f ca="1">[1]Electric!B380</f>
        <v xml:space="preserve">    TOTAL DISTRIBUTION PLANT </v>
      </c>
      <c r="C31" s="145">
        <f ca="1">[1]Electric!C380</f>
        <v>3556655872.5100002</v>
      </c>
      <c r="D31" s="145">
        <f ca="1">[1]Electric!D380</f>
        <v>98549950.549999997</v>
      </c>
      <c r="E31" s="146">
        <f ca="1">[1]Electric!E380</f>
        <v>2.7708598774401922E-2</v>
      </c>
      <c r="F31" s="147">
        <f ca="1">[1]Electric!F380</f>
        <v>2.7708598774401922E-2</v>
      </c>
      <c r="G31" s="147">
        <f ca="1">[1]Electric!G380</f>
        <v>3.2768655884905337E-2</v>
      </c>
      <c r="H31" s="139">
        <f ca="1">[1]Electric!H380</f>
        <v>1.1826168530462846</v>
      </c>
      <c r="I31" s="145">
        <f ca="1">[1]Electric!I380</f>
        <v>116546832.38730796</v>
      </c>
      <c r="J31" s="145">
        <f ca="1">[1]Electric!J380</f>
        <v>17996881.837307937</v>
      </c>
    </row>
  </sheetData>
  <mergeCells count="6">
    <mergeCell ref="A12:J12"/>
    <mergeCell ref="Q10:R10"/>
    <mergeCell ref="A1:J1"/>
    <mergeCell ref="A2:J2"/>
    <mergeCell ref="A3:J3"/>
    <mergeCell ref="A4:J4"/>
  </mergeCells>
  <printOptions horizontalCentered="1"/>
  <pageMargins left="0.25" right="0.25" top="0.75" bottom="0.75" header="0.3" footer="0.3"/>
  <pageSetup scale="78" orientation="landscape" r:id="rId1"/>
  <headerFooter alignWithMargins="0">
    <oddFooter>&amp;L&amp;"Arial,Regular"&amp;8&amp;F&amp;C&amp;A&amp;R&amp;"Arial,Regular"2017 GRC Compliance Filing
Docket No. UE-170033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8" sqref="D18"/>
    </sheetView>
  </sheetViews>
  <sheetFormatPr defaultRowHeight="14.4" x14ac:dyDescent="0.3"/>
  <cols>
    <col min="1" max="1" width="5.44140625" bestFit="1" customWidth="1"/>
    <col min="2" max="2" width="64.5546875" bestFit="1" customWidth="1"/>
    <col min="3" max="3" width="2" bestFit="1" customWidth="1"/>
    <col min="4" max="4" width="8" bestFit="1" customWidth="1"/>
    <col min="5" max="5" width="9.109375" bestFit="1" customWidth="1"/>
  </cols>
  <sheetData>
    <row r="1" spans="1:5" ht="15" thickBot="1" x14ac:dyDescent="0.35">
      <c r="A1" s="155"/>
      <c r="B1" s="155"/>
      <c r="C1" s="155"/>
      <c r="D1" s="155"/>
      <c r="E1" s="156"/>
    </row>
    <row r="2" spans="1:5" ht="15" thickBot="1" x14ac:dyDescent="0.35">
      <c r="A2" s="155"/>
      <c r="B2" s="155"/>
      <c r="C2" s="155"/>
      <c r="D2" s="155"/>
      <c r="E2" s="157" t="str">
        <f ca="1">'[2]3.04 E'!E5</f>
        <v>Page 3.04</v>
      </c>
    </row>
    <row r="3" spans="1:5" x14ac:dyDescent="0.3">
      <c r="A3" s="158"/>
      <c r="B3" s="256" t="str">
        <f ca="1">'[2]3.04 E'!B6</f>
        <v>PUGET SOUND ENERGY-ELECTRIC</v>
      </c>
      <c r="C3" s="256"/>
      <c r="D3" s="256"/>
      <c r="E3" s="256"/>
    </row>
    <row r="4" spans="1:5" x14ac:dyDescent="0.3">
      <c r="A4" s="159"/>
      <c r="B4" s="257" t="str">
        <f ca="1">'[2]3.04 E'!B7</f>
        <v>CONVERSION FACTOR - ELECTRIC</v>
      </c>
      <c r="C4" s="257"/>
      <c r="D4" s="257"/>
      <c r="E4" s="257"/>
    </row>
    <row r="5" spans="1:5" x14ac:dyDescent="0.3">
      <c r="A5" s="160"/>
      <c r="B5" s="258" t="str">
        <f ca="1">'[2]3.04 E'!B8</f>
        <v>FOR THE TWELVE MONTHS ENDED SEPTEMBER 30, 2016</v>
      </c>
      <c r="C5" s="258"/>
      <c r="D5" s="258"/>
      <c r="E5" s="258"/>
    </row>
    <row r="6" spans="1:5" x14ac:dyDescent="0.3">
      <c r="A6" s="160"/>
      <c r="B6" s="258"/>
      <c r="C6" s="258"/>
      <c r="D6" s="258"/>
      <c r="E6" s="258"/>
    </row>
    <row r="7" spans="1:5" x14ac:dyDescent="0.3">
      <c r="A7" s="155"/>
      <c r="B7" s="155"/>
      <c r="C7" s="155"/>
      <c r="D7" s="161"/>
      <c r="E7" s="155"/>
    </row>
    <row r="8" spans="1:5" x14ac:dyDescent="0.3">
      <c r="A8" s="161" t="str">
        <f ca="1">'[2]3.04 E'!A11</f>
        <v>LINE</v>
      </c>
      <c r="B8" s="155"/>
      <c r="C8" s="155"/>
      <c r="D8" s="155"/>
      <c r="E8" s="155"/>
    </row>
    <row r="9" spans="1:5" x14ac:dyDescent="0.3">
      <c r="A9" s="162" t="str">
        <f ca="1">'[2]3.04 E'!A12</f>
        <v>NO.</v>
      </c>
      <c r="B9" s="163" t="str">
        <f ca="1">'[2]3.04 E'!B12</f>
        <v>DESCRIPTION</v>
      </c>
      <c r="C9" s="164"/>
      <c r="D9" s="164"/>
      <c r="E9" s="165" t="str">
        <f ca="1">'[2]3.04 E'!E12</f>
        <v>RATE</v>
      </c>
    </row>
    <row r="10" spans="1:5" x14ac:dyDescent="0.3">
      <c r="A10" s="166"/>
      <c r="B10" s="166"/>
      <c r="C10" s="166"/>
      <c r="D10" s="166"/>
      <c r="E10" s="167"/>
    </row>
    <row r="11" spans="1:5" x14ac:dyDescent="0.3">
      <c r="A11" s="167">
        <f ca="1">'[2]3.04 E'!A14</f>
        <v>1</v>
      </c>
      <c r="B11" s="168" t="str">
        <f ca="1">'[2]3.04 E'!B14</f>
        <v>BAD DEBTS</v>
      </c>
      <c r="C11" s="166"/>
      <c r="D11" s="166"/>
      <c r="E11" s="169">
        <f ca="1">'[2]3.04 E'!E14</f>
        <v>7.1570000000000002E-3</v>
      </c>
    </row>
    <row r="12" spans="1:5" x14ac:dyDescent="0.3">
      <c r="A12" s="167">
        <f ca="1">'[2]3.04 E'!A15</f>
        <v>2</v>
      </c>
      <c r="B12" s="168" t="str">
        <f ca="1">'[2]3.04 E'!B15</f>
        <v>ANNUAL FILING FEE</v>
      </c>
      <c r="C12" s="166"/>
      <c r="D12" s="166"/>
      <c r="E12" s="169">
        <f ca="1">'[2]3.04 E'!E15</f>
        <v>2E-3</v>
      </c>
    </row>
    <row r="13" spans="1:5" x14ac:dyDescent="0.3">
      <c r="A13" s="167">
        <f ca="1">'[2]3.04 E'!A16</f>
        <v>3</v>
      </c>
      <c r="B13" s="168" t="str">
        <f ca="1">'[2]3.04 E'!B16</f>
        <v>STATE UTILITY TAX - NET OF BAD DEBTS ( 3.8734% - ( LINE 1 * 3.8734%) )</v>
      </c>
      <c r="C13" s="166"/>
      <c r="D13" s="170">
        <f ca="1">'[2]3.04 E'!D16</f>
        <v>3.8733999999999998E-2</v>
      </c>
      <c r="E13" s="171">
        <f ca="1">'[2]3.04 E'!E16</f>
        <v>3.8456999999999998E-2</v>
      </c>
    </row>
    <row r="14" spans="1:5" x14ac:dyDescent="0.3">
      <c r="A14" s="167">
        <f ca="1">'[2]3.04 E'!A17</f>
        <v>4</v>
      </c>
      <c r="B14" s="168"/>
      <c r="C14" s="166"/>
      <c r="D14" s="166"/>
      <c r="E14" s="172"/>
    </row>
    <row r="15" spans="1:5" x14ac:dyDescent="0.3">
      <c r="A15" s="167">
        <f ca="1">'[2]3.04 E'!A18</f>
        <v>5</v>
      </c>
      <c r="B15" s="168" t="str">
        <f ca="1">'[2]3.04 E'!B18</f>
        <v>SUM OF TAXES OTHER</v>
      </c>
      <c r="C15" s="166"/>
      <c r="D15" s="166"/>
      <c r="E15" s="169">
        <f ca="1">'[2]3.04 E'!E18</f>
        <v>4.7613999999999997E-2</v>
      </c>
    </row>
    <row r="16" spans="1:5" x14ac:dyDescent="0.3">
      <c r="A16" s="167">
        <f ca="1">'[2]3.04 E'!A19</f>
        <v>6</v>
      </c>
      <c r="B16" s="166"/>
      <c r="C16" s="166"/>
      <c r="D16" s="166"/>
      <c r="E16" s="169"/>
    </row>
    <row r="17" spans="1:5" x14ac:dyDescent="0.3">
      <c r="A17" s="167">
        <f ca="1">'[2]3.04 E'!A20</f>
        <v>7</v>
      </c>
      <c r="B17" s="166" t="str">
        <f ca="1">'[2]3.04 E'!B20</f>
        <v>CONVERSION FACTOR EXCLUDING FEDERAL INCOME TAX ( 1 - LINE 5)</v>
      </c>
      <c r="C17" s="166"/>
      <c r="D17" s="166"/>
      <c r="E17" s="169">
        <f ca="1">'[2]3.04 E'!E20</f>
        <v>0.95238599999999995</v>
      </c>
    </row>
    <row r="18" spans="1:5" x14ac:dyDescent="0.3">
      <c r="A18" s="167">
        <f ca="1">'[2]3.04 E'!A21</f>
        <v>8</v>
      </c>
      <c r="B18" s="168" t="str">
        <f ca="1">'[2]3.04 E'!B21</f>
        <v>FEDERAL INCOME TAX ( LINE 7 * 35%)</v>
      </c>
      <c r="C18" s="166"/>
      <c r="D18" s="173">
        <f ca="1">'[2]3.04 E'!D21</f>
        <v>0.21</v>
      </c>
      <c r="E18" s="174">
        <f ca="1">'[2]3.04 E'!E21</f>
        <v>0.20000100000000001</v>
      </c>
    </row>
    <row r="19" spans="1:5" x14ac:dyDescent="0.3">
      <c r="A19" s="167">
        <f ca="1">'[2]3.04 E'!A22</f>
        <v>9</v>
      </c>
      <c r="B19" s="168" t="str">
        <f ca="1">'[2]3.04 E'!B22</f>
        <v xml:space="preserve">CONVERSION FACTOR INCL FEDERAL INCOME TAX ( LINE 5 + LINE 8 ) </v>
      </c>
      <c r="C19" s="166"/>
      <c r="D19" s="175"/>
      <c r="E19" s="176">
        <f ca="1">'[2]3.04 E'!E22</f>
        <v>0.75238499999999997</v>
      </c>
    </row>
  </sheetData>
  <mergeCells count="4">
    <mergeCell ref="B3:E3"/>
    <mergeCell ref="B4:E4"/>
    <mergeCell ref="B5:E5"/>
    <mergeCell ref="B6:E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F763AAB468E64197F43E07485FDC59" ma:contentTypeVersion="68" ma:contentTypeDescription="" ma:contentTypeScope="" ma:versionID="78f9885ecf875f47b1afb30f1493c7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2018-05-01T07:00:00+00:00</OpenedDate>
    <SignificantOrder xmlns="dc463f71-b30c-4ab2-9473-d307f9d35888">false</SignificantOrder>
    <Date1 xmlns="dc463f71-b30c-4ab2-9473-d307f9d35888">2018-05-01T07:00:00+00:00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180382</DocketNumber>
    <DelegatedOrder xmlns="dc463f71-b30c-4ab2-9473-d307f9d35888">false</DelegatedOrder>
  </documentManagement>
</p:properties>
</file>

<file path=customXml/itemProps1.xml><?xml version="1.0" encoding="utf-8"?>
<ds:datastoreItem xmlns:ds="http://schemas.openxmlformats.org/officeDocument/2006/customXml" ds:itemID="{D0C8647A-8281-488F-8C4E-78880EB1FF30}"/>
</file>

<file path=customXml/itemProps2.xml><?xml version="1.0" encoding="utf-8"?>
<ds:datastoreItem xmlns:ds="http://schemas.openxmlformats.org/officeDocument/2006/customXml" ds:itemID="{94A65859-CA22-48FB-A3C1-24B5117A3B7C}"/>
</file>

<file path=customXml/itemProps3.xml><?xml version="1.0" encoding="utf-8"?>
<ds:datastoreItem xmlns:ds="http://schemas.openxmlformats.org/officeDocument/2006/customXml" ds:itemID="{95220A5D-D16E-4A64-A33B-5BD608B1E0B2}"/>
</file>

<file path=customXml/itemProps4.xml><?xml version="1.0" encoding="utf-8"?>
<ds:datastoreItem xmlns:ds="http://schemas.openxmlformats.org/officeDocument/2006/customXml" ds:itemID="{BB843B6F-EE28-4B99-AF30-4152C309FB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FCR Read Me</vt:lpstr>
      <vt:lpstr>Sch 40 FCR Table</vt:lpstr>
      <vt:lpstr>FCR Rates Feeder</vt:lpstr>
      <vt:lpstr>FCR Rates Sub</vt:lpstr>
      <vt:lpstr>Lvl FCR Sub Equip</vt:lpstr>
      <vt:lpstr>Lvl FCR Feeder</vt:lpstr>
      <vt:lpstr>LvlFCR Land</vt:lpstr>
      <vt:lpstr>Sub &amp; Feeder Depr Life</vt:lpstr>
      <vt:lpstr>3.04 E</vt:lpstr>
      <vt:lpstr>Pg 1 CofCap</vt:lpstr>
      <vt:lpstr>'FCR Rates Feeder'!Print_Area</vt:lpstr>
      <vt:lpstr>'FCR Rates Sub'!Print_Area</vt:lpstr>
      <vt:lpstr>'FCR Read Me'!Print_Area</vt:lpstr>
      <vt:lpstr>'Lvl FCR Feeder'!Print_Area</vt:lpstr>
      <vt:lpstr>'Lvl FCR Sub Equip'!Print_Area</vt:lpstr>
      <vt:lpstr>'LvlFCR Land'!Print_Area</vt:lpstr>
      <vt:lpstr>'Sch 40 FCR Table'!Print_Area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kbarnard</cp:lastModifiedBy>
  <cp:lastPrinted>2017-12-08T21:00:07Z</cp:lastPrinted>
  <dcterms:created xsi:type="dcterms:W3CDTF">2013-09-13T17:20:41Z</dcterms:created>
  <dcterms:modified xsi:type="dcterms:W3CDTF">2018-04-05T15:49:53Z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0x0101006E56B4D1795A2E4DB2F0B01679ED314A00C5F763AAB468E64197F43E07485FDC59</vt:lpwstr>
  </property>
  <property fmtid="{D5CDD505-2E9C-101B-9397-08002B2CF9AE}" pid="3" name="_docset_NoMedatataSyncRequired">
    <vt:lpwstr>False</vt:lpwstr>
  </property>
  <property fmtid="{D5CDD505-2E9C-101B-9397-08002B2CF9AE}" pid="4" name="IsEFSEC">
    <vt:bool>false</vt:bool>
  </property>
</Properties>
</file>