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4. Thursday\TG-161288 Basin Disposal\"/>
    </mc:Choice>
  </mc:AlternateContent>
  <bookViews>
    <workbookView xWindow="13260" yWindow="195" windowWidth="13380" windowHeight="7290"/>
  </bookViews>
  <sheets>
    <sheet name="References" sheetId="4" r:id="rId1"/>
    <sheet name="Calculations" sheetId="7" r:id="rId2"/>
    <sheet name="Revenue Increase" sheetId="8" r:id="rId3"/>
  </sheets>
  <definedNames>
    <definedName name="_xlnm.Print_Area" localSheetId="1">Calculations!$A$1:$Q$53</definedName>
    <definedName name="_xlnm.Print_Area" localSheetId="0">References!$A$2:$H$66</definedName>
    <definedName name="_xlnm.Print_Area" localSheetId="2">'Revenue Increase'!$A$1:$L$23</definedName>
    <definedName name="_xlnm.Print_Titles" localSheetId="1">Calculations!$1:$2</definedName>
    <definedName name="_xlnm.Print_Titles" localSheetId="0">References!$1:$1</definedName>
  </definedNames>
  <calcPr calcId="152511"/>
</workbook>
</file>

<file path=xl/calcChain.xml><?xml version="1.0" encoding="utf-8"?>
<calcChain xmlns="http://schemas.openxmlformats.org/spreadsheetml/2006/main">
  <c r="G16" i="7" l="1"/>
  <c r="G15" i="7"/>
  <c r="F16" i="7"/>
  <c r="H16" i="7" s="1"/>
  <c r="F15" i="7"/>
  <c r="O16" i="7" l="1"/>
  <c r="H15" i="7"/>
  <c r="O15" i="7"/>
  <c r="G37" i="7" l="1"/>
  <c r="F37" i="7"/>
  <c r="H37" i="7" l="1"/>
  <c r="D21" i="8"/>
  <c r="H10" i="8" s="1"/>
  <c r="D20" i="8"/>
  <c r="F10" i="8" s="1"/>
  <c r="D19" i="7"/>
  <c r="G19" i="7"/>
  <c r="O7" i="7"/>
  <c r="O6" i="7"/>
  <c r="G6" i="7"/>
  <c r="O4" i="7"/>
  <c r="G4" i="7"/>
  <c r="L10" i="8" l="1"/>
  <c r="J10" i="8"/>
  <c r="D22" i="8"/>
  <c r="D24" i="7" l="1"/>
  <c r="B5" i="4" l="1"/>
  <c r="B6" i="4"/>
  <c r="B7" i="4"/>
  <c r="B9" i="4"/>
  <c r="B8" i="4"/>
  <c r="B4" i="4"/>
  <c r="F14" i="7"/>
  <c r="E6" i="7" l="1"/>
  <c r="F6" i="7" s="1"/>
  <c r="H6" i="7" s="1"/>
  <c r="E4" i="7"/>
  <c r="F4" i="7" s="1"/>
  <c r="H4" i="7" s="1"/>
  <c r="G21" i="7"/>
  <c r="G35" i="7"/>
  <c r="G33" i="7"/>
  <c r="O9" i="7"/>
  <c r="G8" i="7" l="1"/>
  <c r="G5" i="7"/>
  <c r="G10" i="7"/>
  <c r="G14" i="7"/>
  <c r="H14" i="7" s="1"/>
  <c r="G18" i="7"/>
  <c r="G20" i="7"/>
  <c r="G49" i="4"/>
  <c r="D51" i="7"/>
  <c r="C48" i="4"/>
  <c r="C49" i="4"/>
  <c r="G36" i="7"/>
  <c r="G9" i="7"/>
  <c r="E30" i="7"/>
  <c r="F30" i="7" s="1"/>
  <c r="G30" i="7"/>
  <c r="E31" i="7"/>
  <c r="F31" i="7" s="1"/>
  <c r="G31" i="7"/>
  <c r="E7" i="7"/>
  <c r="F7" i="7" s="1"/>
  <c r="G7" i="7"/>
  <c r="E33" i="7"/>
  <c r="G34" i="7"/>
  <c r="E35" i="7"/>
  <c r="D12" i="7"/>
  <c r="O8" i="7"/>
  <c r="G42" i="7"/>
  <c r="G41" i="7"/>
  <c r="G40" i="7"/>
  <c r="O5" i="7"/>
  <c r="O14" i="7"/>
  <c r="O10" i="7"/>
  <c r="B55" i="4"/>
  <c r="F4" i="4"/>
  <c r="H5" i="4"/>
  <c r="D6" i="4"/>
  <c r="C7" i="4"/>
  <c r="C5" i="4"/>
  <c r="E5" i="4"/>
  <c r="G5" i="4"/>
  <c r="F6" i="4"/>
  <c r="C6" i="4"/>
  <c r="D5" i="4"/>
  <c r="F5" i="4"/>
  <c r="E6" i="4"/>
  <c r="G6" i="4"/>
  <c r="H6" i="4"/>
  <c r="G4" i="4"/>
  <c r="H4" i="4"/>
  <c r="G48" i="4"/>
  <c r="G51" i="4" s="1"/>
  <c r="G53" i="4" s="1"/>
  <c r="B50" i="4"/>
  <c r="B53" i="4" s="1"/>
  <c r="B10" i="4"/>
  <c r="G9" i="4"/>
  <c r="E8" i="7"/>
  <c r="F8" i="7" s="1"/>
  <c r="F9" i="4"/>
  <c r="E9" i="4"/>
  <c r="D9" i="4"/>
  <c r="H8" i="4"/>
  <c r="G8" i="4"/>
  <c r="E8" i="4"/>
  <c r="D8" i="4"/>
  <c r="G10" i="4"/>
  <c r="F10" i="4"/>
  <c r="E20" i="7" l="1"/>
  <c r="F20" i="7" s="1"/>
  <c r="O20" i="7" s="1"/>
  <c r="E19" i="7"/>
  <c r="F19" i="7" s="1"/>
  <c r="E21" i="7"/>
  <c r="F21" i="7" s="1"/>
  <c r="E18" i="7"/>
  <c r="F18" i="7" s="1"/>
  <c r="H10" i="4"/>
  <c r="E42" i="7"/>
  <c r="F42" i="7" s="1"/>
  <c r="H42" i="7" s="1"/>
  <c r="B54" i="4"/>
  <c r="O12" i="7"/>
  <c r="F8" i="8" s="1"/>
  <c r="D25" i="7"/>
  <c r="H35" i="7"/>
  <c r="H30" i="7"/>
  <c r="H31" i="7"/>
  <c r="H7" i="7"/>
  <c r="H33" i="7"/>
  <c r="B56" i="4"/>
  <c r="H7" i="4"/>
  <c r="G7" i="4"/>
  <c r="G24" i="7"/>
  <c r="F7" i="4"/>
  <c r="E7" i="4"/>
  <c r="D7" i="4"/>
  <c r="H8" i="7"/>
  <c r="H9" i="4"/>
  <c r="E9" i="7"/>
  <c r="F9" i="7" s="1"/>
  <c r="H9" i="7" s="1"/>
  <c r="C10" i="4"/>
  <c r="E36" i="7"/>
  <c r="F36" i="7" s="1"/>
  <c r="H36" i="7" s="1"/>
  <c r="E41" i="7"/>
  <c r="F41" i="7" s="1"/>
  <c r="H41" i="7" s="1"/>
  <c r="E10" i="4"/>
  <c r="C50" i="4"/>
  <c r="E4" i="4"/>
  <c r="C4" i="4"/>
  <c r="D4" i="4"/>
  <c r="D10" i="4"/>
  <c r="C9" i="4"/>
  <c r="E40" i="7"/>
  <c r="F40" i="7" s="1"/>
  <c r="H40" i="7" s="1"/>
  <c r="C8" i="4"/>
  <c r="E34" i="7"/>
  <c r="H34" i="7" s="1"/>
  <c r="E5" i="7"/>
  <c r="F5" i="7" s="1"/>
  <c r="F8" i="4"/>
  <c r="E10" i="7"/>
  <c r="F10" i="7" s="1"/>
  <c r="H10" i="7" s="1"/>
  <c r="H19" i="7" l="1"/>
  <c r="O19" i="7"/>
  <c r="F24" i="7"/>
  <c r="O18" i="7"/>
  <c r="O24" i="7" s="1"/>
  <c r="F9" i="8" s="1"/>
  <c r="F11" i="8" s="1"/>
  <c r="H18" i="7"/>
  <c r="O21" i="7"/>
  <c r="H21" i="7"/>
  <c r="H20" i="7"/>
  <c r="H5" i="7"/>
  <c r="H12" i="7" s="1"/>
  <c r="F12" i="7"/>
  <c r="H24" i="7" l="1"/>
  <c r="H25" i="7" s="1"/>
  <c r="D53" i="7" s="1"/>
  <c r="F25" i="7"/>
  <c r="D52" i="7"/>
  <c r="I19" i="7" l="1"/>
  <c r="J19" i="7" s="1"/>
  <c r="K19" i="7" s="1"/>
  <c r="L19" i="7" s="1"/>
  <c r="N19" i="7" s="1"/>
  <c r="P19" i="7" s="1"/>
  <c r="Q19" i="7" s="1"/>
  <c r="I21" i="7"/>
  <c r="J21" i="7" s="1"/>
  <c r="K21" i="7" s="1"/>
  <c r="L21" i="7" s="1"/>
  <c r="N21" i="7" s="1"/>
  <c r="P21" i="7" s="1"/>
  <c r="Q21" i="7" s="1"/>
  <c r="I18" i="7"/>
  <c r="J18" i="7" s="1"/>
  <c r="K18" i="7" s="1"/>
  <c r="L18" i="7" s="1"/>
  <c r="N18" i="7" s="1"/>
  <c r="P18" i="7" s="1"/>
  <c r="Q18" i="7" s="1"/>
  <c r="I5" i="7"/>
  <c r="J5" i="7" s="1"/>
  <c r="K5" i="7" s="1"/>
  <c r="L5" i="7" s="1"/>
  <c r="N5" i="7" s="1"/>
  <c r="P5" i="7" s="1"/>
  <c r="I41" i="7"/>
  <c r="J41" i="7" s="1"/>
  <c r="K41" i="7" s="1"/>
  <c r="L41" i="7" s="1"/>
  <c r="N41" i="7" s="1"/>
  <c r="I31" i="7"/>
  <c r="J31" i="7" s="1"/>
  <c r="K31" i="7" s="1"/>
  <c r="L31" i="7" s="1"/>
  <c r="N31" i="7" s="1"/>
  <c r="I37" i="7"/>
  <c r="J37" i="7" s="1"/>
  <c r="K37" i="7" s="1"/>
  <c r="L37" i="7" s="1"/>
  <c r="N37" i="7" s="1"/>
  <c r="I14" i="7"/>
  <c r="J14" i="7" s="1"/>
  <c r="K14" i="7" s="1"/>
  <c r="L14" i="7" s="1"/>
  <c r="N14" i="7" s="1"/>
  <c r="P14" i="7" s="1"/>
  <c r="I35" i="7"/>
  <c r="J35" i="7" s="1"/>
  <c r="K35" i="7" s="1"/>
  <c r="L35" i="7" s="1"/>
  <c r="N35" i="7" s="1"/>
  <c r="I9" i="7"/>
  <c r="J9" i="7" s="1"/>
  <c r="K9" i="7" s="1"/>
  <c r="L9" i="7" s="1"/>
  <c r="N9" i="7" s="1"/>
  <c r="I34" i="7"/>
  <c r="J34" i="7" s="1"/>
  <c r="K34" i="7" s="1"/>
  <c r="L34" i="7" s="1"/>
  <c r="N34" i="7" s="1"/>
  <c r="I15" i="7"/>
  <c r="J15" i="7" s="1"/>
  <c r="K15" i="7" s="1"/>
  <c r="L15" i="7" s="1"/>
  <c r="N15" i="7" s="1"/>
  <c r="P15" i="7" s="1"/>
  <c r="Q15" i="7" s="1"/>
  <c r="I4" i="7"/>
  <c r="J4" i="7" s="1"/>
  <c r="K4" i="7" s="1"/>
  <c r="L4" i="7" s="1"/>
  <c r="N4" i="7" s="1"/>
  <c r="P4" i="7" s="1"/>
  <c r="Q4" i="7" s="1"/>
  <c r="I8" i="7"/>
  <c r="I40" i="7"/>
  <c r="J40" i="7" s="1"/>
  <c r="K40" i="7" s="1"/>
  <c r="L40" i="7" s="1"/>
  <c r="N40" i="7" s="1"/>
  <c r="I42" i="7"/>
  <c r="J42" i="7" s="1"/>
  <c r="K42" i="7" s="1"/>
  <c r="L42" i="7" s="1"/>
  <c r="N42" i="7" s="1"/>
  <c r="I36" i="7"/>
  <c r="J36" i="7" s="1"/>
  <c r="K36" i="7" s="1"/>
  <c r="L36" i="7" s="1"/>
  <c r="N36" i="7" s="1"/>
  <c r="I16" i="7"/>
  <c r="J16" i="7" s="1"/>
  <c r="K16" i="7" s="1"/>
  <c r="L16" i="7" s="1"/>
  <c r="N16" i="7" s="1"/>
  <c r="P16" i="7" s="1"/>
  <c r="Q16" i="7" s="1"/>
  <c r="I6" i="7"/>
  <c r="J6" i="7" s="1"/>
  <c r="K6" i="7" s="1"/>
  <c r="L6" i="7" s="1"/>
  <c r="N6" i="7" s="1"/>
  <c r="P6" i="7" s="1"/>
  <c r="Q6" i="7" s="1"/>
  <c r="I10" i="7"/>
  <c r="J10" i="7" s="1"/>
  <c r="K10" i="7" s="1"/>
  <c r="L10" i="7" s="1"/>
  <c r="N10" i="7" s="1"/>
  <c r="P10" i="7" s="1"/>
  <c r="Q10" i="7" s="1"/>
  <c r="I20" i="7"/>
  <c r="J20" i="7" s="1"/>
  <c r="K20" i="7" s="1"/>
  <c r="L20" i="7" s="1"/>
  <c r="N20" i="7" s="1"/>
  <c r="P20" i="7" s="1"/>
  <c r="Q20" i="7" s="1"/>
  <c r="I33" i="7"/>
  <c r="J33" i="7" s="1"/>
  <c r="K33" i="7" s="1"/>
  <c r="L33" i="7" s="1"/>
  <c r="N33" i="7" s="1"/>
  <c r="I30" i="7"/>
  <c r="J30" i="7" s="1"/>
  <c r="K30" i="7" s="1"/>
  <c r="L30" i="7" s="1"/>
  <c r="N30" i="7" s="1"/>
  <c r="I7" i="7"/>
  <c r="J7" i="7" s="1"/>
  <c r="K7" i="7" s="1"/>
  <c r="L7" i="7" s="1"/>
  <c r="N7" i="7" s="1"/>
  <c r="P7" i="7" s="1"/>
  <c r="Q7" i="7" s="1"/>
  <c r="I12" i="7"/>
  <c r="O25" i="7"/>
  <c r="P9" i="7"/>
  <c r="Q9" i="7" s="1"/>
  <c r="J8" i="7"/>
  <c r="K8" i="7" s="1"/>
  <c r="L8" i="7" s="1"/>
  <c r="N8" i="7" s="1"/>
  <c r="P8" i="7" s="1"/>
  <c r="I24" i="7" l="1"/>
  <c r="Q14" i="7"/>
  <c r="Q24" i="7" s="1"/>
  <c r="P24" i="7"/>
  <c r="H9" i="8" s="1"/>
  <c r="Q5" i="7"/>
  <c r="P12" i="7"/>
  <c r="H8" i="8" s="1"/>
  <c r="I25" i="7"/>
  <c r="Q8" i="7"/>
  <c r="J9" i="8" l="1"/>
  <c r="L9" i="8"/>
  <c r="H11" i="8"/>
  <c r="L11" i="8" s="1"/>
  <c r="J8" i="8"/>
  <c r="L8" i="8"/>
  <c r="Q12" i="7"/>
  <c r="Q25" i="7" s="1"/>
  <c r="P25" i="7"/>
  <c r="J11" i="8" l="1"/>
  <c r="B61" i="4"/>
  <c r="B62" i="4" s="1"/>
  <c r="B65" i="4"/>
  <c r="B66" i="4" s="1"/>
  <c r="C66" i="4" l="1"/>
</calcChain>
</file>

<file path=xl/sharedStrings.xml><?xml version="1.0" encoding="utf-8"?>
<sst xmlns="http://schemas.openxmlformats.org/spreadsheetml/2006/main" count="162" uniqueCount="142">
  <si>
    <t>Monthly Frequency</t>
  </si>
  <si>
    <t>Annual PU's</t>
  </si>
  <si>
    <t>Gross Up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</si>
  <si>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</si>
  <si>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</si>
  <si>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</si>
  <si>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</si>
  <si>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</si>
  <si>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</si>
  <si>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</si>
  <si>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</si>
  <si>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</si>
  <si>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</si>
  <si>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</si>
  <si>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</si>
  <si>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</si>
  <si>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</si>
  <si>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</si>
  <si>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</si>
  <si>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</si>
  <si>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</si>
  <si>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</si>
  <si>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</si>
  <si>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</si>
  <si>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</si>
  <si>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</si>
  <si>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</si>
  <si>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</si>
  <si>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</si>
  <si>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</si>
  <si>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</si>
  <si>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</si>
  <si>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</si>
  <si>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</si>
  <si>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</si>
  <si>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</si>
  <si>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</si>
  <si>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Monthly Customers</t>
  </si>
  <si>
    <t>Tariff Rate Increase</t>
  </si>
  <si>
    <t>Revised Revenue Increase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</si>
  <si>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</si>
  <si>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</si>
  <si>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</si>
  <si>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</si>
  <si>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</si>
  <si>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</si>
  <si>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</si>
  <si>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</si>
  <si>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</si>
  <si>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</si>
  <si>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</si>
  <si>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</si>
  <si>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</si>
  <si>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</si>
  <si>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</si>
  <si>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</si>
  <si>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</si>
  <si>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</si>
  <si>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</si>
  <si>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</si>
  <si>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</si>
  <si>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</si>
  <si>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</si>
  <si>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</si>
  <si>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</si>
  <si>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</si>
  <si>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</si>
  <si>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</si>
  <si>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</si>
  <si>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</si>
  <si>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</si>
  <si>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</si>
  <si>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</si>
  <si>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</si>
  <si>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</si>
  <si>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</si>
  <si>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</si>
  <si>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</si>
  <si>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</si>
  <si>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</si>
  <si>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</si>
  <si>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</si>
  <si>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</si>
  <si>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</si>
  <si>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</si>
  <si>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</si>
  <si>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</si>
  <si>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</si>
  <si>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</si>
  <si>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</si>
  <si>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</si>
  <si>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</si>
  <si>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* not on meeks - calculated by staff</t>
  </si>
  <si>
    <t>Transfer Station</t>
  </si>
  <si>
    <t>Comments</t>
  </si>
  <si>
    <t>Differ from Company</t>
  </si>
  <si>
    <t>35 gallon Can</t>
  </si>
  <si>
    <t>Calculated Annual PUs based on freq</t>
  </si>
  <si>
    <t>na - multiple pickups not on tariff</t>
  </si>
  <si>
    <t>64 gal cart weekly</t>
  </si>
  <si>
    <t>32 Gal weekly</t>
  </si>
  <si>
    <t>96 gal cart weekly</t>
  </si>
  <si>
    <t>Res_Extra_bag/Box</t>
  </si>
  <si>
    <t>Extra_Yards</t>
  </si>
  <si>
    <t>Not on Meeks, Co provided weight</t>
  </si>
  <si>
    <t>1 Can 1/MG</t>
  </si>
  <si>
    <t>2 Cans WG</t>
  </si>
  <si>
    <t>3 Cans WG</t>
  </si>
  <si>
    <t>Add'l yards (cust load)</t>
  </si>
  <si>
    <t>1-4 yards (comp load)</t>
  </si>
  <si>
    <t>Add'l yards (comp load)</t>
  </si>
  <si>
    <t>Company        Calculated Rate</t>
  </si>
  <si>
    <t>Company    Current Tariff</t>
  </si>
  <si>
    <t>Company Calculated Revenue</t>
  </si>
  <si>
    <t>64-gallon toter-occasional Extra</t>
  </si>
  <si>
    <t>96-gallon toter-occasional Extra</t>
  </si>
  <si>
    <t>"on call" Service</t>
  </si>
  <si>
    <t>Basin Disposal, Inc.</t>
  </si>
  <si>
    <t>Calculated Revenue Increase</t>
  </si>
  <si>
    <t>As a result of increased disposal fees.</t>
  </si>
  <si>
    <t>Residential - from calculation worksheet</t>
  </si>
  <si>
    <t>Current</t>
  </si>
  <si>
    <t>Revenue</t>
  </si>
  <si>
    <t xml:space="preserve">Proposed </t>
  </si>
  <si>
    <t xml:space="preserve">Commercial </t>
  </si>
  <si>
    <t>Disposal Rate Per Ton</t>
  </si>
  <si>
    <t>Percentage</t>
  </si>
  <si>
    <t>Dollars</t>
  </si>
  <si>
    <t>Basin Dispsoal of Yakima, LLC - G-45</t>
  </si>
  <si>
    <t>Yakima County Landfills &amp; Transfer Stations</t>
  </si>
  <si>
    <t>Mini Can</t>
  </si>
  <si>
    <t>2 Can 32 Gal weekly</t>
  </si>
  <si>
    <t>1.5 Yard - Additional Pickup</t>
  </si>
  <si>
    <t>1.5 Yard - 1st Pickup (300 Gallon)</t>
  </si>
  <si>
    <t>1.5 Yard - Special Pickup</t>
  </si>
  <si>
    <t>1.5 Yard - Temporary</t>
  </si>
  <si>
    <t>32 gal can weekly</t>
  </si>
  <si>
    <t>Basin Disposoal of Yakima, LLC G-45</t>
  </si>
  <si>
    <t>Roll - Off - Tonnage 2,507</t>
  </si>
  <si>
    <t>220 Gallon (1 Yard)</t>
  </si>
  <si>
    <t>32 gal can special pickup</t>
  </si>
  <si>
    <t>32 gal can temporary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</si>
</sst>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[$-409]mmmm\ d\,\ yyyy;@"/>
  </numFmts>
  <fonts count="6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indexed="42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0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32" fillId="26" borderId="1" applyNumberFormat="0" applyAlignment="0" applyProtection="0"/>
    <xf numFmtId="0" fontId="47" fillId="26" borderId="1" applyNumberFormat="0" applyAlignment="0" applyProtection="0"/>
    <xf numFmtId="0" fontId="16" fillId="26" borderId="1" applyNumberFormat="0" applyAlignment="0" applyProtection="0"/>
    <xf numFmtId="0" fontId="47" fillId="4" borderId="1" applyNumberFormat="0" applyAlignment="0" applyProtection="0"/>
    <xf numFmtId="0" fontId="17" fillId="28" borderId="3" applyNumberFormat="0" applyAlignment="0" applyProtection="0"/>
    <xf numFmtId="0" fontId="17" fillId="27" borderId="2" applyNumberFormat="0" applyAlignment="0" applyProtection="0"/>
    <xf numFmtId="0" fontId="2" fillId="29" borderId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30" borderId="4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31" borderId="0">
      <alignment horizontal="right"/>
      <protection locked="0"/>
    </xf>
    <xf numFmtId="14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31" borderId="0">
      <alignment horizontal="right"/>
      <protection locked="0"/>
    </xf>
    <xf numFmtId="1" fontId="2" fillId="0" borderId="0">
      <alignment horizontal="center"/>
    </xf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5" applyNumberFormat="0" applyFill="0" applyAlignment="0" applyProtection="0"/>
    <xf numFmtId="0" fontId="37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51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1" fillId="13" borderId="1" applyNumberFormat="0" applyAlignment="0" applyProtection="0"/>
    <xf numFmtId="0" fontId="25" fillId="13" borderId="1" applyNumberFormat="0" applyAlignment="0" applyProtection="0"/>
    <xf numFmtId="3" fontId="10" fillId="32" borderId="0">
      <protection locked="0"/>
    </xf>
    <xf numFmtId="4" fontId="10" fillId="32" borderId="0">
      <protection locked="0"/>
    </xf>
    <xf numFmtId="0" fontId="42" fillId="0" borderId="16" applyNumberFormat="0" applyFill="0" applyAlignment="0" applyProtection="0"/>
    <xf numFmtId="0" fontId="52" fillId="0" borderId="15" applyNumberFormat="0" applyFill="0" applyAlignment="0" applyProtection="0"/>
    <xf numFmtId="0" fontId="26" fillId="0" borderId="17" applyNumberFormat="0" applyFill="0" applyAlignment="0" applyProtection="0"/>
    <xf numFmtId="0" fontId="43" fillId="13" borderId="0" applyNumberFormat="0" applyBorder="0" applyAlignment="0" applyProtection="0"/>
    <xf numFmtId="0" fontId="53" fillId="13" borderId="0" applyNumberFormat="0" applyBorder="0" applyAlignment="0" applyProtection="0"/>
    <xf numFmtId="0" fontId="27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5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9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9" borderId="18" applyNumberFormat="0" applyFont="0" applyAlignment="0" applyProtection="0"/>
    <xf numFmtId="0" fontId="8" fillId="9" borderId="18" applyNumberFormat="0" applyFont="0" applyAlignment="0" applyProtection="0"/>
    <xf numFmtId="0" fontId="28" fillId="9" borderId="18" applyNumberFormat="0" applyFont="0" applyAlignment="0" applyProtection="0"/>
    <xf numFmtId="0" fontId="48" fillId="9" borderId="18" applyNumberFormat="0" applyFont="0" applyAlignment="0" applyProtection="0"/>
    <xf numFmtId="171" fontId="44" fillId="0" borderId="0" applyNumberFormat="0"/>
    <xf numFmtId="0" fontId="24" fillId="26" borderId="20" applyNumberFormat="0" applyAlignment="0" applyProtection="0"/>
    <xf numFmtId="0" fontId="29" fillId="26" borderId="1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1">
      <alignment horizontal="center"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37" fontId="55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4" fillId="34" borderId="0" applyFont="0" applyFill="0" applyBorder="0" applyAlignment="0" applyProtection="0">
      <alignment wrapText="1"/>
    </xf>
  </cellStyleXfs>
  <cellXfs count="188">
    <xf numFmtId="0" fontId="0" fillId="0" borderId="0" xfId="0"/>
    <xf numFmtId="43" fontId="0" fillId="0" borderId="0" xfId="82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5" fontId="0" fillId="35" borderId="0" xfId="126" applyNumberFormat="1" applyFont="1" applyFill="1"/>
    <xf numFmtId="44" fontId="0" fillId="35" borderId="0" xfId="126" applyFont="1" applyFill="1"/>
    <xf numFmtId="44" fontId="0" fillId="35" borderId="4" xfId="126" applyFont="1" applyFill="1" applyBorder="1"/>
    <xf numFmtId="165" fontId="0" fillId="35" borderId="4" xfId="126" applyNumberFormat="1" applyFont="1" applyFill="1" applyBorder="1"/>
    <xf numFmtId="167" fontId="0" fillId="0" borderId="0" xfId="82" applyNumberFormat="1" applyFont="1"/>
    <xf numFmtId="167" fontId="0" fillId="0" borderId="0" xfId="82" applyNumberFormat="1" applyFont="1" applyBorder="1"/>
    <xf numFmtId="167" fontId="0" fillId="0" borderId="4" xfId="82" applyNumberFormat="1" applyFont="1" applyBorder="1"/>
    <xf numFmtId="169" fontId="0" fillId="35" borderId="0" xfId="126" applyNumberFormat="1" applyFont="1" applyFill="1"/>
    <xf numFmtId="166" fontId="0" fillId="0" borderId="0" xfId="82" applyNumberFormat="1" applyFont="1"/>
    <xf numFmtId="166" fontId="0" fillId="0" borderId="4" xfId="82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36" borderId="4" xfId="0" applyFont="1" applyFill="1" applyBorder="1" applyAlignment="1">
      <alignment horizontal="center"/>
    </xf>
    <xf numFmtId="0" fontId="0" fillId="36" borderId="4" xfId="0" applyFont="1" applyFill="1" applyBorder="1"/>
    <xf numFmtId="0" fontId="3" fillId="36" borderId="4" xfId="0" applyFont="1" applyFill="1" applyBorder="1"/>
    <xf numFmtId="43" fontId="0" fillId="0" borderId="0" xfId="82" applyFont="1" applyAlignment="1">
      <alignment horizontal="center"/>
    </xf>
    <xf numFmtId="164" fontId="0" fillId="0" borderId="0" xfId="126" applyNumberFormat="1" applyFont="1" applyBorder="1"/>
    <xf numFmtId="10" fontId="0" fillId="0" borderId="0" xfId="338" applyNumberFormat="1" applyFont="1" applyBorder="1"/>
    <xf numFmtId="43" fontId="0" fillId="0" borderId="0" xfId="82" applyFont="1" applyFill="1" applyBorder="1"/>
    <xf numFmtId="43" fontId="0" fillId="0" borderId="0" xfId="82" applyFont="1" applyBorder="1"/>
    <xf numFmtId="165" fontId="0" fillId="0" borderId="0" xfId="126" applyNumberFormat="1" applyFont="1" applyBorder="1"/>
    <xf numFmtId="44" fontId="0" fillId="0" borderId="0" xfId="126" applyFont="1" applyBorder="1" applyAlignment="1">
      <alignment horizontal="right"/>
    </xf>
    <xf numFmtId="10" fontId="0" fillId="0" borderId="0" xfId="338" applyNumberFormat="1" applyFont="1" applyBorder="1" applyAlignment="1">
      <alignment horizontal="right"/>
    </xf>
    <xf numFmtId="166" fontId="0" fillId="0" borderId="0" xfId="8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0" fillId="0" borderId="0" xfId="82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330" applyFont="1" applyFill="1" applyBorder="1" applyAlignment="1">
      <alignment horizontal="left"/>
    </xf>
    <xf numFmtId="166" fontId="11" fillId="0" borderId="0" xfId="82" applyNumberFormat="1" applyFont="1" applyFill="1" applyBorder="1" applyAlignment="1">
      <alignment horizontal="left"/>
    </xf>
    <xf numFmtId="166" fontId="0" fillId="0" borderId="0" xfId="8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vertical="center" textRotation="90"/>
    </xf>
    <xf numFmtId="0" fontId="12" fillId="36" borderId="4" xfId="330" applyFont="1" applyFill="1" applyBorder="1" applyAlignment="1">
      <alignment horizontal="left"/>
    </xf>
    <xf numFmtId="44" fontId="0" fillId="0" borderId="0" xfId="0" applyNumberFormat="1" applyFont="1" applyFill="1" applyBorder="1"/>
    <xf numFmtId="3" fontId="3" fillId="36" borderId="4" xfId="0" applyNumberFormat="1" applyFont="1" applyFill="1" applyBorder="1" applyAlignment="1">
      <alignment horizontal="right"/>
    </xf>
    <xf numFmtId="43" fontId="0" fillId="36" borderId="4" xfId="82" applyFont="1" applyFill="1" applyBorder="1"/>
    <xf numFmtId="43" fontId="0" fillId="36" borderId="4" xfId="0" applyNumberFormat="1" applyFont="1" applyFill="1" applyBorder="1"/>
    <xf numFmtId="166" fontId="3" fillId="0" borderId="4" xfId="82" applyNumberFormat="1" applyFont="1" applyBorder="1" applyAlignment="1">
      <alignment horizontal="center"/>
    </xf>
    <xf numFmtId="44" fontId="0" fillId="0" borderId="0" xfId="82" applyNumberFormat="1" applyFont="1" applyFill="1" applyBorder="1"/>
    <xf numFmtId="166" fontId="0" fillId="0" borderId="0" xfId="82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330" applyFont="1" applyFill="1" applyBorder="1" applyAlignment="1">
      <alignment horizontal="left"/>
    </xf>
    <xf numFmtId="166" fontId="3" fillId="0" borderId="0" xfId="82" applyNumberFormat="1" applyFont="1" applyBorder="1" applyAlignment="1">
      <alignment horizontal="right"/>
    </xf>
    <xf numFmtId="0" fontId="9" fillId="0" borderId="0" xfId="319" applyFont="1" applyBorder="1" applyAlignment="1">
      <alignment horizontal="left"/>
    </xf>
    <xf numFmtId="166" fontId="0" fillId="35" borderId="0" xfId="82" applyNumberFormat="1" applyFont="1" applyFill="1" applyBorder="1" applyAlignment="1">
      <alignment horizontal="right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43" fontId="0" fillId="0" borderId="0" xfId="82" applyNumberFormat="1" applyFont="1" applyFill="1" applyBorder="1"/>
    <xf numFmtId="44" fontId="0" fillId="32" borderId="0" xfId="126" applyFont="1" applyFill="1" applyBorder="1"/>
    <xf numFmtId="44" fontId="3" fillId="36" borderId="4" xfId="126" applyFont="1" applyFill="1" applyBorder="1"/>
    <xf numFmtId="44" fontId="0" fillId="36" borderId="4" xfId="126" applyFont="1" applyFill="1" applyBorder="1"/>
    <xf numFmtId="44" fontId="3" fillId="0" borderId="0" xfId="126" applyFont="1" applyBorder="1" applyAlignment="1">
      <alignment horizontal="right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right"/>
    </xf>
    <xf numFmtId="166" fontId="0" fillId="36" borderId="0" xfId="82" applyNumberFormat="1" applyFont="1" applyFill="1" applyBorder="1"/>
    <xf numFmtId="44" fontId="0" fillId="36" borderId="0" xfId="82" applyNumberFormat="1" applyFont="1" applyFill="1" applyBorder="1"/>
    <xf numFmtId="0" fontId="3" fillId="36" borderId="0" xfId="0" applyFont="1" applyFill="1" applyBorder="1"/>
    <xf numFmtId="166" fontId="0" fillId="0" borderId="4" xfId="82" applyNumberFormat="1" applyFont="1" applyFill="1" applyBorder="1"/>
    <xf numFmtId="0" fontId="3" fillId="36" borderId="4" xfId="0" applyFont="1" applyFill="1" applyBorder="1" applyAlignment="1">
      <alignment horizontal="center" wrapText="1"/>
    </xf>
    <xf numFmtId="0" fontId="3" fillId="36" borderId="4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319" applyFont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9" fillId="0" borderId="0" xfId="33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44" fontId="0" fillId="0" borderId="4" xfId="126" applyFont="1" applyFill="1" applyBorder="1"/>
    <xf numFmtId="44" fontId="0" fillId="0" borderId="0" xfId="126" applyFont="1" applyBorder="1"/>
    <xf numFmtId="0" fontId="3" fillId="0" borderId="27" xfId="0" applyFont="1" applyBorder="1"/>
    <xf numFmtId="0" fontId="0" fillId="36" borderId="28" xfId="0" applyFont="1" applyFill="1" applyBorder="1" applyAlignment="1">
      <alignment horizontal="center"/>
    </xf>
    <xf numFmtId="0" fontId="0" fillId="0" borderId="29" xfId="0" applyFont="1" applyBorder="1"/>
    <xf numFmtId="44" fontId="0" fillId="0" borderId="30" xfId="126" applyFont="1" applyBorder="1"/>
    <xf numFmtId="0" fontId="0" fillId="0" borderId="30" xfId="0" applyFont="1" applyBorder="1"/>
    <xf numFmtId="0" fontId="3" fillId="0" borderId="29" xfId="0" applyFont="1" applyBorder="1"/>
    <xf numFmtId="0" fontId="0" fillId="36" borderId="31" xfId="0" applyFont="1" applyFill="1" applyBorder="1" applyAlignment="1">
      <alignment horizontal="center"/>
    </xf>
    <xf numFmtId="44" fontId="1" fillId="0" borderId="30" xfId="126" applyFont="1" applyBorder="1"/>
    <xf numFmtId="0" fontId="0" fillId="0" borderId="32" xfId="0" applyFont="1" applyBorder="1" applyAlignment="1">
      <alignment horizontal="left"/>
    </xf>
    <xf numFmtId="44" fontId="0" fillId="0" borderId="33" xfId="126" applyFont="1" applyBorder="1"/>
    <xf numFmtId="164" fontId="0" fillId="0" borderId="0" xfId="0" applyNumberFormat="1" applyFont="1" applyFill="1" applyBorder="1"/>
    <xf numFmtId="43" fontId="3" fillId="0" borderId="0" xfId="82" applyNumberFormat="1" applyFont="1" applyBorder="1" applyAlignment="1">
      <alignment horizontal="right"/>
    </xf>
    <xf numFmtId="43" fontId="0" fillId="0" borderId="4" xfId="82" applyNumberFormat="1" applyFont="1" applyFill="1" applyBorder="1"/>
    <xf numFmtId="166" fontId="0" fillId="0" borderId="4" xfId="82" applyNumberFormat="1" applyFont="1" applyFill="1" applyBorder="1" applyAlignment="1">
      <alignment horizontal="center" wrapText="1"/>
    </xf>
    <xf numFmtId="0" fontId="11" fillId="0" borderId="0" xfId="329" applyFont="1" applyBorder="1"/>
    <xf numFmtId="0" fontId="0" fillId="0" borderId="4" xfId="0" applyFont="1" applyFill="1" applyBorder="1" applyAlignment="1">
      <alignment horizontal="center" vertical="center"/>
    </xf>
    <xf numFmtId="166" fontId="11" fillId="0" borderId="0" xfId="82" applyNumberFormat="1" applyFont="1" applyFill="1" applyBorder="1"/>
    <xf numFmtId="0" fontId="11" fillId="0" borderId="4" xfId="329" applyFont="1" applyBorder="1"/>
    <xf numFmtId="0" fontId="3" fillId="36" borderId="4" xfId="0" applyFont="1" applyFill="1" applyBorder="1" applyAlignment="1">
      <alignment wrapText="1"/>
    </xf>
    <xf numFmtId="166" fontId="3" fillId="36" borderId="4" xfId="82" applyNumberFormat="1" applyFont="1" applyFill="1" applyBorder="1" applyAlignment="1">
      <alignment horizontal="center" wrapText="1"/>
    </xf>
    <xf numFmtId="0" fontId="56" fillId="0" borderId="0" xfId="82" applyNumberFormat="1" applyFont="1" applyBorder="1" applyAlignment="1">
      <alignment horizontal="left"/>
    </xf>
    <xf numFmtId="0" fontId="0" fillId="0" borderId="0" xfId="82" applyNumberFormat="1" applyFont="1" applyBorder="1"/>
    <xf numFmtId="43" fontId="9" fillId="0" borderId="0" xfId="82" applyNumberFormat="1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43" fontId="11" fillId="0" borderId="0" xfId="83" applyFont="1"/>
    <xf numFmtId="44" fontId="11" fillId="0" borderId="0" xfId="129" applyFont="1"/>
    <xf numFmtId="3" fontId="11" fillId="0" borderId="0" xfId="200" applyNumberFormat="1" applyFont="1" applyBorder="1"/>
    <xf numFmtId="166" fontId="11" fillId="0" borderId="0" xfId="322" applyNumberFormat="1" applyFont="1" applyBorder="1"/>
    <xf numFmtId="3" fontId="11" fillId="0" borderId="0" xfId="200" applyNumberFormat="1" applyFont="1"/>
    <xf numFmtId="166" fontId="11" fillId="0" borderId="0" xfId="82" applyNumberFormat="1" applyFont="1"/>
    <xf numFmtId="10" fontId="0" fillId="0" borderId="0" xfId="338" applyNumberFormat="1" applyFont="1" applyFill="1" applyBorder="1"/>
    <xf numFmtId="0" fontId="11" fillId="0" borderId="0" xfId="329" applyFont="1" applyBorder="1" applyAlignment="1">
      <alignment horizontal="left" indent="1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/>
    </xf>
    <xf numFmtId="166" fontId="0" fillId="0" borderId="34" xfId="82" applyNumberFormat="1" applyFont="1" applyBorder="1"/>
    <xf numFmtId="43" fontId="0" fillId="0" borderId="34" xfId="82" applyNumberFormat="1" applyFont="1" applyFill="1" applyBorder="1"/>
    <xf numFmtId="166" fontId="0" fillId="0" borderId="34" xfId="82" applyNumberFormat="1" applyFont="1" applyFill="1" applyBorder="1"/>
    <xf numFmtId="166" fontId="0" fillId="0" borderId="34" xfId="82" applyNumberFormat="1" applyFont="1" applyFill="1" applyBorder="1" applyAlignment="1">
      <alignment horizontal="center" wrapText="1"/>
    </xf>
    <xf numFmtId="44" fontId="0" fillId="0" borderId="34" xfId="126" applyFont="1" applyFill="1" applyBorder="1"/>
    <xf numFmtId="44" fontId="0" fillId="0" borderId="34" xfId="126" applyFont="1" applyBorder="1"/>
    <xf numFmtId="0" fontId="0" fillId="0" borderId="0" xfId="0" applyFont="1" applyFill="1" applyBorder="1" applyAlignment="1">
      <alignment horizontal="center" vertical="center" textRotation="90"/>
    </xf>
    <xf numFmtId="44" fontId="11" fillId="0" borderId="0" xfId="126" applyFont="1" applyFill="1" applyBorder="1"/>
    <xf numFmtId="0" fontId="0" fillId="0" borderId="0" xfId="0" applyFont="1" applyFill="1"/>
    <xf numFmtId="166" fontId="11" fillId="0" borderId="0" xfId="83" applyNumberFormat="1" applyFont="1"/>
    <xf numFmtId="166" fontId="3" fillId="36" borderId="4" xfId="0" applyNumberFormat="1" applyFont="1" applyFill="1" applyBorder="1" applyAlignment="1">
      <alignment horizontal="right"/>
    </xf>
    <xf numFmtId="166" fontId="0" fillId="0" borderId="0" xfId="0" applyNumberFormat="1" applyFont="1" applyBorder="1"/>
    <xf numFmtId="166" fontId="0" fillId="36" borderId="0" xfId="0" applyNumberFormat="1" applyFont="1" applyFill="1" applyBorder="1"/>
    <xf numFmtId="44" fontId="0" fillId="38" borderId="0" xfId="126" applyFont="1" applyFill="1" applyBorder="1"/>
    <xf numFmtId="3" fontId="11" fillId="39" borderId="0" xfId="200" applyNumberFormat="1" applyFont="1" applyFill="1"/>
    <xf numFmtId="43" fontId="0" fillId="39" borderId="0" xfId="82" applyNumberFormat="1" applyFont="1" applyFill="1" applyBorder="1"/>
    <xf numFmtId="166" fontId="11" fillId="39" borderId="0" xfId="82" applyNumberFormat="1" applyFont="1" applyFill="1"/>
    <xf numFmtId="166" fontId="11" fillId="39" borderId="0" xfId="83" applyNumberFormat="1" applyFont="1" applyFill="1"/>
    <xf numFmtId="166" fontId="0" fillId="39" borderId="0" xfId="82" applyNumberFormat="1" applyFont="1" applyFill="1" applyBorder="1"/>
    <xf numFmtId="166" fontId="0" fillId="39" borderId="0" xfId="82" applyNumberFormat="1" applyFont="1" applyFill="1" applyBorder="1" applyAlignment="1">
      <alignment horizontal="center" wrapText="1"/>
    </xf>
    <xf numFmtId="44" fontId="0" fillId="39" borderId="0" xfId="126" applyFont="1" applyFill="1" applyBorder="1"/>
    <xf numFmtId="44" fontId="11" fillId="39" borderId="0" xfId="126" applyFont="1" applyFill="1" applyBorder="1"/>
    <xf numFmtId="44" fontId="0" fillId="40" borderId="0" xfId="126" applyFont="1" applyFill="1" applyBorder="1"/>
    <xf numFmtId="44" fontId="0" fillId="41" borderId="0" xfId="126" applyFont="1" applyFill="1" applyBorder="1"/>
    <xf numFmtId="3" fontId="11" fillId="42" borderId="0" xfId="200" applyNumberFormat="1" applyFont="1" applyFill="1"/>
    <xf numFmtId="166" fontId="0" fillId="42" borderId="0" xfId="82" applyNumberFormat="1" applyFont="1" applyFill="1" applyBorder="1"/>
    <xf numFmtId="43" fontId="0" fillId="42" borderId="0" xfId="82" applyNumberFormat="1" applyFont="1" applyFill="1" applyBorder="1"/>
    <xf numFmtId="166" fontId="11" fillId="42" borderId="0" xfId="83" applyNumberFormat="1" applyFont="1" applyFill="1"/>
    <xf numFmtId="166" fontId="0" fillId="42" borderId="0" xfId="82" applyNumberFormat="1" applyFont="1" applyFill="1" applyBorder="1" applyAlignment="1">
      <alignment horizontal="center" wrapText="1"/>
    </xf>
    <xf numFmtId="44" fontId="0" fillId="42" borderId="0" xfId="126" applyFont="1" applyFill="1" applyBorder="1"/>
    <xf numFmtId="44" fontId="11" fillId="42" borderId="0" xfId="126" applyFont="1" applyFill="1" applyBorder="1"/>
    <xf numFmtId="1" fontId="0" fillId="0" borderId="0" xfId="82" applyNumberFormat="1" applyFont="1" applyBorder="1"/>
    <xf numFmtId="1" fontId="0" fillId="0" borderId="0" xfId="0" applyNumberFormat="1" applyFont="1" applyBorder="1"/>
    <xf numFmtId="1" fontId="0" fillId="39" borderId="0" xfId="0" applyNumberFormat="1" applyFont="1" applyFill="1" applyBorder="1"/>
    <xf numFmtId="1" fontId="0" fillId="42" borderId="0" xfId="82" applyNumberFormat="1" applyFont="1" applyFill="1" applyBorder="1"/>
    <xf numFmtId="0" fontId="60" fillId="0" borderId="0" xfId="0" applyFont="1" applyBorder="1" applyAlignment="1">
      <alignment horizontal="centerContinuous"/>
    </xf>
    <xf numFmtId="166" fontId="60" fillId="0" borderId="0" xfId="82" applyNumberFormat="1" applyFont="1" applyBorder="1" applyAlignment="1">
      <alignment horizontal="centerContinuous"/>
    </xf>
    <xf numFmtId="3" fontId="0" fillId="0" borderId="0" xfId="0" applyNumberFormat="1"/>
    <xf numFmtId="0" fontId="0" fillId="43" borderId="4" xfId="0" applyFont="1" applyFill="1" applyBorder="1" applyAlignment="1">
      <alignment horizontal="center"/>
    </xf>
    <xf numFmtId="0" fontId="0" fillId="43" borderId="0" xfId="0" applyFont="1" applyFill="1" applyAlignment="1">
      <alignment horizontal="left"/>
    </xf>
    <xf numFmtId="44" fontId="0" fillId="43" borderId="0" xfId="126" applyFont="1" applyFill="1"/>
    <xf numFmtId="44" fontId="0" fillId="43" borderId="4" xfId="126" applyFont="1" applyFill="1" applyBorder="1"/>
    <xf numFmtId="0" fontId="0" fillId="43" borderId="0" xfId="0" applyFont="1" applyFill="1" applyAlignment="1">
      <alignment horizontal="left" indent="1"/>
    </xf>
    <xf numFmtId="10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0" fontId="60" fillId="0" borderId="0" xfId="0" applyFont="1" applyAlignment="1">
      <alignment horizontal="centerContinuous"/>
    </xf>
    <xf numFmtId="172" fontId="60" fillId="0" borderId="0" xfId="0" applyNumberFormat="1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3" fillId="0" borderId="4" xfId="0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0" fontId="0" fillId="36" borderId="0" xfId="0" applyFont="1" applyFill="1" applyAlignment="1">
      <alignment horizontal="center"/>
    </xf>
    <xf numFmtId="0" fontId="3" fillId="36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vertical="top" textRotation="90"/>
    </xf>
    <xf numFmtId="0" fontId="0" fillId="0" borderId="0" xfId="0" applyAlignment="1"/>
  </cellXfs>
  <cellStyles count="390">
    <cellStyle name="20% - Accent1 2" xfId="1"/>
    <cellStyle name="20% - Accent1 2 2" xfId="2"/>
    <cellStyle name="20% - Accent1 3" xfId="3"/>
    <cellStyle name="20% - Accent1 3 2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2 2" xfId="10"/>
    <cellStyle name="20% - Accent4 3" xfId="11"/>
    <cellStyle name="20% - Accent4 3 2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1 3 2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4 3 2" xfId="26"/>
    <cellStyle name="40% - Accent5 2" xfId="27"/>
    <cellStyle name="40% - Accent5 3" xfId="28"/>
    <cellStyle name="40% - Accent6 2" xfId="29"/>
    <cellStyle name="40% - Accent6 3" xfId="30"/>
    <cellStyle name="40% - Accent6 3 2" xfId="31"/>
    <cellStyle name="60% - Accent1 2" xfId="32"/>
    <cellStyle name="60% - Accent1 2 2" xfId="33"/>
    <cellStyle name="60% - Accent1 3" xfId="34"/>
    <cellStyle name="60% - Accent1 3 2" xfId="35"/>
    <cellStyle name="60% - Accent2 2" xfId="36"/>
    <cellStyle name="60% - Accent2 3" xfId="37"/>
    <cellStyle name="60% - Accent3 2" xfId="38"/>
    <cellStyle name="60% - Accent3 3" xfId="39"/>
    <cellStyle name="60% - Accent3 3 2" xfId="40"/>
    <cellStyle name="60% - Accent4 2" xfId="41"/>
    <cellStyle name="60% - Accent4 3" xfId="42"/>
    <cellStyle name="60% - Accent4 3 2" xfId="43"/>
    <cellStyle name="60% - Accent5 2" xfId="44"/>
    <cellStyle name="60% - Accent5 2 2" xfId="45"/>
    <cellStyle name="60% - Accent5 3" xfId="46"/>
    <cellStyle name="60% - Accent6 2" xfId="47"/>
    <cellStyle name="60% - Accent6 3" xfId="48"/>
    <cellStyle name="Accent1 2" xfId="49"/>
    <cellStyle name="Accent1 2 2" xfId="50"/>
    <cellStyle name="Accent1 3" xfId="51"/>
    <cellStyle name="Accent1 3 2" xfId="52"/>
    <cellStyle name="Accent2 2" xfId="53"/>
    <cellStyle name="Accent2 3" xfId="54"/>
    <cellStyle name="Accent3 2" xfId="55"/>
    <cellStyle name="Accent3 2 2" xfId="56"/>
    <cellStyle name="Accent3 3" xfId="57"/>
    <cellStyle name="Accent4 2" xfId="58"/>
    <cellStyle name="Accent4 3" xfId="59"/>
    <cellStyle name="Accent5 2" xfId="60"/>
    <cellStyle name="Accent5 3" xfId="61"/>
    <cellStyle name="Accent6 2" xfId="62"/>
    <cellStyle name="Accent6 2 2" xfId="63"/>
    <cellStyle name="Accent6 3" xfId="64"/>
    <cellStyle name="Accounting" xfId="65"/>
    <cellStyle name="Accounting 2" xfId="66"/>
    <cellStyle name="Accounting 3" xfId="67"/>
    <cellStyle name="Accounting_2011-11" xfId="68"/>
    <cellStyle name="Bad 2" xfId="69"/>
    <cellStyle name="Bad 3" xfId="70"/>
    <cellStyle name="Budget" xfId="71"/>
    <cellStyle name="Budget 2" xfId="72"/>
    <cellStyle name="Budget 3" xfId="73"/>
    <cellStyle name="Budget_2011-11" xfId="74"/>
    <cellStyle name="Calculation 2" xfId="75"/>
    <cellStyle name="Calculation 2 2" xfId="76"/>
    <cellStyle name="Calculation 3" xfId="77"/>
    <cellStyle name="Calculation 3 2" xfId="78"/>
    <cellStyle name="Check Cell 2" xfId="79"/>
    <cellStyle name="Check Cell 3" xfId="80"/>
    <cellStyle name="combo" xfId="81"/>
    <cellStyle name="Comma" xfId="82" builtinId="3"/>
    <cellStyle name="Comma 10" xfId="83"/>
    <cellStyle name="Comma 11" xfId="84"/>
    <cellStyle name="Comma 12" xfId="85"/>
    <cellStyle name="Comma 12 2" xfId="86"/>
    <cellStyle name="Comma 12 3" xfId="87"/>
    <cellStyle name="Comma 13" xfId="88"/>
    <cellStyle name="Comma 14" xfId="89"/>
    <cellStyle name="Comma 15" xfId="90"/>
    <cellStyle name="Comma 16" xfId="91"/>
    <cellStyle name="Comma 17" xfId="92"/>
    <cellStyle name="Comma 18" xfId="93"/>
    <cellStyle name="Comma 19" xfId="94"/>
    <cellStyle name="Comma 2" xfId="95"/>
    <cellStyle name="Comma 2 2" xfId="96"/>
    <cellStyle name="Comma 2 2 2" xfId="97"/>
    <cellStyle name="Comma 2 3" xfId="98"/>
    <cellStyle name="Comma 2 4" xfId="99"/>
    <cellStyle name="Comma 2 6" xfId="100"/>
    <cellStyle name="Comma 2 6 2" xfId="101"/>
    <cellStyle name="Comma 20" xfId="102"/>
    <cellStyle name="Comma 3" xfId="103"/>
    <cellStyle name="Comma 3 2" xfId="104"/>
    <cellStyle name="Comma 3 2 2" xfId="105"/>
    <cellStyle name="Comma 3 3" xfId="106"/>
    <cellStyle name="Comma 3 4" xfId="107"/>
    <cellStyle name="Comma 4" xfId="108"/>
    <cellStyle name="Comma 4 2" xfId="109"/>
    <cellStyle name="Comma 4 2 2" xfId="110"/>
    <cellStyle name="Comma 4 3" xfId="111"/>
    <cellStyle name="Comma 4 3 2" xfId="112"/>
    <cellStyle name="Comma 4 4" xfId="113"/>
    <cellStyle name="Comma 4 5" xfId="114"/>
    <cellStyle name="Comma 4 6" xfId="115"/>
    <cellStyle name="Comma 5" xfId="116"/>
    <cellStyle name="Comma 6" xfId="117"/>
    <cellStyle name="Comma 6 2" xfId="118"/>
    <cellStyle name="Comma 7" xfId="119"/>
    <cellStyle name="Comma 8" xfId="120"/>
    <cellStyle name="Comma 9" xfId="121"/>
    <cellStyle name="Comma(2)" xfId="122"/>
    <cellStyle name="Comma0 - Style2" xfId="123"/>
    <cellStyle name="Comma1 - Style1" xfId="124"/>
    <cellStyle name="Comments" xfId="125"/>
    <cellStyle name="Currency" xfId="126" builtinId="4"/>
    <cellStyle name="Currency 10" xfId="127"/>
    <cellStyle name="Currency 11" xfId="128"/>
    <cellStyle name="Currency 2" xfId="129"/>
    <cellStyle name="Currency 2 2" xfId="130"/>
    <cellStyle name="Currency 2 2 2" xfId="131"/>
    <cellStyle name="Currency 2 3" xfId="132"/>
    <cellStyle name="Currency 2 3 2" xfId="133"/>
    <cellStyle name="Currency 2 6" xfId="134"/>
    <cellStyle name="Currency 2 6 2" xfId="135"/>
    <cellStyle name="Currency 3" xfId="136"/>
    <cellStyle name="Currency 3 2" xfId="137"/>
    <cellStyle name="Currency 3 3" xfId="138"/>
    <cellStyle name="Currency 3 4" xfId="139"/>
    <cellStyle name="Currency 4" xfId="140"/>
    <cellStyle name="Currency 4 2" xfId="141"/>
    <cellStyle name="Currency 5" xfId="142"/>
    <cellStyle name="Currency 5 2" xfId="143"/>
    <cellStyle name="Currency 5 3" xfId="144"/>
    <cellStyle name="Currency 6" xfId="145"/>
    <cellStyle name="Currency 7" xfId="146"/>
    <cellStyle name="Currency 8" xfId="147"/>
    <cellStyle name="Currency 9" xfId="148"/>
    <cellStyle name="Data Enter" xfId="149"/>
    <cellStyle name="date" xfId="150"/>
    <cellStyle name="Explanatory Text 2" xfId="151"/>
    <cellStyle name="Explanatory Text 3" xfId="152"/>
    <cellStyle name="FactSheet" xfId="153"/>
    <cellStyle name="fish" xfId="154"/>
    <cellStyle name="Good 2" xfId="155"/>
    <cellStyle name="Good 3" xfId="156"/>
    <cellStyle name="Heading 1 2" xfId="157"/>
    <cellStyle name="Heading 1 2 2" xfId="158"/>
    <cellStyle name="Heading 1 3" xfId="159"/>
    <cellStyle name="Heading 1 3 2" xfId="160"/>
    <cellStyle name="Heading 2 2" xfId="161"/>
    <cellStyle name="Heading 2 2 2" xfId="162"/>
    <cellStyle name="Heading 2 3" xfId="163"/>
    <cellStyle name="Heading 2 3 2" xfId="164"/>
    <cellStyle name="Heading 3 2" xfId="165"/>
    <cellStyle name="Heading 3 2 2" xfId="166"/>
    <cellStyle name="Heading 3 3" xfId="167"/>
    <cellStyle name="Heading 3 3 2" xfId="168"/>
    <cellStyle name="Heading 4 2" xfId="169"/>
    <cellStyle name="Heading 4 3" xfId="170"/>
    <cellStyle name="Hyperlink 2" xfId="171"/>
    <cellStyle name="Hyperlink 3" xfId="172"/>
    <cellStyle name="Hyperlink 3 2" xfId="173"/>
    <cellStyle name="Input 2" xfId="174"/>
    <cellStyle name="Input 3" xfId="175"/>
    <cellStyle name="input(0)" xfId="176"/>
    <cellStyle name="Input(2)" xfId="177"/>
    <cellStyle name="Linked Cell 2" xfId="178"/>
    <cellStyle name="Linked Cell 2 2" xfId="179"/>
    <cellStyle name="Linked Cell 3" xfId="180"/>
    <cellStyle name="Neutral 2" xfId="181"/>
    <cellStyle name="Neutral 2 2" xfId="182"/>
    <cellStyle name="Neutral 3" xfId="183"/>
    <cellStyle name="New_normal" xfId="184"/>
    <cellStyle name="Normal" xfId="0" builtinId="0"/>
    <cellStyle name="Normal - Style1" xfId="185"/>
    <cellStyle name="Normal - Style2" xfId="186"/>
    <cellStyle name="Normal - Style3" xfId="187"/>
    <cellStyle name="Normal - Style4" xfId="188"/>
    <cellStyle name="Normal - Style5" xfId="189"/>
    <cellStyle name="Normal 10" xfId="190"/>
    <cellStyle name="Normal 10 2" xfId="191"/>
    <cellStyle name="Normal 10 2 2" xfId="192"/>
    <cellStyle name="Normal 10 2 3" xfId="193"/>
    <cellStyle name="Normal 10_2112 DF Schedule" xfId="194"/>
    <cellStyle name="Normal 100" xfId="195"/>
    <cellStyle name="Normal 101" xfId="196"/>
    <cellStyle name="Normal 102" xfId="197"/>
    <cellStyle name="Normal 103" xfId="198"/>
    <cellStyle name="Normal 104" xfId="199"/>
    <cellStyle name="Normal 105" xfId="200"/>
    <cellStyle name="Normal 106" xfId="201"/>
    <cellStyle name="Normal 107" xfId="202"/>
    <cellStyle name="Normal 108" xfId="203"/>
    <cellStyle name="Normal 11" xfId="204"/>
    <cellStyle name="Normal 12" xfId="205"/>
    <cellStyle name="Normal 12 2" xfId="206"/>
    <cellStyle name="Normal 13" xfId="207"/>
    <cellStyle name="Normal 13 2" xfId="208"/>
    <cellStyle name="Normal 14" xfId="209"/>
    <cellStyle name="Normal 14 2" xfId="210"/>
    <cellStyle name="Normal 15" xfId="211"/>
    <cellStyle name="Normal 15 2" xfId="212"/>
    <cellStyle name="Normal 16" xfId="213"/>
    <cellStyle name="Normal 16 2" xfId="214"/>
    <cellStyle name="Normal 17" xfId="215"/>
    <cellStyle name="Normal 17 2" xfId="216"/>
    <cellStyle name="Normal 18" xfId="217"/>
    <cellStyle name="Normal 18 2" xfId="218"/>
    <cellStyle name="Normal 19" xfId="219"/>
    <cellStyle name="Normal 19 2" xfId="220"/>
    <cellStyle name="Normal 2" xfId="221"/>
    <cellStyle name="Normal 2 2" xfId="222"/>
    <cellStyle name="Normal 2 2 2" xfId="223"/>
    <cellStyle name="Normal 2 2 3" xfId="224"/>
    <cellStyle name="Normal 2 2_Actual_Fuel" xfId="225"/>
    <cellStyle name="Normal 2 3" xfId="226"/>
    <cellStyle name="Normal 2 3 2" xfId="227"/>
    <cellStyle name="Normal 2 3 3" xfId="228"/>
    <cellStyle name="Normal 2 4" xfId="229"/>
    <cellStyle name="Normal 2 5" xfId="230"/>
    <cellStyle name="Normal 2_2012-10" xfId="231"/>
    <cellStyle name="Normal 20" xfId="232"/>
    <cellStyle name="Normal 21" xfId="233"/>
    <cellStyle name="Normal 22" xfId="234"/>
    <cellStyle name="Normal 23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242"/>
    <cellStyle name="Normal 3 2" xfId="243"/>
    <cellStyle name="Normal 3 3" xfId="244"/>
    <cellStyle name="Normal 3 4" xfId="245"/>
    <cellStyle name="Normal 3_2012 PR" xfId="246"/>
    <cellStyle name="Normal 30" xfId="247"/>
    <cellStyle name="Normal 31" xfId="248"/>
    <cellStyle name="Normal 32" xfId="249"/>
    <cellStyle name="Normal 33" xfId="250"/>
    <cellStyle name="Normal 34" xfId="251"/>
    <cellStyle name="Normal 35" xfId="252"/>
    <cellStyle name="Normal 36" xfId="253"/>
    <cellStyle name="Normal 37" xfId="254"/>
    <cellStyle name="Normal 38" xfId="255"/>
    <cellStyle name="Normal 39" xfId="256"/>
    <cellStyle name="Normal 4" xfId="257"/>
    <cellStyle name="Normal 4 2" xfId="258"/>
    <cellStyle name="Normal 40" xfId="259"/>
    <cellStyle name="Normal 41" xfId="260"/>
    <cellStyle name="Normal 42" xfId="261"/>
    <cellStyle name="Normal 43" xfId="262"/>
    <cellStyle name="Normal 44" xfId="263"/>
    <cellStyle name="Normal 45" xfId="264"/>
    <cellStyle name="Normal 46" xfId="265"/>
    <cellStyle name="Normal 47" xfId="266"/>
    <cellStyle name="Normal 48" xfId="267"/>
    <cellStyle name="Normal 49" xfId="268"/>
    <cellStyle name="Normal 5" xfId="269"/>
    <cellStyle name="Normal 5 2" xfId="270"/>
    <cellStyle name="Normal 5_2112 DF Schedule" xfId="271"/>
    <cellStyle name="Normal 50" xfId="272"/>
    <cellStyle name="Normal 51" xfId="273"/>
    <cellStyle name="Normal 52" xfId="274"/>
    <cellStyle name="Normal 53" xfId="275"/>
    <cellStyle name="Normal 54" xfId="276"/>
    <cellStyle name="Normal 55" xfId="277"/>
    <cellStyle name="Normal 56" xfId="278"/>
    <cellStyle name="Normal 57" xfId="279"/>
    <cellStyle name="Normal 58" xfId="280"/>
    <cellStyle name="Normal 59" xfId="281"/>
    <cellStyle name="Normal 6" xfId="282"/>
    <cellStyle name="Normal 6 2" xfId="283"/>
    <cellStyle name="Normal 60" xfId="284"/>
    <cellStyle name="Normal 61" xfId="285"/>
    <cellStyle name="Normal 62" xfId="286"/>
    <cellStyle name="Normal 63" xfId="287"/>
    <cellStyle name="Normal 64" xfId="288"/>
    <cellStyle name="Normal 65" xfId="289"/>
    <cellStyle name="Normal 66" xfId="290"/>
    <cellStyle name="Normal 67" xfId="291"/>
    <cellStyle name="Normal 68" xfId="292"/>
    <cellStyle name="Normal 69" xfId="293"/>
    <cellStyle name="Normal 7" xfId="294"/>
    <cellStyle name="Normal 70" xfId="295"/>
    <cellStyle name="Normal 71" xfId="296"/>
    <cellStyle name="Normal 72" xfId="297"/>
    <cellStyle name="Normal 73" xfId="298"/>
    <cellStyle name="Normal 74" xfId="299"/>
    <cellStyle name="Normal 75" xfId="300"/>
    <cellStyle name="Normal 76" xfId="301"/>
    <cellStyle name="Normal 77" xfId="302"/>
    <cellStyle name="Normal 78" xfId="303"/>
    <cellStyle name="Normal 79" xfId="304"/>
    <cellStyle name="Normal 8" xfId="305"/>
    <cellStyle name="Normal 80" xfId="306"/>
    <cellStyle name="Normal 81" xfId="307"/>
    <cellStyle name="Normal 82" xfId="308"/>
    <cellStyle name="Normal 83" xfId="309"/>
    <cellStyle name="Normal 84" xfId="310"/>
    <cellStyle name="Normal 84 2" xfId="311"/>
    <cellStyle name="Normal 84 3" xfId="312"/>
    <cellStyle name="Normal 85" xfId="313"/>
    <cellStyle name="Normal 86" xfId="314"/>
    <cellStyle name="Normal 87" xfId="315"/>
    <cellStyle name="Normal 88" xfId="316"/>
    <cellStyle name="Normal 89" xfId="317"/>
    <cellStyle name="Normal 9" xfId="318"/>
    <cellStyle name="Normal 90" xfId="319"/>
    <cellStyle name="Normal 91" xfId="320"/>
    <cellStyle name="Normal 92" xfId="321"/>
    <cellStyle name="Normal 93" xfId="322"/>
    <cellStyle name="Normal 94" xfId="323"/>
    <cellStyle name="Normal 95" xfId="324"/>
    <cellStyle name="Normal 96" xfId="325"/>
    <cellStyle name="Normal 97" xfId="326"/>
    <cellStyle name="Normal 98" xfId="327"/>
    <cellStyle name="Normal 99" xfId="328"/>
    <cellStyle name="Normal_Murrey's Jan-Dec 2012" xfId="329"/>
    <cellStyle name="Normal_Price out" xfId="330"/>
    <cellStyle name="Note 2" xfId="331"/>
    <cellStyle name="Note 2 2" xfId="332"/>
    <cellStyle name="Note 3" xfId="333"/>
    <cellStyle name="Note 3 2" xfId="334"/>
    <cellStyle name="Notes" xfId="335"/>
    <cellStyle name="Output 2" xfId="336"/>
    <cellStyle name="Output 3" xfId="337"/>
    <cellStyle name="Percent" xfId="338" builtinId="5"/>
    <cellStyle name="Percent 2" xfId="339"/>
    <cellStyle name="Percent 2 2" xfId="340"/>
    <cellStyle name="Percent 2 2 2" xfId="341"/>
    <cellStyle name="Percent 2 3" xfId="342"/>
    <cellStyle name="Percent 2 6" xfId="343"/>
    <cellStyle name="Percent 3" xfId="344"/>
    <cellStyle name="Percent 3 2" xfId="345"/>
    <cellStyle name="Percent 4" xfId="346"/>
    <cellStyle name="Percent 4 2" xfId="347"/>
    <cellStyle name="Percent 4 3" xfId="348"/>
    <cellStyle name="Percent 5" xfId="349"/>
    <cellStyle name="Percent 6" xfId="350"/>
    <cellStyle name="Percent 7" xfId="351"/>
    <cellStyle name="Percent 7 2" xfId="352"/>
    <cellStyle name="Percent 7 3" xfId="353"/>
    <cellStyle name="Percent 8" xfId="354"/>
    <cellStyle name="Percent 9" xfId="355"/>
    <cellStyle name="Percent(1)" xfId="356"/>
    <cellStyle name="Percent(2)" xfId="357"/>
    <cellStyle name="PRM" xfId="358"/>
    <cellStyle name="PRM 2" xfId="359"/>
    <cellStyle name="PRM 3" xfId="360"/>
    <cellStyle name="PRM_2011-11" xfId="361"/>
    <cellStyle name="PS_Comma" xfId="362"/>
    <cellStyle name="PSChar" xfId="363"/>
    <cellStyle name="PSDate" xfId="364"/>
    <cellStyle name="PSDec" xfId="365"/>
    <cellStyle name="PSHeading" xfId="366"/>
    <cellStyle name="PSInt" xfId="367"/>
    <cellStyle name="PSSpacer" xfId="368"/>
    <cellStyle name="STYL0 - Style1" xfId="369"/>
    <cellStyle name="STYL1 - Style2" xfId="370"/>
    <cellStyle name="STYL2 - Style3" xfId="371"/>
    <cellStyle name="STYL3 - Style4" xfId="372"/>
    <cellStyle name="STYL4 - Style5" xfId="373"/>
    <cellStyle name="STYL5 - Style6" xfId="374"/>
    <cellStyle name="STYL6 - Style7" xfId="375"/>
    <cellStyle name="STYL7 - Style8" xfId="376"/>
    <cellStyle name="Style 1" xfId="377"/>
    <cellStyle name="Style 1 2" xfId="378"/>
    <cellStyle name="STYLE1" xfId="379"/>
    <cellStyle name="sub heading" xfId="380"/>
    <cellStyle name="Title 2" xfId="381"/>
    <cellStyle name="Title 3" xfId="382"/>
    <cellStyle name="Total 2" xfId="383"/>
    <cellStyle name="Total 2 2" xfId="384"/>
    <cellStyle name="Total 3" xfId="385"/>
    <cellStyle name="Total 3 2" xfId="386"/>
    <cellStyle name="Warning Text 2" xfId="387"/>
    <cellStyle name="Warning Text 3" xfId="388"/>
    <cellStyle name="WM_STANDARD" xfId="3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topLeftCell="A42" workbookViewId="0">
      <selection activeCell="B61" sqref="B61"/>
    </sheetView>
  </sheetViews>
  <sheetFormatPr defaultRowHeight="15"/>
  <cols>
    <col min="1" max="1" width="40" style="3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 ht="18.75">
      <c r="A1" s="163" t="s">
        <v>128</v>
      </c>
      <c r="B1" s="163"/>
      <c r="C1" s="163"/>
      <c r="D1" s="163"/>
      <c r="E1" s="163"/>
      <c r="F1" s="163"/>
      <c r="G1" s="163"/>
      <c r="H1" s="163"/>
    </row>
    <row r="2" spans="1:8">
      <c r="A2" s="180" t="s">
        <v>18</v>
      </c>
      <c r="B2" s="180"/>
      <c r="C2" s="180"/>
      <c r="D2" s="180"/>
      <c r="E2" s="180"/>
      <c r="F2" s="180"/>
      <c r="G2" s="180"/>
      <c r="H2" s="180"/>
    </row>
    <row r="3" spans="1:8">
      <c r="A3" s="3" t="s">
        <v>54</v>
      </c>
      <c r="B3" s="17" t="s">
        <v>40</v>
      </c>
      <c r="C3" s="17" t="s">
        <v>41</v>
      </c>
      <c r="D3" s="17" t="s">
        <v>42</v>
      </c>
      <c r="E3" s="18" t="s">
        <v>45</v>
      </c>
      <c r="F3" s="18" t="s">
        <v>46</v>
      </c>
      <c r="G3" s="18" t="s">
        <v>47</v>
      </c>
      <c r="H3" s="17" t="s">
        <v>50</v>
      </c>
    </row>
    <row r="4" spans="1:8">
      <c r="A4" s="3" t="s">
        <v>51</v>
      </c>
      <c r="B4" s="1">
        <f>ROUND(52*5/12,2)</f>
        <v>21.67</v>
      </c>
      <c r="C4" s="19">
        <f>$B$4*2</f>
        <v>43.34</v>
      </c>
      <c r="D4" s="19">
        <f>$B$4*3</f>
        <v>65.010000000000005</v>
      </c>
      <c r="E4" s="19">
        <f>$B$4*4</f>
        <v>86.68</v>
      </c>
      <c r="F4" s="19">
        <f>$B$4*5</f>
        <v>108.35000000000001</v>
      </c>
      <c r="G4" s="19">
        <f>$B$4*6</f>
        <v>130.02000000000001</v>
      </c>
      <c r="H4" s="19">
        <f>$B$4*7</f>
        <v>151.69</v>
      </c>
    </row>
    <row r="5" spans="1:8">
      <c r="A5" s="3" t="s">
        <v>87</v>
      </c>
      <c r="B5" s="1">
        <f>ROUND(52*4/12,2)</f>
        <v>17.329999999999998</v>
      </c>
      <c r="C5" s="19">
        <f>$B$5*2</f>
        <v>34.659999999999997</v>
      </c>
      <c r="D5" s="19">
        <f>$B$5*3</f>
        <v>51.989999999999995</v>
      </c>
      <c r="E5" s="19">
        <f>$B$5*4</f>
        <v>69.319999999999993</v>
      </c>
      <c r="F5" s="19">
        <f>$B$5*5</f>
        <v>86.649999999999991</v>
      </c>
      <c r="G5" s="19">
        <f>$B$5*6</f>
        <v>103.97999999999999</v>
      </c>
      <c r="H5" s="19">
        <f>$B$5*7</f>
        <v>121.30999999999999</v>
      </c>
    </row>
    <row r="6" spans="1:8">
      <c r="A6" s="3" t="s">
        <v>52</v>
      </c>
      <c r="B6" s="1">
        <f>ROUND(52*3/12,2)</f>
        <v>13</v>
      </c>
      <c r="C6" s="19">
        <f>$B$6*2</f>
        <v>26</v>
      </c>
      <c r="D6" s="19">
        <f>$B$6*3</f>
        <v>39</v>
      </c>
      <c r="E6" s="19">
        <f>$B$6*4</f>
        <v>52</v>
      </c>
      <c r="F6" s="19">
        <f>$B$6*5</f>
        <v>65</v>
      </c>
      <c r="G6" s="19">
        <f>$B$6*6</f>
        <v>78</v>
      </c>
      <c r="H6" s="19">
        <f>$B$6*7</f>
        <v>91</v>
      </c>
    </row>
    <row r="7" spans="1:8">
      <c r="A7" s="3" t="s">
        <v>53</v>
      </c>
      <c r="B7" s="1">
        <f>ROUND(52*2/12,2)</f>
        <v>8.67</v>
      </c>
      <c r="C7" s="20">
        <f>$B$7*2</f>
        <v>17.34</v>
      </c>
      <c r="D7" s="20">
        <f>$B$7*3</f>
        <v>26.009999999999998</v>
      </c>
      <c r="E7" s="20">
        <f>$B$7*4</f>
        <v>34.68</v>
      </c>
      <c r="F7" s="20">
        <f>$B$7*5</f>
        <v>43.35</v>
      </c>
      <c r="G7" s="20">
        <f>$B$7*6</f>
        <v>52.019999999999996</v>
      </c>
      <c r="H7" s="20">
        <f>$B$7*7</f>
        <v>60.69</v>
      </c>
    </row>
    <row r="8" spans="1:8">
      <c r="A8" s="3" t="s">
        <v>21</v>
      </c>
      <c r="B8" s="1">
        <f>ROUND(52/12,2)</f>
        <v>4.33</v>
      </c>
      <c r="C8" s="20">
        <f>$B$8*2</f>
        <v>8.66</v>
      </c>
      <c r="D8" s="20">
        <f>$B$8*3</f>
        <v>12.99</v>
      </c>
      <c r="E8" s="20">
        <f>$B$8*4</f>
        <v>17.32</v>
      </c>
      <c r="F8" s="20">
        <f>$B$8*5</f>
        <v>21.65</v>
      </c>
      <c r="G8" s="20">
        <f>$B$8*6</f>
        <v>25.98</v>
      </c>
      <c r="H8" s="20">
        <f>$B$8*7</f>
        <v>30.310000000000002</v>
      </c>
    </row>
    <row r="9" spans="1:8">
      <c r="A9" s="3" t="s">
        <v>23</v>
      </c>
      <c r="B9" s="1">
        <f>ROUND(26/12,2)</f>
        <v>2.17</v>
      </c>
      <c r="C9" s="20">
        <f>$B$9*2</f>
        <v>4.34</v>
      </c>
      <c r="D9" s="20">
        <f>$B$9*3</f>
        <v>6.51</v>
      </c>
      <c r="E9" s="20">
        <f>$B$9*4</f>
        <v>8.68</v>
      </c>
      <c r="F9" s="20">
        <f>$B$9*5</f>
        <v>10.85</v>
      </c>
      <c r="G9" s="20">
        <f>$B$9*6</f>
        <v>13.02</v>
      </c>
      <c r="H9" s="20">
        <f>$B$9*7</f>
        <v>15.19</v>
      </c>
    </row>
    <row r="10" spans="1:8">
      <c r="A10" s="3" t="s">
        <v>22</v>
      </c>
      <c r="B10" s="1">
        <f>12/12</f>
        <v>1</v>
      </c>
      <c r="C10" s="20">
        <f>$B$10*2</f>
        <v>2</v>
      </c>
      <c r="D10" s="20">
        <f>$B$10*3</f>
        <v>3</v>
      </c>
      <c r="E10" s="20">
        <f>$B$10*4</f>
        <v>4</v>
      </c>
      <c r="F10" s="20">
        <f>$B$10*5</f>
        <v>5</v>
      </c>
      <c r="G10" s="20">
        <f>$B$10*6</f>
        <v>6</v>
      </c>
      <c r="H10" s="20">
        <f>$B$10*7</f>
        <v>7</v>
      </c>
    </row>
    <row r="11" spans="1:8">
      <c r="B11" s="1"/>
      <c r="C11" s="20"/>
      <c r="D11" s="20"/>
      <c r="E11" s="20"/>
      <c r="F11" s="20"/>
      <c r="G11" s="20"/>
      <c r="H11" s="20"/>
    </row>
    <row r="12" spans="1:8">
      <c r="A12" s="180" t="s">
        <v>10</v>
      </c>
      <c r="B12" s="180"/>
      <c r="C12" s="20"/>
      <c r="D12" s="20"/>
      <c r="E12" s="20"/>
      <c r="F12" s="20"/>
      <c r="G12" s="20"/>
      <c r="H12" s="20"/>
    </row>
    <row r="13" spans="1:8">
      <c r="A13" s="2" t="s">
        <v>49</v>
      </c>
      <c r="B13" s="30" t="s">
        <v>79</v>
      </c>
      <c r="C13" s="20"/>
      <c r="D13" s="20"/>
      <c r="E13" s="20"/>
      <c r="F13" s="20"/>
      <c r="G13" s="20"/>
      <c r="H13" s="20"/>
    </row>
    <row r="14" spans="1:8">
      <c r="A14" s="21" t="s">
        <v>80</v>
      </c>
      <c r="B14" s="13">
        <v>20</v>
      </c>
      <c r="C14" s="20"/>
      <c r="D14" s="20"/>
      <c r="E14" s="20"/>
      <c r="F14" s="20"/>
      <c r="G14" s="20"/>
      <c r="H14" s="20"/>
    </row>
    <row r="15" spans="1:8">
      <c r="A15" s="21" t="s">
        <v>55</v>
      </c>
      <c r="B15" s="13">
        <v>34</v>
      </c>
      <c r="C15" s="20"/>
      <c r="D15" s="20"/>
      <c r="E15" s="20"/>
      <c r="F15" s="20"/>
      <c r="G15" s="20"/>
      <c r="H15" s="20"/>
    </row>
    <row r="16" spans="1:8">
      <c r="A16" s="21" t="s">
        <v>56</v>
      </c>
      <c r="B16" s="13">
        <v>51</v>
      </c>
      <c r="C16" s="20"/>
      <c r="D16" s="20"/>
      <c r="E16" s="20"/>
      <c r="F16" s="20"/>
      <c r="G16" s="20"/>
      <c r="H16" s="20"/>
    </row>
    <row r="17" spans="1:8">
      <c r="A17" s="21" t="s">
        <v>57</v>
      </c>
      <c r="B17" s="13">
        <v>77</v>
      </c>
      <c r="C17" s="20"/>
      <c r="D17" s="20"/>
      <c r="E17" s="20"/>
      <c r="F17" s="3" t="s">
        <v>19</v>
      </c>
      <c r="G17" s="13">
        <v>2000</v>
      </c>
      <c r="H17" s="20"/>
    </row>
    <row r="18" spans="1:8">
      <c r="A18" s="21" t="s">
        <v>58</v>
      </c>
      <c r="B18" s="13">
        <v>97</v>
      </c>
      <c r="C18" s="20"/>
      <c r="D18" s="20"/>
      <c r="E18" s="20"/>
      <c r="F18" s="3" t="s">
        <v>20</v>
      </c>
      <c r="G18" s="22" t="s">
        <v>43</v>
      </c>
      <c r="H18" s="20"/>
    </row>
    <row r="19" spans="1:8">
      <c r="A19" s="21" t="s">
        <v>59</v>
      </c>
      <c r="B19" s="13">
        <v>117</v>
      </c>
      <c r="C19" s="20"/>
      <c r="D19" s="20"/>
      <c r="E19" s="20"/>
      <c r="H19" s="20"/>
    </row>
    <row r="20" spans="1:8">
      <c r="A20" s="21" t="s">
        <v>60</v>
      </c>
      <c r="B20" s="13">
        <v>157</v>
      </c>
      <c r="C20" s="20"/>
      <c r="D20" s="20"/>
      <c r="E20" s="20"/>
      <c r="F20" s="15"/>
      <c r="G20" s="16"/>
      <c r="H20" s="20"/>
    </row>
    <row r="21" spans="1:8">
      <c r="A21" s="21" t="s">
        <v>96</v>
      </c>
      <c r="B21" s="13">
        <v>37</v>
      </c>
      <c r="C21" s="20" t="s">
        <v>81</v>
      </c>
      <c r="D21" s="20"/>
      <c r="E21" s="20"/>
      <c r="F21" s="15"/>
      <c r="G21" s="16"/>
      <c r="H21" s="20"/>
    </row>
    <row r="22" spans="1:8">
      <c r="A22" s="21" t="s">
        <v>61</v>
      </c>
      <c r="B22" s="13">
        <v>47</v>
      </c>
      <c r="C22" s="20"/>
      <c r="D22" s="20"/>
      <c r="E22" s="20"/>
      <c r="F22" s="20"/>
      <c r="G22" s="20"/>
      <c r="H22" s="20"/>
    </row>
    <row r="23" spans="1:8">
      <c r="A23" s="21" t="s">
        <v>62</v>
      </c>
      <c r="B23" s="13">
        <v>68</v>
      </c>
      <c r="C23" s="20"/>
      <c r="D23" s="20"/>
      <c r="E23" s="20"/>
      <c r="F23" s="20"/>
      <c r="G23" s="20"/>
      <c r="H23" s="20"/>
    </row>
    <row r="24" spans="1:8">
      <c r="A24" s="21" t="s">
        <v>63</v>
      </c>
      <c r="B24" s="13">
        <v>34</v>
      </c>
      <c r="C24" s="20"/>
      <c r="D24" s="20"/>
      <c r="E24" s="20"/>
      <c r="F24" s="20"/>
      <c r="G24" s="20"/>
      <c r="H24" s="20"/>
    </row>
    <row r="25" spans="1:8">
      <c r="A25" s="21" t="s">
        <v>31</v>
      </c>
      <c r="B25" s="13">
        <v>34</v>
      </c>
      <c r="C25" s="20"/>
      <c r="D25" s="20"/>
      <c r="E25" s="20"/>
      <c r="F25" s="20"/>
      <c r="G25" s="20"/>
      <c r="H25" s="20"/>
    </row>
    <row r="26" spans="1:8">
      <c r="A26" s="2" t="s">
        <v>64</v>
      </c>
      <c r="B26" s="13"/>
      <c r="C26" s="20"/>
      <c r="D26" s="20"/>
      <c r="E26" s="20"/>
      <c r="F26" s="20"/>
      <c r="G26" s="20"/>
      <c r="H26" s="20"/>
    </row>
    <row r="27" spans="1:8">
      <c r="A27" s="21" t="s">
        <v>65</v>
      </c>
      <c r="B27" s="13">
        <v>29</v>
      </c>
      <c r="C27" s="20"/>
      <c r="D27" s="20"/>
      <c r="E27" s="20"/>
      <c r="F27" s="20"/>
      <c r="G27" s="20"/>
      <c r="H27" s="20"/>
    </row>
    <row r="28" spans="1:8">
      <c r="A28" s="21" t="s">
        <v>66</v>
      </c>
      <c r="B28" s="13">
        <v>175</v>
      </c>
      <c r="C28" s="20"/>
      <c r="D28" s="20"/>
      <c r="E28" s="20"/>
      <c r="F28" s="20"/>
      <c r="G28" s="20"/>
      <c r="H28" s="20"/>
    </row>
    <row r="29" spans="1:8">
      <c r="A29" s="21" t="s">
        <v>67</v>
      </c>
      <c r="B29" s="13">
        <v>250</v>
      </c>
      <c r="C29" s="20"/>
      <c r="D29" s="20"/>
      <c r="E29" s="20"/>
      <c r="F29" s="20"/>
      <c r="G29" s="20"/>
      <c r="H29" s="20"/>
    </row>
    <row r="30" spans="1:8">
      <c r="A30" s="21" t="s">
        <v>68</v>
      </c>
      <c r="B30" s="13">
        <v>324</v>
      </c>
      <c r="C30" s="20"/>
      <c r="D30" s="20"/>
      <c r="E30" s="20"/>
      <c r="F30" s="20"/>
      <c r="G30" s="20"/>
      <c r="H30" s="20"/>
    </row>
    <row r="31" spans="1:8">
      <c r="A31" s="21" t="s">
        <v>69</v>
      </c>
      <c r="B31" s="13">
        <v>473</v>
      </c>
      <c r="C31" s="20"/>
      <c r="D31" s="20"/>
      <c r="E31" s="20"/>
      <c r="F31" s="20"/>
      <c r="G31" s="20"/>
      <c r="H31" s="20"/>
    </row>
    <row r="32" spans="1:8">
      <c r="A32" s="21" t="s">
        <v>70</v>
      </c>
      <c r="B32" s="13">
        <v>613</v>
      </c>
      <c r="C32" s="20"/>
      <c r="D32" s="20"/>
      <c r="E32" s="20"/>
      <c r="F32" s="20"/>
      <c r="G32" s="20"/>
      <c r="H32" s="20"/>
    </row>
    <row r="33" spans="1:8">
      <c r="A33" s="21" t="s">
        <v>71</v>
      </c>
      <c r="B33" s="13">
        <v>840</v>
      </c>
      <c r="C33" s="20"/>
      <c r="D33" s="20"/>
      <c r="E33" s="20"/>
      <c r="F33" s="20"/>
      <c r="G33" s="20"/>
      <c r="H33" s="20"/>
    </row>
    <row r="34" spans="1:8">
      <c r="A34" s="21" t="s">
        <v>72</v>
      </c>
      <c r="B34" s="13">
        <v>980</v>
      </c>
      <c r="C34" s="20"/>
      <c r="D34" s="20"/>
      <c r="E34" s="20"/>
      <c r="F34" s="20"/>
      <c r="G34" s="20"/>
      <c r="H34" s="20"/>
    </row>
    <row r="35" spans="1:8">
      <c r="A35" s="21" t="s">
        <v>88</v>
      </c>
      <c r="B35" s="13">
        <v>482</v>
      </c>
      <c r="C35" s="20" t="s">
        <v>81</v>
      </c>
      <c r="D35" s="20"/>
      <c r="E35" s="20"/>
      <c r="F35" s="20"/>
      <c r="G35" s="20"/>
      <c r="H35" s="20"/>
    </row>
    <row r="36" spans="1:8">
      <c r="A36" s="21" t="s">
        <v>89</v>
      </c>
      <c r="B36" s="13">
        <v>689</v>
      </c>
      <c r="C36" s="20" t="s">
        <v>81</v>
      </c>
      <c r="D36" s="20"/>
      <c r="E36" s="20"/>
      <c r="F36" s="20"/>
      <c r="G36" s="20"/>
      <c r="H36" s="20"/>
    </row>
    <row r="37" spans="1:8">
      <c r="A37" s="21" t="s">
        <v>74</v>
      </c>
      <c r="B37" s="13">
        <v>892</v>
      </c>
      <c r="C37" s="20" t="s">
        <v>81</v>
      </c>
      <c r="D37" s="20"/>
      <c r="E37" s="20"/>
      <c r="F37" s="20"/>
      <c r="G37" s="20"/>
      <c r="H37" s="20"/>
    </row>
    <row r="38" spans="1:8">
      <c r="A38" s="21" t="s">
        <v>73</v>
      </c>
      <c r="B38" s="13">
        <v>1301</v>
      </c>
      <c r="C38" s="20"/>
      <c r="D38" s="20"/>
      <c r="E38" s="20"/>
      <c r="F38" s="20"/>
      <c r="G38" s="20"/>
      <c r="H38" s="20"/>
    </row>
    <row r="39" spans="1:8">
      <c r="A39" s="21" t="s">
        <v>75</v>
      </c>
      <c r="B39" s="13">
        <v>1686</v>
      </c>
      <c r="C39" s="20"/>
      <c r="D39" s="20"/>
      <c r="E39" s="20"/>
      <c r="F39" s="20"/>
      <c r="G39" s="20"/>
      <c r="H39" s="20"/>
    </row>
    <row r="40" spans="1:8">
      <c r="A40" s="21" t="s">
        <v>76</v>
      </c>
      <c r="B40" s="13">
        <v>2046</v>
      </c>
      <c r="C40" s="20"/>
      <c r="D40" s="20"/>
      <c r="E40" s="20"/>
      <c r="F40" s="20"/>
      <c r="G40" s="20"/>
      <c r="H40" s="20"/>
    </row>
    <row r="41" spans="1:8">
      <c r="A41" s="21" t="s">
        <v>77</v>
      </c>
      <c r="B41" s="13">
        <v>2310</v>
      </c>
      <c r="C41" s="20"/>
      <c r="D41" s="20"/>
      <c r="E41" s="20"/>
      <c r="F41" s="20"/>
      <c r="G41" s="20"/>
      <c r="H41" s="20"/>
    </row>
    <row r="42" spans="1:8">
      <c r="A42" s="21" t="s">
        <v>90</v>
      </c>
      <c r="B42" s="13">
        <v>2800</v>
      </c>
      <c r="C42" s="20" t="s">
        <v>81</v>
      </c>
      <c r="D42" s="20"/>
      <c r="E42" s="20"/>
      <c r="F42" s="20"/>
      <c r="G42" s="20"/>
      <c r="H42" s="20"/>
    </row>
    <row r="43" spans="1:8">
      <c r="A43" s="21" t="s">
        <v>78</v>
      </c>
      <c r="B43" s="13">
        <v>125</v>
      </c>
      <c r="C43" s="20"/>
      <c r="D43" s="20"/>
      <c r="E43" s="20"/>
      <c r="F43" s="20"/>
      <c r="G43" s="20"/>
      <c r="H43" s="20"/>
    </row>
    <row r="44" spans="1:8">
      <c r="B44" s="182" t="s">
        <v>92</v>
      </c>
      <c r="C44" s="182"/>
    </row>
    <row r="47" spans="1:8">
      <c r="A47" s="29" t="s">
        <v>129</v>
      </c>
      <c r="B47" s="27" t="s">
        <v>5</v>
      </c>
      <c r="C47" s="27" t="s">
        <v>6</v>
      </c>
      <c r="F47" s="181" t="s">
        <v>26</v>
      </c>
      <c r="G47" s="181"/>
    </row>
    <row r="48" spans="1:8">
      <c r="A48" s="23" t="s">
        <v>7</v>
      </c>
      <c r="B48" s="6">
        <v>30.89</v>
      </c>
      <c r="C48" s="5">
        <f>B48/2000</f>
        <v>1.5445E-2</v>
      </c>
      <c r="F48" s="3" t="s">
        <v>27</v>
      </c>
      <c r="G48" s="9">
        <f>0.015</f>
        <v>1.4999999999999999E-2</v>
      </c>
    </row>
    <row r="49" spans="1:7">
      <c r="A49" s="23" t="s">
        <v>8</v>
      </c>
      <c r="B49" s="7">
        <v>32.82</v>
      </c>
      <c r="C49" s="8">
        <f>B49/2000</f>
        <v>1.6410000000000001E-2</v>
      </c>
      <c r="F49" s="3" t="s">
        <v>28</v>
      </c>
      <c r="G49" s="10">
        <f>0.004</f>
        <v>4.0000000000000001E-3</v>
      </c>
    </row>
    <row r="50" spans="1:7">
      <c r="A50" s="21" t="s">
        <v>9</v>
      </c>
      <c r="B50" s="6">
        <f>B49-B48</f>
        <v>1.9299999999999997</v>
      </c>
      <c r="C50" s="12">
        <f>C49-C48</f>
        <v>9.6500000000000058E-4</v>
      </c>
      <c r="F50" s="3" t="s">
        <v>48</v>
      </c>
      <c r="G50" s="11"/>
    </row>
    <row r="51" spans="1:7">
      <c r="F51" s="3" t="s">
        <v>16</v>
      </c>
      <c r="G51" s="24">
        <f>SUM(G48:G50)</f>
        <v>1.9E-2</v>
      </c>
    </row>
    <row r="52" spans="1:7">
      <c r="B52" s="28" t="s">
        <v>93</v>
      </c>
    </row>
    <row r="53" spans="1:7">
      <c r="A53" s="3" t="s">
        <v>3</v>
      </c>
      <c r="B53" s="25">
        <f>B50</f>
        <v>1.9299999999999997</v>
      </c>
      <c r="F53" s="3" t="s">
        <v>29</v>
      </c>
      <c r="G53" s="26">
        <f>1-G51</f>
        <v>0.98099999999999998</v>
      </c>
    </row>
    <row r="54" spans="1:7">
      <c r="A54" s="3" t="s">
        <v>25</v>
      </c>
      <c r="B54" s="25">
        <f>B53/$G$53</f>
        <v>1.9673802242609579</v>
      </c>
    </row>
    <row r="55" spans="1:7">
      <c r="A55" s="3" t="s">
        <v>24</v>
      </c>
      <c r="B55" s="14">
        <f>Calculations!D50</f>
        <v>5449</v>
      </c>
    </row>
    <row r="56" spans="1:7">
      <c r="A56" s="2" t="s">
        <v>30</v>
      </c>
      <c r="B56" s="4">
        <f>B54*B55</f>
        <v>10720.254841997959</v>
      </c>
    </row>
    <row r="59" spans="1:7" ht="15.75" thickBot="1"/>
    <row r="60" spans="1:7">
      <c r="A60" s="93" t="s">
        <v>84</v>
      </c>
      <c r="B60" s="94" t="s">
        <v>82</v>
      </c>
      <c r="D60" s="25"/>
    </row>
    <row r="61" spans="1:7">
      <c r="A61" s="95" t="s">
        <v>83</v>
      </c>
      <c r="B61" s="96">
        <f>+Calculations!Q25</f>
        <v>10784.865758640846</v>
      </c>
    </row>
    <row r="62" spans="1:7">
      <c r="A62" s="95" t="s">
        <v>12</v>
      </c>
      <c r="B62" s="96">
        <f>B61-B56</f>
        <v>64.610916642886878</v>
      </c>
    </row>
    <row r="63" spans="1:7">
      <c r="A63" s="95"/>
      <c r="B63" s="97"/>
    </row>
    <row r="64" spans="1:7">
      <c r="A64" s="98" t="s">
        <v>85</v>
      </c>
      <c r="B64" s="99" t="s">
        <v>82</v>
      </c>
    </row>
    <row r="65" spans="1:3">
      <c r="A65" s="95" t="s">
        <v>44</v>
      </c>
      <c r="B65" s="100">
        <f>Calculations!Q25</f>
        <v>10784.865758640846</v>
      </c>
    </row>
    <row r="66" spans="1:3" ht="15.75" thickBot="1">
      <c r="A66" s="101" t="s">
        <v>12</v>
      </c>
      <c r="B66" s="102">
        <f>B65-B56</f>
        <v>64.610916642886878</v>
      </c>
      <c r="C66" s="25">
        <f>B62-B66</f>
        <v>0</v>
      </c>
    </row>
  </sheetData>
  <mergeCells count="4">
    <mergeCell ref="A2:H2"/>
    <mergeCell ref="F47:G47"/>
    <mergeCell ref="A12:B12"/>
    <mergeCell ref="B44:C44"/>
  </mergeCells>
  <phoneticPr fontId="0" type="noConversion"/>
  <pageMargins left="0.28000000000000003" right="0.52" top="0.75" bottom="0.75" header="0.3" footer="0.3"/>
  <pageSetup scale="70" orientation="portrait" r:id="rId1"/>
  <headerFooter>
    <oddHeader>&amp;C&amp;12Disposal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6" sqref="A6"/>
      <selection pane="bottomRight" activeCell="A3" sqref="A3:A11"/>
    </sheetView>
  </sheetViews>
  <sheetFormatPr defaultColWidth="8.85546875" defaultRowHeight="15"/>
  <cols>
    <col min="1" max="1" width="4.5703125" style="59" customWidth="1"/>
    <col min="2" max="2" width="10.85546875" style="63" bestFit="1" customWidth="1"/>
    <col min="3" max="3" width="40.28515625" style="59" customWidth="1"/>
    <col min="4" max="4" width="18.85546875" style="60" bestFit="1" customWidth="1"/>
    <col min="5" max="5" width="10.42578125" style="59" bestFit="1" customWidth="1"/>
    <col min="6" max="6" width="14" style="59" bestFit="1" customWidth="1"/>
    <col min="7" max="7" width="15.140625" style="59" customWidth="1"/>
    <col min="8" max="8" width="21.42578125" style="59" customWidth="1"/>
    <col min="9" max="9" width="16.28515625" style="58" customWidth="1"/>
    <col min="10" max="11" width="12.28515625" style="59" customWidth="1"/>
    <col min="12" max="12" width="10.7109375" style="59" customWidth="1"/>
    <col min="13" max="13" width="16.5703125" style="59" customWidth="1"/>
    <col min="14" max="14" width="15.42578125" style="59" customWidth="1"/>
    <col min="15" max="16" width="17.7109375" style="59" bestFit="1" customWidth="1"/>
    <col min="17" max="17" width="16" style="59" customWidth="1"/>
    <col min="18" max="16384" width="8.85546875" style="59"/>
  </cols>
  <sheetData>
    <row r="1" spans="1:19" ht="18.75">
      <c r="A1" s="163" t="s">
        <v>137</v>
      </c>
      <c r="B1" s="163"/>
      <c r="C1" s="163"/>
      <c r="D1" s="163"/>
      <c r="E1" s="163"/>
      <c r="F1" s="163"/>
      <c r="G1" s="163"/>
      <c r="H1" s="163"/>
      <c r="I1" s="164"/>
      <c r="J1" s="163"/>
      <c r="K1" s="163"/>
      <c r="L1" s="163"/>
      <c r="M1" s="163"/>
      <c r="N1" s="163"/>
      <c r="O1" s="163"/>
      <c r="P1" s="163"/>
      <c r="Q1" s="163"/>
    </row>
    <row r="2" spans="1:19" ht="45">
      <c r="A2" s="29"/>
      <c r="B2" s="83" t="s">
        <v>15</v>
      </c>
      <c r="C2" s="84" t="s">
        <v>17</v>
      </c>
      <c r="D2" s="83" t="s">
        <v>37</v>
      </c>
      <c r="E2" s="83" t="s">
        <v>0</v>
      </c>
      <c r="F2" s="29" t="s">
        <v>1</v>
      </c>
      <c r="G2" s="83" t="s">
        <v>10</v>
      </c>
      <c r="H2" s="83" t="s">
        <v>34</v>
      </c>
      <c r="I2" s="112" t="s">
        <v>35</v>
      </c>
      <c r="J2" s="111" t="s">
        <v>9</v>
      </c>
      <c r="K2" s="83" t="s">
        <v>2</v>
      </c>
      <c r="L2" s="83" t="s">
        <v>38</v>
      </c>
      <c r="M2" s="83" t="s">
        <v>112</v>
      </c>
      <c r="N2" s="83" t="s">
        <v>111</v>
      </c>
      <c r="O2" s="83" t="s">
        <v>36</v>
      </c>
      <c r="P2" s="83" t="s">
        <v>113</v>
      </c>
      <c r="Q2" s="83" t="s">
        <v>39</v>
      </c>
    </row>
    <row r="3" spans="1:19" s="61" customFormat="1" ht="15" customHeight="1">
      <c r="A3" s="185" t="s">
        <v>13</v>
      </c>
      <c r="B3" s="116"/>
      <c r="S3" s="52"/>
    </row>
    <row r="4" spans="1:19" s="61" customFormat="1" ht="15" customHeight="1">
      <c r="A4" s="184"/>
      <c r="B4" s="49">
        <v>22</v>
      </c>
      <c r="C4" s="46" t="s">
        <v>130</v>
      </c>
      <c r="D4" s="117">
        <v>1</v>
      </c>
      <c r="E4" s="71">
        <f>References!$B$8</f>
        <v>4.33</v>
      </c>
      <c r="F4" s="70">
        <f t="shared" ref="F4" si="0">D4*E4*12</f>
        <v>51.96</v>
      </c>
      <c r="G4" s="137">
        <f>References!B14</f>
        <v>20</v>
      </c>
      <c r="H4" s="70">
        <f t="shared" ref="H4" si="1">F4*G4</f>
        <v>1039.2</v>
      </c>
      <c r="I4" s="48">
        <f t="shared" ref="I4:I10" si="2">$D$53*H4</f>
        <v>736.98850530802667</v>
      </c>
      <c r="J4" s="69">
        <f>(References!$C$50*I4)</f>
        <v>0.71119390762224621</v>
      </c>
      <c r="K4" s="69">
        <f>J4/References!$G$53</f>
        <v>0.72496830542532742</v>
      </c>
      <c r="L4" s="69">
        <f t="shared" ref="L4:L10" si="3">K4/F4*E4</f>
        <v>6.0414025452110616E-2</v>
      </c>
      <c r="M4" s="119">
        <v>5.48</v>
      </c>
      <c r="N4" s="141">
        <f t="shared" ref="N4:N9" si="4">L4+M4</f>
        <v>5.5404140254521108</v>
      </c>
      <c r="O4" s="69">
        <f t="shared" ref="O4:O10" si="5">D4*M4*12</f>
        <v>65.760000000000005</v>
      </c>
      <c r="P4" s="69">
        <f t="shared" ref="P4:P10" si="6">D4*N4*12</f>
        <v>66.484968305425326</v>
      </c>
      <c r="Q4" s="72">
        <f t="shared" ref="Q4" si="7">+P4-O4</f>
        <v>0.72496830542532109</v>
      </c>
      <c r="S4" s="52"/>
    </row>
    <row r="5" spans="1:19" s="61" customFormat="1">
      <c r="A5" s="184"/>
      <c r="B5" s="49">
        <v>22</v>
      </c>
      <c r="C5" s="46" t="s">
        <v>100</v>
      </c>
      <c r="D5" s="117">
        <v>266</v>
      </c>
      <c r="E5" s="71">
        <f>References!$B$8</f>
        <v>4.33</v>
      </c>
      <c r="F5" s="70">
        <f t="shared" ref="F5:F10" si="8">D5*E5*12</f>
        <v>13821.36</v>
      </c>
      <c r="G5" s="137">
        <f>References!B15</f>
        <v>34</v>
      </c>
      <c r="H5" s="70">
        <f t="shared" ref="H5:H10" si="9">F5*G5</f>
        <v>469926.24</v>
      </c>
      <c r="I5" s="48">
        <f t="shared" si="2"/>
        <v>333266.20210028964</v>
      </c>
      <c r="J5" s="69">
        <f>(References!$C$50*I5)</f>
        <v>321.60188502677971</v>
      </c>
      <c r="K5" s="69">
        <f>J5/References!$G$53</f>
        <v>327.83066771333307</v>
      </c>
      <c r="L5" s="69">
        <f t="shared" si="3"/>
        <v>0.10270384326858806</v>
      </c>
      <c r="M5" s="119">
        <v>7.25</v>
      </c>
      <c r="N5" s="141">
        <f t="shared" si="4"/>
        <v>7.3527038432685883</v>
      </c>
      <c r="O5" s="69">
        <f t="shared" si="5"/>
        <v>23142</v>
      </c>
      <c r="P5" s="69">
        <f t="shared" si="6"/>
        <v>23469.830667713333</v>
      </c>
      <c r="Q5" s="72">
        <f t="shared" ref="Q5:Q10" si="10">+P5-O5</f>
        <v>327.83066771333324</v>
      </c>
      <c r="S5" s="52"/>
    </row>
    <row r="6" spans="1:19" s="61" customFormat="1">
      <c r="A6" s="184"/>
      <c r="B6" s="49">
        <v>22</v>
      </c>
      <c r="C6" s="46" t="s">
        <v>131</v>
      </c>
      <c r="D6" s="117">
        <v>1</v>
      </c>
      <c r="E6" s="71">
        <f>References!$B$8</f>
        <v>4.33</v>
      </c>
      <c r="F6" s="70">
        <f t="shared" ref="F6" si="11">D6*E6*12</f>
        <v>51.96</v>
      </c>
      <c r="G6" s="137">
        <f>References!B16</f>
        <v>51</v>
      </c>
      <c r="H6" s="70">
        <f t="shared" ref="H6" si="12">F6*G6</f>
        <v>2649.96</v>
      </c>
      <c r="I6" s="48">
        <f t="shared" si="2"/>
        <v>1879.320688535468</v>
      </c>
      <c r="J6" s="69">
        <f>(References!$C$50*I6)</f>
        <v>1.8135444644367278</v>
      </c>
      <c r="K6" s="69">
        <f>J6/References!$G$53</f>
        <v>1.848669178834585</v>
      </c>
      <c r="L6" s="69">
        <f t="shared" si="3"/>
        <v>0.15405576490288209</v>
      </c>
      <c r="M6" s="119">
        <v>8.91</v>
      </c>
      <c r="N6" s="141">
        <f t="shared" si="4"/>
        <v>9.0640557649028821</v>
      </c>
      <c r="O6" s="69">
        <f t="shared" si="5"/>
        <v>106.92</v>
      </c>
      <c r="P6" s="69">
        <f t="shared" si="6"/>
        <v>108.76866917883459</v>
      </c>
      <c r="Q6" s="72">
        <f t="shared" ref="Q6" si="13">+P6-O6</f>
        <v>1.8486691788345837</v>
      </c>
      <c r="S6" s="52"/>
    </row>
    <row r="7" spans="1:19" s="61" customFormat="1">
      <c r="A7" s="184"/>
      <c r="B7" s="49">
        <v>22</v>
      </c>
      <c r="C7" s="107" t="s">
        <v>105</v>
      </c>
      <c r="D7" s="70">
        <v>10</v>
      </c>
      <c r="E7" s="71">
        <f>References!B10</f>
        <v>1</v>
      </c>
      <c r="F7" s="70">
        <f>E7*12</f>
        <v>12</v>
      </c>
      <c r="G7" s="70">
        <f>References!B15</f>
        <v>34</v>
      </c>
      <c r="H7" s="70">
        <f>F7*G7</f>
        <v>408</v>
      </c>
      <c r="I7" s="48">
        <f t="shared" si="2"/>
        <v>289.34883580222754</v>
      </c>
      <c r="J7" s="69">
        <f>(References!$C$50*I7)</f>
        <v>0.27922162654914973</v>
      </c>
      <c r="K7" s="69">
        <f>J7/References!$G$53</f>
        <v>0.28462958873511696</v>
      </c>
      <c r="L7" s="69">
        <f t="shared" si="3"/>
        <v>2.3719132394593081E-2</v>
      </c>
      <c r="M7" s="92">
        <v>2.29</v>
      </c>
      <c r="N7" s="141">
        <f t="shared" si="4"/>
        <v>2.3137191323945929</v>
      </c>
      <c r="O7" s="69">
        <f t="shared" si="5"/>
        <v>274.79999999999995</v>
      </c>
      <c r="P7" s="69">
        <f t="shared" si="6"/>
        <v>277.64629588735113</v>
      </c>
      <c r="Q7" s="72">
        <f t="shared" ref="Q7" si="14">+P7-O7</f>
        <v>2.8462958873511752</v>
      </c>
      <c r="S7" s="52"/>
    </row>
    <row r="8" spans="1:19" s="61" customFormat="1">
      <c r="A8" s="184"/>
      <c r="B8" s="49">
        <v>22</v>
      </c>
      <c r="C8" s="46" t="s">
        <v>99</v>
      </c>
      <c r="D8" s="117">
        <v>885</v>
      </c>
      <c r="E8" s="71">
        <f>References!$B$8</f>
        <v>4.33</v>
      </c>
      <c r="F8" s="70">
        <f>D8*E8*12</f>
        <v>45984.600000000006</v>
      </c>
      <c r="G8" s="137">
        <f>References!B22</f>
        <v>47</v>
      </c>
      <c r="H8" s="70">
        <f>F8*G8</f>
        <v>2161276.2000000002</v>
      </c>
      <c r="I8" s="48">
        <f t="shared" si="2"/>
        <v>1532751.8439143687</v>
      </c>
      <c r="J8" s="69">
        <f>(References!$C$50*I8)</f>
        <v>1479.1055293773666</v>
      </c>
      <c r="K8" s="69">
        <f>J8/References!$G$53</f>
        <v>1507.7528332083248</v>
      </c>
      <c r="L8" s="69">
        <f t="shared" si="3"/>
        <v>0.14197295981245994</v>
      </c>
      <c r="M8" s="119">
        <v>8.91</v>
      </c>
      <c r="N8" s="141">
        <f t="shared" si="4"/>
        <v>9.0519729598124599</v>
      </c>
      <c r="O8" s="69">
        <f t="shared" si="5"/>
        <v>94624.200000000012</v>
      </c>
      <c r="P8" s="69">
        <f t="shared" si="6"/>
        <v>96131.952833208328</v>
      </c>
      <c r="Q8" s="72">
        <f>+P8-O8</f>
        <v>1507.7528332083166</v>
      </c>
      <c r="S8" s="52"/>
    </row>
    <row r="9" spans="1:19" s="61" customFormat="1">
      <c r="A9" s="184"/>
      <c r="B9" s="49">
        <v>23</v>
      </c>
      <c r="C9" s="136" t="s">
        <v>102</v>
      </c>
      <c r="D9" s="70">
        <v>219</v>
      </c>
      <c r="E9" s="71">
        <f>References!B10</f>
        <v>1</v>
      </c>
      <c r="F9" s="70">
        <f>E9*12</f>
        <v>12</v>
      </c>
      <c r="G9" s="70">
        <f>References!B25</f>
        <v>34</v>
      </c>
      <c r="H9" s="70">
        <f>F9*G9</f>
        <v>408</v>
      </c>
      <c r="I9" s="48">
        <f t="shared" si="2"/>
        <v>289.34883580222754</v>
      </c>
      <c r="J9" s="69">
        <f>(References!$C$50*I9)</f>
        <v>0.27922162654914973</v>
      </c>
      <c r="K9" s="69">
        <f>J9/References!$G$53</f>
        <v>0.28462958873511696</v>
      </c>
      <c r="L9" s="69">
        <f t="shared" si="3"/>
        <v>2.3719132394593081E-2</v>
      </c>
      <c r="M9" s="92">
        <v>2.29</v>
      </c>
      <c r="N9" s="141">
        <f t="shared" si="4"/>
        <v>2.3137191323945929</v>
      </c>
      <c r="O9" s="69">
        <f t="shared" si="5"/>
        <v>6018.12</v>
      </c>
      <c r="P9" s="69">
        <f t="shared" si="6"/>
        <v>6080.4538799329903</v>
      </c>
      <c r="Q9" s="72">
        <f>+P9-O9</f>
        <v>62.333879932990385</v>
      </c>
      <c r="S9" s="52"/>
    </row>
    <row r="10" spans="1:19" s="61" customFormat="1">
      <c r="A10" s="184"/>
      <c r="B10" s="49">
        <v>22</v>
      </c>
      <c r="C10" s="46" t="s">
        <v>101</v>
      </c>
      <c r="D10" s="117">
        <v>696</v>
      </c>
      <c r="E10" s="71">
        <f>References!$B$8</f>
        <v>4.33</v>
      </c>
      <c r="F10" s="70">
        <f t="shared" si="8"/>
        <v>36164.159999999996</v>
      </c>
      <c r="G10" s="137">
        <f>References!B23</f>
        <v>68</v>
      </c>
      <c r="H10" s="70">
        <f t="shared" si="9"/>
        <v>2459162.88</v>
      </c>
      <c r="I10" s="48">
        <f t="shared" si="2"/>
        <v>1744009.5989609142</v>
      </c>
      <c r="J10" s="69">
        <f>(References!$C$50*I10)</f>
        <v>1682.9692629972833</v>
      </c>
      <c r="K10" s="69">
        <f>J10/References!$G$53</f>
        <v>1715.5649979584948</v>
      </c>
      <c r="L10" s="69">
        <f t="shared" si="3"/>
        <v>0.20540768653717612</v>
      </c>
      <c r="M10" s="119">
        <v>10.84</v>
      </c>
      <c r="N10" s="141">
        <f t="shared" ref="N10:N20" si="15">L10+M10</f>
        <v>11.045407686537176</v>
      </c>
      <c r="O10" s="69">
        <f t="shared" si="5"/>
        <v>90535.680000000008</v>
      </c>
      <c r="P10" s="69">
        <f t="shared" si="6"/>
        <v>92251.244997958493</v>
      </c>
      <c r="Q10" s="72">
        <f t="shared" si="10"/>
        <v>1715.564997958485</v>
      </c>
      <c r="S10" s="52"/>
    </row>
    <row r="11" spans="1:19" s="61" customFormat="1">
      <c r="A11" s="184"/>
      <c r="B11" s="49"/>
      <c r="C11" s="120"/>
      <c r="D11" s="121"/>
      <c r="E11" s="115"/>
      <c r="F11" s="70"/>
      <c r="G11" s="118"/>
      <c r="H11" s="70"/>
      <c r="I11" s="48"/>
      <c r="J11" s="69"/>
      <c r="K11" s="69"/>
      <c r="L11" s="69"/>
      <c r="M11" s="119"/>
      <c r="N11" s="69"/>
      <c r="O11" s="69"/>
      <c r="P11" s="69"/>
      <c r="Q11" s="72"/>
    </row>
    <row r="12" spans="1:19" s="61" customFormat="1">
      <c r="A12" s="50"/>
      <c r="B12" s="85"/>
      <c r="C12" s="51" t="s">
        <v>16</v>
      </c>
      <c r="D12" s="53">
        <f>SUM(D5:D11)</f>
        <v>2077</v>
      </c>
      <c r="E12" s="54"/>
      <c r="F12" s="53">
        <f>SUM(F5:F11)</f>
        <v>96046.080000000002</v>
      </c>
      <c r="G12" s="55"/>
      <c r="H12" s="53">
        <f>SUM(H5:H11)</f>
        <v>5093831.28</v>
      </c>
      <c r="I12" s="53">
        <f>SUM(I5:I11)</f>
        <v>3612485.6633357126</v>
      </c>
      <c r="J12" s="74"/>
      <c r="K12" s="74"/>
      <c r="L12" s="74"/>
      <c r="M12" s="74"/>
      <c r="N12" s="74"/>
      <c r="O12" s="53">
        <f>SUM(O5:O11)</f>
        <v>214701.72000000003</v>
      </c>
      <c r="P12" s="53">
        <f>SUM(P5:P11)</f>
        <v>218319.89734387933</v>
      </c>
      <c r="Q12" s="53">
        <f>SUM(Q5:Q11)</f>
        <v>3618.1773438793111</v>
      </c>
    </row>
    <row r="13" spans="1:19" s="61" customFormat="1" ht="15" customHeight="1">
      <c r="A13" s="185" t="s">
        <v>14</v>
      </c>
      <c r="B13" s="49"/>
      <c r="C13" s="122"/>
      <c r="D13" s="58"/>
      <c r="E13" s="71"/>
      <c r="F13" s="123"/>
      <c r="G13" s="137"/>
      <c r="H13" s="70"/>
      <c r="I13" s="48"/>
      <c r="J13" s="69"/>
      <c r="K13" s="69"/>
      <c r="L13" s="69"/>
      <c r="M13" s="69"/>
      <c r="N13" s="141"/>
      <c r="O13" s="69"/>
      <c r="P13" s="69"/>
      <c r="Q13" s="72"/>
      <c r="S13" s="52"/>
    </row>
    <row r="14" spans="1:19" s="61" customFormat="1">
      <c r="A14" s="184"/>
      <c r="B14" s="49">
        <v>32</v>
      </c>
      <c r="C14" s="122" t="s">
        <v>136</v>
      </c>
      <c r="D14" s="160">
        <v>9</v>
      </c>
      <c r="E14" s="71">
        <v>1</v>
      </c>
      <c r="F14" s="70">
        <f>D14*E14*12</f>
        <v>108</v>
      </c>
      <c r="G14" s="137">
        <f>References!B23</f>
        <v>68</v>
      </c>
      <c r="H14" s="109">
        <f>F14*G14</f>
        <v>7344</v>
      </c>
      <c r="I14" s="48">
        <f>$D$53*H14</f>
        <v>5208.2790444400962</v>
      </c>
      <c r="J14" s="69">
        <f>(References!$C$50*I14)</f>
        <v>5.0259892778846957</v>
      </c>
      <c r="K14" s="69">
        <f>J14/References!$G$53</f>
        <v>5.123332597232106</v>
      </c>
      <c r="L14" s="69">
        <f>K14/F14</f>
        <v>4.7438264789186169E-2</v>
      </c>
      <c r="M14" s="92">
        <v>1.29</v>
      </c>
      <c r="N14" s="141">
        <f t="shared" si="15"/>
        <v>1.3374382647891863</v>
      </c>
      <c r="O14" s="69">
        <f>F14*M14</f>
        <v>139.32</v>
      </c>
      <c r="P14" s="69">
        <f>F14*N14</f>
        <v>144.44333259723211</v>
      </c>
      <c r="Q14" s="72">
        <f t="shared" ref="Q14:Q20" si="16">+P14-O14</f>
        <v>5.1233325972321211</v>
      </c>
      <c r="S14" s="52"/>
    </row>
    <row r="15" spans="1:19" s="61" customFormat="1">
      <c r="A15" s="184"/>
      <c r="B15" s="49">
        <v>32</v>
      </c>
      <c r="C15" s="122" t="s">
        <v>140</v>
      </c>
      <c r="D15" s="160">
        <v>9</v>
      </c>
      <c r="E15" s="71">
        <v>1</v>
      </c>
      <c r="F15" s="70">
        <f t="shared" ref="F15:F16" si="17">D15*E15*12</f>
        <v>108</v>
      </c>
      <c r="G15" s="137">
        <f>References!B23</f>
        <v>68</v>
      </c>
      <c r="H15" s="109">
        <f t="shared" ref="H15:H16" si="18">F15*G15</f>
        <v>7344</v>
      </c>
      <c r="I15" s="48">
        <f t="shared" ref="I15:I16" si="19">$D$53*H15</f>
        <v>5208.2790444400962</v>
      </c>
      <c r="J15" s="69">
        <f>(References!$C$50*I15)</f>
        <v>5.0259892778846957</v>
      </c>
      <c r="K15" s="69">
        <f>J15/References!$G$53</f>
        <v>5.123332597232106</v>
      </c>
      <c r="L15" s="69">
        <f t="shared" ref="L15:L16" si="20">K15/F15</f>
        <v>4.7438264789186169E-2</v>
      </c>
      <c r="M15" s="92">
        <v>5.59</v>
      </c>
      <c r="N15" s="141">
        <f t="shared" ref="N15:N16" si="21">L15+M15</f>
        <v>5.6374382647891856</v>
      </c>
      <c r="O15" s="69">
        <f t="shared" ref="O15:O16" si="22">F15*M15</f>
        <v>603.72</v>
      </c>
      <c r="P15" s="69">
        <f t="shared" ref="P15:P16" si="23">F15*N15</f>
        <v>608.84333259723201</v>
      </c>
      <c r="Q15" s="72">
        <f t="shared" ref="Q15:Q16" si="24">+P15-O15</f>
        <v>5.123332597231979</v>
      </c>
      <c r="S15" s="52"/>
    </row>
    <row r="16" spans="1:19" s="61" customFormat="1">
      <c r="A16" s="184"/>
      <c r="B16" s="49">
        <v>32</v>
      </c>
      <c r="C16" s="122" t="s">
        <v>141</v>
      </c>
      <c r="D16" s="160">
        <v>9</v>
      </c>
      <c r="E16" s="71">
        <v>1</v>
      </c>
      <c r="F16" s="70">
        <f t="shared" si="17"/>
        <v>108</v>
      </c>
      <c r="G16" s="137">
        <f>References!B23</f>
        <v>68</v>
      </c>
      <c r="H16" s="109">
        <f t="shared" si="18"/>
        <v>7344</v>
      </c>
      <c r="I16" s="48">
        <f t="shared" si="19"/>
        <v>5208.2790444400962</v>
      </c>
      <c r="J16" s="69">
        <f>(References!$C$50*I16)</f>
        <v>5.0259892778846957</v>
      </c>
      <c r="K16" s="69">
        <f>J16/References!$G$53</f>
        <v>5.123332597232106</v>
      </c>
      <c r="L16" s="69">
        <f t="shared" si="20"/>
        <v>4.7438264789186169E-2</v>
      </c>
      <c r="M16" s="92">
        <v>2.29</v>
      </c>
      <c r="N16" s="141">
        <f t="shared" si="21"/>
        <v>2.3374382647891863</v>
      </c>
      <c r="O16" s="69">
        <f t="shared" si="22"/>
        <v>247.32</v>
      </c>
      <c r="P16" s="69">
        <f t="shared" si="23"/>
        <v>252.44333259723211</v>
      </c>
      <c r="Q16" s="72">
        <f t="shared" si="24"/>
        <v>5.1233325972321211</v>
      </c>
      <c r="S16" s="52"/>
    </row>
    <row r="17" spans="1:19" s="61" customFormat="1">
      <c r="A17" s="184"/>
      <c r="B17" s="49"/>
      <c r="C17" s="142"/>
      <c r="D17" s="161"/>
      <c r="E17" s="143"/>
      <c r="F17" s="144"/>
      <c r="G17" s="145"/>
      <c r="H17" s="146"/>
      <c r="I17" s="147"/>
      <c r="J17" s="148"/>
      <c r="K17" s="148"/>
      <c r="L17" s="148"/>
      <c r="M17" s="149"/>
      <c r="N17" s="150"/>
      <c r="O17" s="148"/>
      <c r="P17" s="148"/>
      <c r="Q17" s="151"/>
      <c r="S17" s="52"/>
    </row>
    <row r="18" spans="1:19" s="61" customFormat="1">
      <c r="A18" s="184"/>
      <c r="B18" s="49">
        <v>31</v>
      </c>
      <c r="C18" s="152" t="s">
        <v>133</v>
      </c>
      <c r="D18" s="162">
        <v>706</v>
      </c>
      <c r="E18" s="154">
        <f>+References!B10</f>
        <v>1</v>
      </c>
      <c r="F18" s="70">
        <f t="shared" ref="F18:F20" si="25">D18*E18*12</f>
        <v>8472</v>
      </c>
      <c r="G18" s="155">
        <f>References!$B$29</f>
        <v>250</v>
      </c>
      <c r="H18" s="153">
        <f t="shared" ref="H18:H20" si="26">F18*G18</f>
        <v>2118000</v>
      </c>
      <c r="I18" s="156">
        <f>$D$53*H18</f>
        <v>1502060.8682086226</v>
      </c>
      <c r="J18" s="157">
        <f>(References!$C$50*I18)</f>
        <v>1449.4887378213216</v>
      </c>
      <c r="K18" s="157">
        <f>J18/References!$G$53</f>
        <v>1477.5624238749456</v>
      </c>
      <c r="L18" s="157">
        <f t="shared" ref="L18:L20" si="27">K18/F18</f>
        <v>0.17440538525436092</v>
      </c>
      <c r="M18" s="158">
        <v>9.2799999999999994</v>
      </c>
      <c r="N18" s="141">
        <f t="shared" si="15"/>
        <v>9.4544053852543595</v>
      </c>
      <c r="O18" s="157">
        <f t="shared" ref="O18:O20" si="28">F18*M18</f>
        <v>78620.159999999989</v>
      </c>
      <c r="P18" s="157">
        <f t="shared" ref="P18:P20" si="29">F18*N18</f>
        <v>80097.722423874933</v>
      </c>
      <c r="Q18" s="72">
        <f t="shared" si="16"/>
        <v>1477.5624238749442</v>
      </c>
      <c r="S18" s="52"/>
    </row>
    <row r="19" spans="1:19" s="61" customFormat="1">
      <c r="A19" s="184"/>
      <c r="B19" s="49">
        <v>31</v>
      </c>
      <c r="C19" s="152" t="s">
        <v>132</v>
      </c>
      <c r="D19" s="162">
        <f>2670</f>
        <v>2670</v>
      </c>
      <c r="E19" s="154">
        <f>+References!B10</f>
        <v>1</v>
      </c>
      <c r="F19" s="70">
        <f t="shared" ref="F19" si="30">D19*E19*12</f>
        <v>32040</v>
      </c>
      <c r="G19" s="155">
        <f>References!$B$29</f>
        <v>250</v>
      </c>
      <c r="H19" s="153">
        <f t="shared" ref="H19" si="31">F19*G19</f>
        <v>8010000</v>
      </c>
      <c r="I19" s="156">
        <f>$D$53*H19</f>
        <v>5680598.4675878501</v>
      </c>
      <c r="J19" s="157">
        <f>(References!$C$50*I19)</f>
        <v>5481.7775212222787</v>
      </c>
      <c r="K19" s="157">
        <f>J19/References!$G$53</f>
        <v>5587.9485435497236</v>
      </c>
      <c r="L19" s="157">
        <f t="shared" ref="L19" si="32">K19/F19</f>
        <v>0.17440538525436092</v>
      </c>
      <c r="M19" s="158">
        <v>9.2799999999999994</v>
      </c>
      <c r="N19" s="141">
        <f t="shared" ref="N19" si="33">L19+M19</f>
        <v>9.4544053852543595</v>
      </c>
      <c r="O19" s="157">
        <f t="shared" ref="O19" si="34">F19*M19</f>
        <v>297331.19999999995</v>
      </c>
      <c r="P19" s="157">
        <f t="shared" ref="P19" si="35">F19*N19</f>
        <v>302919.1485435497</v>
      </c>
      <c r="Q19" s="72">
        <f t="shared" ref="Q19" si="36">+P19-O19</f>
        <v>5587.9485435497481</v>
      </c>
      <c r="S19" s="52"/>
    </row>
    <row r="20" spans="1:19" s="61" customFormat="1">
      <c r="A20" s="184"/>
      <c r="B20" s="49">
        <v>31</v>
      </c>
      <c r="C20" s="122" t="s">
        <v>134</v>
      </c>
      <c r="D20" s="159">
        <v>19</v>
      </c>
      <c r="E20" s="71">
        <f>+References!B10</f>
        <v>1</v>
      </c>
      <c r="F20" s="70">
        <f t="shared" si="25"/>
        <v>228</v>
      </c>
      <c r="G20" s="137">
        <f>References!$B$29</f>
        <v>250</v>
      </c>
      <c r="H20" s="70">
        <f t="shared" si="26"/>
        <v>57000</v>
      </c>
      <c r="I20" s="48">
        <f>$D$53*H20</f>
        <v>40423.734413546495</v>
      </c>
      <c r="J20" s="69">
        <f>(References!$C$50*I20)</f>
        <v>39.008903709072392</v>
      </c>
      <c r="K20" s="69">
        <f>J20/References!$G$53</f>
        <v>39.764427837994283</v>
      </c>
      <c r="L20" s="69">
        <f t="shared" si="27"/>
        <v>0.17440538525436089</v>
      </c>
      <c r="M20" s="135">
        <v>9.2799999999999994</v>
      </c>
      <c r="N20" s="141">
        <f t="shared" si="15"/>
        <v>9.4544053852543595</v>
      </c>
      <c r="O20" s="69">
        <f t="shared" si="28"/>
        <v>2115.8399999999997</v>
      </c>
      <c r="P20" s="69">
        <f t="shared" si="29"/>
        <v>2155.6044278379941</v>
      </c>
      <c r="Q20" s="72">
        <f t="shared" si="16"/>
        <v>39.76442783799439</v>
      </c>
      <c r="S20" s="52"/>
    </row>
    <row r="21" spans="1:19" s="61" customFormat="1">
      <c r="A21" s="184"/>
      <c r="B21" s="49">
        <v>31</v>
      </c>
      <c r="C21" s="152" t="s">
        <v>135</v>
      </c>
      <c r="D21" s="162">
        <v>22</v>
      </c>
      <c r="E21" s="154">
        <f>+References!B10</f>
        <v>1</v>
      </c>
      <c r="F21" s="70">
        <f t="shared" ref="F21" si="37">D21*E21*12</f>
        <v>264</v>
      </c>
      <c r="G21" s="137">
        <f>References!$B$29</f>
        <v>250</v>
      </c>
      <c r="H21" s="70">
        <f t="shared" ref="H21" si="38">F21*G21</f>
        <v>66000</v>
      </c>
      <c r="I21" s="48">
        <f>$D$53*H21</f>
        <v>46806.429320948577</v>
      </c>
      <c r="J21" s="69">
        <f>(References!$C$50*I21)</f>
        <v>45.168204294715402</v>
      </c>
      <c r="K21" s="69">
        <f>J21/References!$G$53</f>
        <v>46.043021707151276</v>
      </c>
      <c r="L21" s="69">
        <f t="shared" ref="L21" si="39">K21/F21</f>
        <v>0.17440538525436089</v>
      </c>
      <c r="M21" s="135">
        <v>9.2799999999999994</v>
      </c>
      <c r="N21" s="141">
        <f t="shared" ref="N21" si="40">L21+M21</f>
        <v>9.4544053852543595</v>
      </c>
      <c r="O21" s="69">
        <f t="shared" ref="O21" si="41">F21*M21</f>
        <v>2449.9199999999996</v>
      </c>
      <c r="P21" s="69">
        <f t="shared" ref="P21" si="42">F21*N21</f>
        <v>2495.9630217071508</v>
      </c>
      <c r="Q21" s="72">
        <f t="shared" ref="Q21" si="43">+P21-O21</f>
        <v>46.043021707151183</v>
      </c>
      <c r="S21" s="52"/>
    </row>
    <row r="22" spans="1:19" s="61" customFormat="1">
      <c r="A22" s="184"/>
      <c r="B22" s="49"/>
      <c r="C22" s="152"/>
      <c r="D22" s="162"/>
      <c r="E22" s="154"/>
      <c r="F22" s="70"/>
      <c r="G22" s="137"/>
      <c r="H22" s="70"/>
      <c r="I22" s="48"/>
      <c r="J22" s="69"/>
      <c r="K22" s="69"/>
      <c r="L22" s="69"/>
      <c r="M22" s="135"/>
      <c r="N22" s="141"/>
      <c r="O22" s="69"/>
      <c r="P22" s="69"/>
      <c r="Q22" s="72"/>
      <c r="S22" s="52"/>
    </row>
    <row r="23" spans="1:19" s="61" customFormat="1">
      <c r="A23" s="184"/>
      <c r="B23" s="49"/>
      <c r="C23" s="122"/>
      <c r="D23" s="58"/>
      <c r="E23" s="71"/>
      <c r="F23" s="123"/>
      <c r="G23" s="137"/>
      <c r="H23" s="70"/>
      <c r="I23" s="48"/>
      <c r="J23" s="69"/>
      <c r="K23" s="69"/>
      <c r="L23" s="69"/>
      <c r="M23" s="69"/>
      <c r="N23" s="69"/>
      <c r="O23" s="69"/>
      <c r="P23" s="69"/>
      <c r="Q23" s="72"/>
      <c r="S23" s="52"/>
    </row>
    <row r="24" spans="1:19" s="61" customFormat="1">
      <c r="A24" s="50"/>
      <c r="B24" s="27"/>
      <c r="C24" s="51"/>
      <c r="D24" s="53">
        <f>SUM(D13:D22)</f>
        <v>3444</v>
      </c>
      <c r="E24" s="53"/>
      <c r="F24" s="53">
        <f>SUM(F13:F22)</f>
        <v>41328</v>
      </c>
      <c r="G24" s="138">
        <f>SUM(G13:G23)</f>
        <v>1204</v>
      </c>
      <c r="H24" s="53">
        <f>SUM(H13:H22)</f>
        <v>10273032</v>
      </c>
      <c r="I24" s="53">
        <f>SUM(I13:I22)</f>
        <v>7285514.3366642874</v>
      </c>
      <c r="J24" s="73"/>
      <c r="K24" s="73"/>
      <c r="L24" s="73"/>
      <c r="M24" s="73"/>
      <c r="N24" s="73"/>
      <c r="O24" s="53">
        <f>SUM(O13:O22)</f>
        <v>381507.48</v>
      </c>
      <c r="P24" s="53">
        <f>SUM(P13:P22)</f>
        <v>388674.16841476149</v>
      </c>
      <c r="Q24" s="53">
        <f>SUM(Q13:Q22)</f>
        <v>7166.6884147615347</v>
      </c>
    </row>
    <row r="25" spans="1:19">
      <c r="C25" s="65"/>
      <c r="D25" s="66">
        <f>D12+D24</f>
        <v>5521</v>
      </c>
      <c r="E25" s="66"/>
      <c r="F25" s="104">
        <f>F12+F24</f>
        <v>137374.08000000002</v>
      </c>
      <c r="G25" s="66"/>
      <c r="H25" s="66">
        <f>H12+H24</f>
        <v>15366863.280000001</v>
      </c>
      <c r="I25" s="66">
        <f>I12+I24</f>
        <v>10898000</v>
      </c>
      <c r="J25" s="69"/>
      <c r="K25" s="75"/>
      <c r="L25" s="75"/>
      <c r="M25" s="75"/>
      <c r="N25" s="75"/>
      <c r="O25" s="75">
        <f>O12+O24</f>
        <v>596209.19999999995</v>
      </c>
      <c r="P25" s="75">
        <f>P12+P24</f>
        <v>606994.06575864088</v>
      </c>
      <c r="Q25" s="75">
        <f>Q12+Q24</f>
        <v>10784.865758640846</v>
      </c>
    </row>
    <row r="26" spans="1:19">
      <c r="G26" s="139"/>
      <c r="J26" s="57"/>
      <c r="P26" s="62"/>
    </row>
    <row r="27" spans="1:19">
      <c r="G27" s="139"/>
      <c r="J27" s="57"/>
      <c r="P27" s="62"/>
    </row>
    <row r="28" spans="1:19">
      <c r="A28" s="76"/>
      <c r="B28" s="77"/>
      <c r="C28" s="81" t="s">
        <v>91</v>
      </c>
      <c r="D28" s="78"/>
      <c r="E28" s="76"/>
      <c r="F28" s="76"/>
      <c r="G28" s="140"/>
      <c r="H28" s="76"/>
      <c r="I28" s="79"/>
      <c r="J28" s="80"/>
      <c r="K28" s="76"/>
      <c r="L28" s="76"/>
      <c r="M28" s="76"/>
      <c r="N28" s="76"/>
      <c r="O28" s="61"/>
      <c r="P28" s="103"/>
      <c r="Q28" s="61"/>
    </row>
    <row r="29" spans="1:19" s="61" customFormat="1" ht="15" customHeight="1">
      <c r="A29" s="184" t="s">
        <v>49</v>
      </c>
      <c r="B29" s="49"/>
      <c r="C29" s="122"/>
      <c r="D29" s="70"/>
      <c r="E29" s="71"/>
      <c r="F29" s="70"/>
      <c r="G29" s="70"/>
      <c r="H29" s="70"/>
      <c r="I29" s="48"/>
      <c r="J29" s="69"/>
      <c r="K29" s="69"/>
      <c r="L29" s="69"/>
      <c r="M29" s="92"/>
      <c r="N29" s="141"/>
      <c r="O29" s="124"/>
      <c r="P29" s="69"/>
      <c r="Q29" s="69"/>
    </row>
    <row r="30" spans="1:19" s="61" customFormat="1">
      <c r="A30" s="184"/>
      <c r="B30" s="49">
        <v>22</v>
      </c>
      <c r="C30" s="107" t="s">
        <v>106</v>
      </c>
      <c r="D30" s="70">
        <v>0</v>
      </c>
      <c r="E30" s="71">
        <f>References!$B$8</f>
        <v>4.33</v>
      </c>
      <c r="F30" s="70">
        <f t="shared" ref="F30:F31" si="44">E30*12</f>
        <v>51.96</v>
      </c>
      <c r="G30" s="70">
        <f>References!B16</f>
        <v>51</v>
      </c>
      <c r="H30" s="70">
        <f t="shared" ref="H30:H35" si="45">F30*G30</f>
        <v>2649.96</v>
      </c>
      <c r="I30" s="48">
        <f>$D$53*H30</f>
        <v>1879.320688535468</v>
      </c>
      <c r="J30" s="69">
        <f>(References!$C$50*I30)</f>
        <v>1.8135444644367278</v>
      </c>
      <c r="K30" s="69">
        <f>J30/References!$G$53</f>
        <v>1.848669178834585</v>
      </c>
      <c r="L30" s="69">
        <f>K30/F30*E30</f>
        <v>0.15405576490288209</v>
      </c>
      <c r="M30" s="92">
        <v>8.91</v>
      </c>
      <c r="N30" s="141">
        <f>L30+M30</f>
        <v>9.0640557649028821</v>
      </c>
      <c r="O30" s="69"/>
      <c r="P30" s="69"/>
      <c r="Q30" s="69"/>
    </row>
    <row r="31" spans="1:19" s="61" customFormat="1">
      <c r="A31" s="184"/>
      <c r="B31" s="49">
        <v>22</v>
      </c>
      <c r="C31" s="107" t="s">
        <v>107</v>
      </c>
      <c r="D31" s="70">
        <v>0</v>
      </c>
      <c r="E31" s="71">
        <f>References!$B$8</f>
        <v>4.33</v>
      </c>
      <c r="F31" s="70">
        <f t="shared" si="44"/>
        <v>51.96</v>
      </c>
      <c r="G31" s="70">
        <f>References!B17</f>
        <v>77</v>
      </c>
      <c r="H31" s="70">
        <f t="shared" si="45"/>
        <v>4000.92</v>
      </c>
      <c r="I31" s="48">
        <f>$D$53*H31</f>
        <v>2837.4057454359026</v>
      </c>
      <c r="J31" s="69">
        <f>(References!$C$50*I31)</f>
        <v>2.7380965443456478</v>
      </c>
      <c r="K31" s="69">
        <f>J31/References!$G$53</f>
        <v>2.7911279758875107</v>
      </c>
      <c r="L31" s="69">
        <f t="shared" ref="L31:L35" si="46">K31/F31*E31</f>
        <v>0.23259399799062591</v>
      </c>
      <c r="M31" s="92">
        <v>10.84</v>
      </c>
      <c r="N31" s="141">
        <f t="shared" ref="N31:N35" si="47">L31+M31</f>
        <v>11.072593997990626</v>
      </c>
      <c r="O31" s="69"/>
      <c r="P31" s="69"/>
      <c r="Q31" s="69"/>
    </row>
    <row r="32" spans="1:19" s="61" customFormat="1">
      <c r="A32" s="184"/>
      <c r="O32" s="69"/>
      <c r="P32" s="69"/>
      <c r="Q32" s="69"/>
    </row>
    <row r="33" spans="1:17" s="61" customFormat="1">
      <c r="A33" s="184"/>
      <c r="B33" s="49">
        <v>23</v>
      </c>
      <c r="C33" s="107" t="s">
        <v>114</v>
      </c>
      <c r="D33" s="70">
        <v>0</v>
      </c>
      <c r="E33" s="71">
        <f>References!$B$8</f>
        <v>4.33</v>
      </c>
      <c r="F33" s="70">
        <v>1</v>
      </c>
      <c r="G33" s="70">
        <f>+References!B22</f>
        <v>47</v>
      </c>
      <c r="H33" s="70">
        <f t="shared" si="45"/>
        <v>47</v>
      </c>
      <c r="I33" s="48">
        <f>$D$53*H33</f>
        <v>33.331851183099744</v>
      </c>
      <c r="J33" s="69">
        <f>(References!$C$50*I33)</f>
        <v>3.216523639169127E-2</v>
      </c>
      <c r="K33" s="69">
        <f>J33/References!$G$53</f>
        <v>3.2788212427819846E-2</v>
      </c>
      <c r="L33" s="69">
        <f t="shared" si="46"/>
        <v>0.14197295981245994</v>
      </c>
      <c r="M33" s="92">
        <v>2.29</v>
      </c>
      <c r="N33" s="141">
        <f t="shared" si="47"/>
        <v>2.4319729598124598</v>
      </c>
      <c r="O33" s="69"/>
      <c r="P33" s="69"/>
      <c r="Q33" s="69"/>
    </row>
    <row r="34" spans="1:17" s="61" customFormat="1">
      <c r="A34" s="184"/>
      <c r="B34" s="49">
        <v>23</v>
      </c>
      <c r="C34" s="107" t="s">
        <v>115</v>
      </c>
      <c r="D34" s="70">
        <v>0</v>
      </c>
      <c r="E34" s="71">
        <f>References!$B$8</f>
        <v>4.33</v>
      </c>
      <c r="F34" s="70">
        <v>1</v>
      </c>
      <c r="G34" s="70">
        <f>References!B23</f>
        <v>68</v>
      </c>
      <c r="H34" s="70">
        <f t="shared" si="45"/>
        <v>68</v>
      </c>
      <c r="I34" s="48">
        <f>$D$53*H34</f>
        <v>48.224805967037923</v>
      </c>
      <c r="J34" s="69">
        <f>(References!$C$50*I34)</f>
        <v>4.6536937758191621E-2</v>
      </c>
      <c r="K34" s="69">
        <f>J34/References!$G$53</f>
        <v>4.7438264789186162E-2</v>
      </c>
      <c r="L34" s="69">
        <f t="shared" si="46"/>
        <v>0.20540768653717609</v>
      </c>
      <c r="M34" s="92">
        <v>2.29</v>
      </c>
      <c r="N34" s="141">
        <f t="shared" si="47"/>
        <v>2.4954076865371762</v>
      </c>
      <c r="O34" s="69"/>
      <c r="P34" s="69"/>
      <c r="Q34" s="69"/>
    </row>
    <row r="35" spans="1:17" s="61" customFormat="1">
      <c r="A35" s="184"/>
      <c r="B35" s="49">
        <v>23</v>
      </c>
      <c r="C35" s="107" t="s">
        <v>116</v>
      </c>
      <c r="D35" s="70">
        <v>0</v>
      </c>
      <c r="E35" s="71">
        <f>References!$B$8</f>
        <v>4.33</v>
      </c>
      <c r="F35" s="70">
        <v>1</v>
      </c>
      <c r="G35" s="70">
        <f>+References!B15</f>
        <v>34</v>
      </c>
      <c r="H35" s="70">
        <f t="shared" si="45"/>
        <v>34</v>
      </c>
      <c r="I35" s="48">
        <f>$D$53*H35</f>
        <v>24.112402983518962</v>
      </c>
      <c r="J35" s="69">
        <f>(References!$C$50*I35)</f>
        <v>2.3268468879095811E-2</v>
      </c>
      <c r="K35" s="69">
        <f>J35/References!$G$53</f>
        <v>2.3719132394593081E-2</v>
      </c>
      <c r="L35" s="69">
        <f t="shared" si="46"/>
        <v>0.10270384326858804</v>
      </c>
      <c r="M35" s="92">
        <v>4</v>
      </c>
      <c r="N35" s="141">
        <f t="shared" si="47"/>
        <v>4.1027038432685883</v>
      </c>
      <c r="O35" s="69"/>
      <c r="P35" s="69"/>
      <c r="Q35" s="69"/>
    </row>
    <row r="36" spans="1:17" s="61" customFormat="1">
      <c r="A36" s="134"/>
      <c r="B36" s="49">
        <v>24</v>
      </c>
      <c r="C36" s="61" t="s">
        <v>103</v>
      </c>
      <c r="D36" s="70">
        <v>0</v>
      </c>
      <c r="E36" s="71">
        <f>References!B10</f>
        <v>1</v>
      </c>
      <c r="F36" s="70">
        <f>E36*12</f>
        <v>12</v>
      </c>
      <c r="G36" s="70">
        <f>References!B43</f>
        <v>125</v>
      </c>
      <c r="H36" s="70">
        <f>F36*G36</f>
        <v>1500</v>
      </c>
      <c r="I36" s="48">
        <f>$D$53*H36</f>
        <v>1063.7824845670132</v>
      </c>
      <c r="J36" s="69">
        <f>(References!$C$50*I36)</f>
        <v>1.0265500976071684</v>
      </c>
      <c r="K36" s="69">
        <f>J36/References!$G$53</f>
        <v>1.0464323115261656</v>
      </c>
      <c r="L36" s="69">
        <f>K36/F36*E36</f>
        <v>8.7202692627180459E-2</v>
      </c>
      <c r="M36" s="92">
        <v>2.29</v>
      </c>
      <c r="N36" s="141">
        <f>L36+M36</f>
        <v>2.3772026926271805</v>
      </c>
      <c r="O36" s="69"/>
      <c r="P36" s="69"/>
      <c r="Q36" s="69"/>
    </row>
    <row r="37" spans="1:17" s="61" customFormat="1">
      <c r="A37" s="179"/>
      <c r="B37" s="49">
        <v>31</v>
      </c>
      <c r="C37" s="61" t="s">
        <v>139</v>
      </c>
      <c r="D37" s="70">
        <v>0</v>
      </c>
      <c r="E37" s="71">
        <v>1</v>
      </c>
      <c r="F37" s="70">
        <f>E37*12</f>
        <v>12</v>
      </c>
      <c r="G37" s="70">
        <f>+References!B28</f>
        <v>175</v>
      </c>
      <c r="H37" s="70">
        <f>F37*G37</f>
        <v>2100</v>
      </c>
      <c r="I37" s="48">
        <f>$D$53*H37</f>
        <v>1489.2954783938183</v>
      </c>
      <c r="J37" s="69">
        <f>(References!$C$50*I37)</f>
        <v>1.4371701366500356</v>
      </c>
      <c r="K37" s="69">
        <f>J37/References!$G$53</f>
        <v>1.4650052361366317</v>
      </c>
      <c r="L37" s="69">
        <f>K37/F37*E37</f>
        <v>0.12208376967805264</v>
      </c>
      <c r="M37" s="92">
        <v>6.49</v>
      </c>
      <c r="N37" s="141">
        <f>L37+M37</f>
        <v>6.612083769678053</v>
      </c>
      <c r="O37" s="69"/>
      <c r="P37" s="69"/>
      <c r="Q37" s="69"/>
    </row>
    <row r="38" spans="1:17" s="61" customFormat="1">
      <c r="A38" s="134"/>
      <c r="B38" s="49"/>
      <c r="C38" s="110"/>
      <c r="D38" s="70"/>
      <c r="E38" s="71"/>
      <c r="F38" s="70"/>
      <c r="G38" s="70"/>
      <c r="H38" s="70"/>
      <c r="I38" s="48"/>
      <c r="J38" s="69"/>
      <c r="K38" s="69"/>
      <c r="L38" s="69"/>
      <c r="M38" s="92"/>
      <c r="N38" s="69"/>
      <c r="O38" s="69"/>
      <c r="P38" s="69"/>
      <c r="Q38" s="69"/>
    </row>
    <row r="39" spans="1:17" s="61" customFormat="1">
      <c r="A39" s="126"/>
      <c r="B39" s="127"/>
      <c r="C39" s="110"/>
      <c r="D39" s="128"/>
      <c r="E39" s="129"/>
      <c r="F39" s="130"/>
      <c r="G39" s="130"/>
      <c r="H39" s="130"/>
      <c r="I39" s="131"/>
      <c r="J39" s="132"/>
      <c r="K39" s="132"/>
      <c r="L39" s="132"/>
      <c r="M39" s="133"/>
      <c r="N39" s="132"/>
      <c r="O39" s="69"/>
      <c r="P39" s="69"/>
      <c r="Q39" s="69"/>
    </row>
    <row r="40" spans="1:17" s="61" customFormat="1" ht="24" customHeight="1">
      <c r="A40" s="186" t="s">
        <v>14</v>
      </c>
      <c r="B40" s="49">
        <v>24</v>
      </c>
      <c r="C40" s="107" t="s">
        <v>108</v>
      </c>
      <c r="D40" s="58">
        <v>0</v>
      </c>
      <c r="E40" s="71">
        <f>References!$B$10</f>
        <v>1</v>
      </c>
      <c r="F40" s="70">
        <f>E40*12</f>
        <v>12</v>
      </c>
      <c r="G40" s="70">
        <f>References!B43</f>
        <v>125</v>
      </c>
      <c r="H40" s="70">
        <f>F40*G40</f>
        <v>1500</v>
      </c>
      <c r="I40" s="48">
        <f>$D$53*H40</f>
        <v>1063.7824845670132</v>
      </c>
      <c r="J40" s="69">
        <f>(References!$C$50*I40)</f>
        <v>1.0265500976071684</v>
      </c>
      <c r="K40" s="69">
        <f>J40/References!$G$53</f>
        <v>1.0464323115261656</v>
      </c>
      <c r="L40" s="69">
        <f>K40/F40</f>
        <v>8.7202692627180459E-2</v>
      </c>
      <c r="M40" s="69">
        <v>4</v>
      </c>
      <c r="N40" s="141">
        <f>L40+M40</f>
        <v>4.0872026926271801</v>
      </c>
      <c r="O40" s="69"/>
      <c r="P40" s="69"/>
      <c r="Q40" s="69"/>
    </row>
    <row r="41" spans="1:17" s="61" customFormat="1" ht="24" customHeight="1">
      <c r="A41" s="187"/>
      <c r="B41" s="49">
        <v>24</v>
      </c>
      <c r="C41" s="107" t="s">
        <v>109</v>
      </c>
      <c r="D41" s="58">
        <v>0</v>
      </c>
      <c r="E41" s="71">
        <f>References!$B$10</f>
        <v>1</v>
      </c>
      <c r="F41" s="70">
        <f>E41*12</f>
        <v>12</v>
      </c>
      <c r="G41" s="70">
        <f>References!B43</f>
        <v>125</v>
      </c>
      <c r="H41" s="70">
        <f>F41*G41</f>
        <v>1500</v>
      </c>
      <c r="I41" s="48">
        <f>$D$53*H41</f>
        <v>1063.7824845670132</v>
      </c>
      <c r="J41" s="69">
        <f>(References!$C$50*I41)</f>
        <v>1.0265500976071684</v>
      </c>
      <c r="K41" s="69">
        <f>J41/References!$G$53</f>
        <v>1.0464323115261656</v>
      </c>
      <c r="L41" s="69">
        <f>K41/F41</f>
        <v>8.7202692627180459E-2</v>
      </c>
      <c r="M41" s="69">
        <v>6.46</v>
      </c>
      <c r="N41" s="141">
        <f>L41+M41</f>
        <v>6.54720269262718</v>
      </c>
      <c r="O41" s="69"/>
      <c r="P41" s="69"/>
      <c r="Q41" s="69"/>
    </row>
    <row r="42" spans="1:17" s="61" customFormat="1" ht="24" customHeight="1">
      <c r="A42" s="187"/>
      <c r="B42" s="49">
        <v>24</v>
      </c>
      <c r="C42" s="107" t="s">
        <v>110</v>
      </c>
      <c r="D42" s="58">
        <v>0</v>
      </c>
      <c r="E42" s="71">
        <f>References!$B$10</f>
        <v>1</v>
      </c>
      <c r="F42" s="70">
        <f>E42*12</f>
        <v>12</v>
      </c>
      <c r="G42" s="70">
        <f>References!B43</f>
        <v>125</v>
      </c>
      <c r="H42" s="70">
        <f>F42*G42</f>
        <v>1500</v>
      </c>
      <c r="I42" s="48">
        <f>$D$53*H42</f>
        <v>1063.7824845670132</v>
      </c>
      <c r="J42" s="69">
        <f>(References!$C$50*I42)</f>
        <v>1.0265500976071684</v>
      </c>
      <c r="K42" s="69">
        <f>J42/References!$G$53</f>
        <v>1.0464323115261656</v>
      </c>
      <c r="L42" s="69">
        <f>K42/F42</f>
        <v>8.7202692627180459E-2</v>
      </c>
      <c r="M42" s="69">
        <v>5.62</v>
      </c>
      <c r="N42" s="141">
        <f>L42+M42</f>
        <v>5.7072026926271802</v>
      </c>
      <c r="O42" s="69"/>
      <c r="P42" s="69"/>
      <c r="Q42" s="69"/>
    </row>
    <row r="43" spans="1:17" s="61" customFormat="1" ht="15" customHeight="1">
      <c r="A43" s="177"/>
      <c r="B43" s="49"/>
      <c r="C43" s="125"/>
      <c r="D43" s="58"/>
      <c r="E43" s="71"/>
      <c r="F43" s="70"/>
      <c r="G43" s="70"/>
      <c r="H43" s="109"/>
      <c r="I43" s="48"/>
      <c r="J43" s="69"/>
      <c r="K43" s="69"/>
      <c r="L43" s="69"/>
      <c r="M43" s="69"/>
      <c r="N43" s="69"/>
      <c r="O43" s="69"/>
      <c r="P43" s="69"/>
      <c r="Q43" s="69"/>
    </row>
    <row r="44" spans="1:17" s="61" customFormat="1">
      <c r="A44" s="177"/>
      <c r="B44" s="108"/>
      <c r="C44" s="110"/>
      <c r="D44" s="14"/>
      <c r="E44" s="105"/>
      <c r="F44" s="82"/>
      <c r="G44" s="82"/>
      <c r="H44" s="82"/>
      <c r="I44" s="106"/>
      <c r="J44" s="91"/>
      <c r="K44" s="91"/>
      <c r="L44" s="91"/>
      <c r="M44" s="91"/>
      <c r="N44" s="91"/>
      <c r="O44" s="69"/>
      <c r="P44" s="69"/>
      <c r="Q44" s="69"/>
    </row>
    <row r="45" spans="1:17">
      <c r="C45" s="87"/>
      <c r="D45" s="40"/>
      <c r="E45" s="33"/>
      <c r="F45" s="58"/>
      <c r="G45" s="70"/>
      <c r="H45" s="58"/>
      <c r="J45" s="69"/>
      <c r="K45" s="92"/>
      <c r="L45" s="92"/>
      <c r="M45" s="92"/>
      <c r="N45" s="92"/>
      <c r="P45" s="62"/>
    </row>
    <row r="46" spans="1:17">
      <c r="A46" s="64"/>
      <c r="C46" s="67"/>
      <c r="P46" s="62"/>
    </row>
    <row r="47" spans="1:17">
      <c r="A47" s="64"/>
      <c r="C47" s="67"/>
      <c r="P47" s="62"/>
    </row>
    <row r="48" spans="1:17">
      <c r="A48" s="64"/>
      <c r="C48" s="183" t="s">
        <v>86</v>
      </c>
      <c r="D48" s="183"/>
      <c r="E48" s="86"/>
      <c r="F48" s="86"/>
      <c r="H48" s="90" t="s">
        <v>94</v>
      </c>
    </row>
    <row r="49" spans="1:15">
      <c r="A49" s="64"/>
      <c r="D49" s="56" t="s">
        <v>16</v>
      </c>
      <c r="E49" s="39"/>
      <c r="F49" s="39"/>
      <c r="H49" s="88" t="s">
        <v>104</v>
      </c>
      <c r="J49" s="43"/>
      <c r="O49" s="60"/>
    </row>
    <row r="50" spans="1:15">
      <c r="A50" s="64"/>
      <c r="C50" s="59" t="s">
        <v>32</v>
      </c>
      <c r="D50" s="68">
        <v>5449</v>
      </c>
      <c r="E50" s="58"/>
      <c r="F50" s="58"/>
      <c r="G50" s="47"/>
      <c r="H50" s="89" t="s">
        <v>95</v>
      </c>
      <c r="J50" s="43"/>
      <c r="O50" s="60"/>
    </row>
    <row r="51" spans="1:15">
      <c r="A51" s="64"/>
      <c r="C51" s="59" t="s">
        <v>33</v>
      </c>
      <c r="D51" s="38">
        <f>D50*2000</f>
        <v>10898000</v>
      </c>
      <c r="E51" s="38"/>
      <c r="F51" s="38"/>
      <c r="G51" s="38"/>
      <c r="H51" s="113" t="s">
        <v>97</v>
      </c>
      <c r="J51" s="43"/>
    </row>
    <row r="52" spans="1:15">
      <c r="A52" s="64"/>
      <c r="C52" s="59" t="s">
        <v>4</v>
      </c>
      <c r="D52" s="38">
        <f>F12+F24</f>
        <v>137374.08000000002</v>
      </c>
      <c r="E52" s="58"/>
      <c r="F52" s="58"/>
      <c r="G52" s="58"/>
      <c r="H52" s="114" t="s">
        <v>98</v>
      </c>
      <c r="J52" s="43"/>
      <c r="O52" s="60"/>
    </row>
    <row r="53" spans="1:15">
      <c r="C53" s="44" t="s">
        <v>11</v>
      </c>
      <c r="D53" s="37">
        <f>D51/$H$25</f>
        <v>0.70918832304467538</v>
      </c>
      <c r="E53" s="37"/>
      <c r="F53" s="37"/>
      <c r="G53" s="37"/>
      <c r="H53" s="32"/>
      <c r="J53" s="43"/>
      <c r="M53" s="42"/>
      <c r="N53" s="42"/>
      <c r="O53" s="41"/>
    </row>
    <row r="54" spans="1:15">
      <c r="G54" s="46"/>
      <c r="H54" s="34"/>
      <c r="J54" s="43"/>
      <c r="M54" s="45"/>
      <c r="N54" s="31"/>
      <c r="O54" s="62"/>
    </row>
    <row r="55" spans="1:15">
      <c r="D55" s="36"/>
      <c r="E55" s="35"/>
      <c r="G55" s="46"/>
      <c r="H55" s="34"/>
      <c r="J55" s="43"/>
      <c r="M55" s="45"/>
      <c r="N55" s="31"/>
      <c r="O55" s="62"/>
    </row>
    <row r="56" spans="1:15">
      <c r="D56" s="36"/>
      <c r="E56" s="35"/>
      <c r="G56" s="46"/>
      <c r="H56" s="34"/>
      <c r="J56" s="43"/>
      <c r="M56" s="45"/>
      <c r="N56" s="31"/>
      <c r="O56" s="62"/>
    </row>
    <row r="57" spans="1:15">
      <c r="D57" s="59"/>
      <c r="I57" s="59"/>
    </row>
    <row r="58" spans="1:15">
      <c r="D58" s="59"/>
      <c r="E58" s="43"/>
      <c r="I58" s="59"/>
    </row>
    <row r="59" spans="1:15">
      <c r="D59" s="59"/>
      <c r="I59" s="59"/>
    </row>
    <row r="60" spans="1:15">
      <c r="D60" s="59"/>
      <c r="I60" s="59"/>
    </row>
    <row r="61" spans="1:15">
      <c r="D61" s="59"/>
    </row>
  </sheetData>
  <mergeCells count="5">
    <mergeCell ref="C48:D48"/>
    <mergeCell ref="A29:A35"/>
    <mergeCell ref="A3:A11"/>
    <mergeCell ref="A13:A23"/>
    <mergeCell ref="A40:A42"/>
  </mergeCells>
  <phoneticPr fontId="0" type="noConversion"/>
  <pageMargins left="0" right="0" top="0.63" bottom="0.34" header="0.19" footer="0.17"/>
  <pageSetup scale="50" fitToHeight="0" orientation="landscape" r:id="rId1"/>
  <headerFooter>
    <oddFooter>&amp;L&amp;Z&amp;F&amp;C  [Date]&amp;R&amp;P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10" sqref="F10"/>
    </sheetView>
  </sheetViews>
  <sheetFormatPr defaultRowHeight="15"/>
  <cols>
    <col min="1" max="1" width="21.140625" customWidth="1"/>
    <col min="6" max="6" width="12.5703125" bestFit="1" customWidth="1"/>
    <col min="7" max="7" width="1.7109375" customWidth="1"/>
    <col min="8" max="8" width="12.5703125" bestFit="1" customWidth="1"/>
    <col min="9" max="9" width="1.7109375" customWidth="1"/>
    <col min="11" max="11" width="1.7109375" customWidth="1"/>
    <col min="12" max="12" width="11.7109375" customWidth="1"/>
  </cols>
  <sheetData>
    <row r="1" spans="1:12" ht="18.75">
      <c r="A1" s="174" t="s">
        <v>117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8.75">
      <c r="A2" s="174" t="s">
        <v>118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8.75">
      <c r="A3" s="175">
        <v>42767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8.75">
      <c r="A4" s="174" t="s">
        <v>119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6" spans="1:12">
      <c r="F6" s="176" t="s">
        <v>121</v>
      </c>
      <c r="G6" s="176"/>
      <c r="H6" s="176" t="s">
        <v>123</v>
      </c>
      <c r="I6" s="176"/>
      <c r="J6" s="176" t="s">
        <v>9</v>
      </c>
      <c r="L6" s="176" t="s">
        <v>9</v>
      </c>
    </row>
    <row r="7" spans="1:12">
      <c r="F7" s="176" t="s">
        <v>122</v>
      </c>
      <c r="G7" s="176"/>
      <c r="H7" s="176" t="s">
        <v>122</v>
      </c>
      <c r="I7" s="176"/>
      <c r="J7" s="176" t="s">
        <v>127</v>
      </c>
      <c r="L7" s="176" t="s">
        <v>126</v>
      </c>
    </row>
    <row r="8" spans="1:12">
      <c r="A8" t="s">
        <v>120</v>
      </c>
      <c r="F8" s="165">
        <f>+Calculations!O12</f>
        <v>214701.72000000003</v>
      </c>
      <c r="H8" s="165">
        <f>+Calculations!P12</f>
        <v>218319.89734387933</v>
      </c>
      <c r="J8" s="165">
        <f>+H8-F8</f>
        <v>3618.1773438793025</v>
      </c>
      <c r="L8" s="171">
        <f>+H8/F8-1</f>
        <v>1.6852111589414909E-2</v>
      </c>
    </row>
    <row r="9" spans="1:12">
      <c r="A9" t="s">
        <v>124</v>
      </c>
      <c r="F9" s="165">
        <f>+Calculations!O24</f>
        <v>381507.48</v>
      </c>
      <c r="H9" s="165">
        <f>+Calculations!P24</f>
        <v>388674.16841476149</v>
      </c>
      <c r="J9" s="165">
        <f t="shared" ref="J9:J10" si="0">+H9-F9</f>
        <v>7166.6884147615056</v>
      </c>
      <c r="L9" s="171">
        <f t="shared" ref="L9:L11" si="1">+H9/F9-1</f>
        <v>1.8785184538875788E-2</v>
      </c>
    </row>
    <row r="10" spans="1:12">
      <c r="A10" t="s">
        <v>138</v>
      </c>
      <c r="F10" s="172">
        <f>2507*D20</f>
        <v>77441.23</v>
      </c>
      <c r="G10" s="165"/>
      <c r="H10" s="172">
        <f>2507*D21</f>
        <v>82279.740000000005</v>
      </c>
      <c r="J10" s="172">
        <f t="shared" si="0"/>
        <v>4838.5100000000093</v>
      </c>
      <c r="L10" s="173">
        <f t="shared" si="1"/>
        <v>6.2479766914859347E-2</v>
      </c>
    </row>
    <row r="11" spans="1:12">
      <c r="F11" s="165">
        <f t="shared" ref="F11:J11" si="2">SUM(F8:F10)</f>
        <v>673650.42999999993</v>
      </c>
      <c r="G11" s="165"/>
      <c r="H11" s="165">
        <f t="shared" si="2"/>
        <v>689273.80575864087</v>
      </c>
      <c r="I11" s="165"/>
      <c r="J11" s="165">
        <f t="shared" si="2"/>
        <v>15623.375758640817</v>
      </c>
      <c r="L11" s="171">
        <f t="shared" si="1"/>
        <v>2.3192111313045549E-2</v>
      </c>
    </row>
    <row r="17" spans="1:4">
      <c r="A17" t="s">
        <v>125</v>
      </c>
    </row>
    <row r="19" spans="1:4">
      <c r="A19" s="178" t="s">
        <v>129</v>
      </c>
      <c r="D19" s="166" t="s">
        <v>5</v>
      </c>
    </row>
    <row r="20" spans="1:4">
      <c r="A20" s="167" t="s">
        <v>7</v>
      </c>
      <c r="D20" s="168">
        <f>+References!B48</f>
        <v>30.89</v>
      </c>
    </row>
    <row r="21" spans="1:4">
      <c r="A21" s="167" t="s">
        <v>8</v>
      </c>
      <c r="D21" s="169">
        <f>+References!B49</f>
        <v>32.82</v>
      </c>
    </row>
    <row r="22" spans="1:4">
      <c r="A22" s="170" t="s">
        <v>9</v>
      </c>
      <c r="D22" s="168">
        <f>D21-D20</f>
        <v>1.9299999999999997</v>
      </c>
    </row>
  </sheetData>
  <pageMargins left="0.2" right="0.2" top="0.75" bottom="0.75" header="0.3" footer="0.3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D95991A7B29B049AEE8D15AD8A94258" ma:contentTypeVersion="96" ma:contentTypeDescription="" ma:contentTypeScope="" ma:versionID="e391ce89193ae031efebc3c734cb2d2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2016-12-15T08:00:00+00:00</OpenedDate>
    <Date1 xmlns="dc463f71-b30c-4ab2-9473-d307f9d35888">2016-12-15T08:00:00+00:00</Date1>
    <IsDocumentOrder xmlns="dc463f71-b30c-4ab2-9473-d307f9d35888" xsi:nil="true"/>
    <IsHighlyConfidential xmlns="dc463f71-b30c-4ab2-9473-d307f9d35888">false</IsHighlyConfidential>
    <CaseCompanyNames xmlns="dc463f71-b30c-4ab2-9473-d307f9d35888">BASIN DISPOSAL OF YAKIMA, LLC</CaseCompanyNames>
    <DocketNumber xmlns="dc463f71-b30c-4ab2-9473-d307f9d35888">161288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47EBCB7-B8C3-436B-9706-78352D43C0AC}"/>
</file>

<file path=customXml/itemProps2.xml><?xml version="1.0" encoding="utf-8"?>
<ds:datastoreItem xmlns:ds="http://schemas.openxmlformats.org/officeDocument/2006/customXml" ds:itemID="{13838375-1189-4892-A6D2-BB556694395F}">
  <ds:schemaRefs>
    <ds:schemaRef ds:uri="http://purl.org/dc/elements/1.1/"/>
    <ds:schemaRef ds:uri="http://purl.org/dc/dcmitype/"/>
    <ds:schemaRef ds:uri="http://purl.org/dc/terms/"/>
    <ds:schemaRef ds:uri="6a7bd91e-004b-490a-8704-e368d63d59a0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2A8CD0-AF00-40F2-B31E-5B94DD90AAA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F89A252-977B-40CD-99CF-3F3F66C179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References</vt:lpstr>
      <vt:lpstr>Calculations</vt:lpstr>
      <vt:lpstr>Revenue Increase</vt:lpstr>
      <vt:lpstr>Calculations!Print_Area</vt:lpstr>
      <vt:lpstr>References!Print_Area</vt:lpstr>
      <vt:lpstr>'Revenue Increase'!Print_Area</vt:lpstr>
      <vt:lpstr>Calculations!Print_Titles</vt:lpstr>
      <vt:lpstr>References!Print_Titles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Kredel, Ashley (UTC)</cp:lastModifiedBy>
  <cp:lastPrinted>2016-12-15T21:53:31Z</cp:lastPrinted>
  <dcterms:created xsi:type="dcterms:W3CDTF">2013-10-29T22:33:54Z</dcterms:created>
  <dcterms:modified xsi:type="dcterms:W3CDTF">2016-12-16T00:15:57Z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0x0101006E56B4D1795A2E4DB2F0B01679ED314A000D95991A7B29B049AEE8D15AD8A94258</vt:lpwstr>
  </property>
  <property fmtid="{D5CDD505-2E9C-101B-9397-08002B2CF9AE}" pid="3" name="_docset_NoMedatataSyncRequired">
    <vt:lpwstr>False</vt:lpwstr>
  </property>
</Properties>
</file>