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3380" windowHeight="7350" activeTab="2"/>
  </bookViews>
  <sheets>
    <sheet name="References" sheetId="4" r:id="rId1"/>
    <sheet name="Calculations" sheetId="7" r:id="rId2"/>
    <sheet name="Revenue Increase" sheetId="8" r:id="rId3"/>
  </sheets>
  <definedNames>
    <definedName name="_xlnm.Print_Area" localSheetId="1">Calculations!$A$3:$Q$119</definedName>
    <definedName name="_xlnm.Print_Area" localSheetId="0">References!$A$2:$H$66</definedName>
    <definedName name="_xlnm.Print_Area" localSheetId="2">'Revenue Increase'!$A$1:$L$23</definedName>
    <definedName name="_xlnm.Print_Titles" localSheetId="1">Calculations!$1:$2</definedName>
    <definedName name="_xlnm.Print_Titles" localSheetId="0">References!$1:$1</definedName>
  </definedNames>
  <calcPr calcId="145621" iterateDelta="9.9999999999994451E-4"/>
</workbook>
</file>

<file path=xl/calcChain.xml><?xml version="1.0" encoding="utf-8"?>
<calcChain xmlns="http://schemas.openxmlformats.org/spreadsheetml/2006/main">
  <c r="L10" i="8" l="1"/>
  <c r="J10" i="8"/>
  <c r="J9" i="8"/>
  <c r="H10" i="8"/>
  <c r="F10" i="8"/>
  <c r="D22" i="8"/>
  <c r="H9" i="8"/>
  <c r="F9" i="8"/>
  <c r="L9" i="8" s="1"/>
  <c r="H8" i="8"/>
  <c r="H11" i="8" s="1"/>
  <c r="F8" i="8"/>
  <c r="F11" i="8" s="1"/>
  <c r="L11" i="8" l="1"/>
  <c r="J8" i="8"/>
  <c r="J11" i="8" s="1"/>
  <c r="L8" i="8"/>
  <c r="G37" i="7"/>
  <c r="O50" i="7" l="1"/>
  <c r="F50" i="7"/>
  <c r="D50" i="7"/>
  <c r="O9" i="7"/>
  <c r="H9" i="7"/>
  <c r="F9" i="7"/>
  <c r="E44" i="7"/>
  <c r="E39" i="7"/>
  <c r="E34" i="7"/>
  <c r="E29" i="7"/>
  <c r="E24" i="7"/>
  <c r="E19" i="7"/>
  <c r="G106" i="7" l="1"/>
  <c r="G105" i="7"/>
  <c r="H105" i="7" s="1"/>
  <c r="G104" i="7"/>
  <c r="G103" i="7"/>
  <c r="H103" i="7" s="1"/>
  <c r="G102" i="7"/>
  <c r="G101" i="7"/>
  <c r="G100" i="7"/>
  <c r="G99" i="7"/>
  <c r="G98" i="7"/>
  <c r="G97" i="7"/>
  <c r="G96" i="7"/>
  <c r="G95" i="7"/>
  <c r="G94" i="7"/>
  <c r="G93" i="7"/>
  <c r="H93" i="7" s="1"/>
  <c r="G92" i="7"/>
  <c r="G91" i="7"/>
  <c r="G89" i="7"/>
  <c r="E106" i="7"/>
  <c r="F106" i="7" s="1"/>
  <c r="F105" i="7"/>
  <c r="E105" i="7"/>
  <c r="E104" i="7"/>
  <c r="F104" i="7" s="1"/>
  <c r="F103" i="7"/>
  <c r="E103" i="7"/>
  <c r="E102" i="7"/>
  <c r="F102" i="7" s="1"/>
  <c r="H102" i="7" s="1"/>
  <c r="H101" i="7"/>
  <c r="F101" i="7"/>
  <c r="E101" i="7"/>
  <c r="E100" i="7"/>
  <c r="F100" i="7" s="1"/>
  <c r="H100" i="7" s="1"/>
  <c r="E99" i="7"/>
  <c r="F99" i="7" s="1"/>
  <c r="E98" i="7"/>
  <c r="F98" i="7" s="1"/>
  <c r="F97" i="7"/>
  <c r="H97" i="7" s="1"/>
  <c r="E97" i="7"/>
  <c r="E96" i="7"/>
  <c r="F96" i="7" s="1"/>
  <c r="H96" i="7" s="1"/>
  <c r="F95" i="7"/>
  <c r="H95" i="7" s="1"/>
  <c r="E95" i="7"/>
  <c r="E94" i="7"/>
  <c r="F94" i="7" s="1"/>
  <c r="F93" i="7"/>
  <c r="E93" i="7"/>
  <c r="E92" i="7"/>
  <c r="F92" i="7" s="1"/>
  <c r="H92" i="7" s="1"/>
  <c r="E91" i="7"/>
  <c r="F91" i="7" s="1"/>
  <c r="H91" i="7" s="1"/>
  <c r="G90" i="7"/>
  <c r="E90" i="7"/>
  <c r="F90" i="7" s="1"/>
  <c r="H90" i="7" s="1"/>
  <c r="F89" i="7"/>
  <c r="H89" i="7" s="1"/>
  <c r="E89" i="7"/>
  <c r="G74" i="7"/>
  <c r="G87" i="7"/>
  <c r="G86" i="7"/>
  <c r="E87" i="7"/>
  <c r="F87" i="7" s="1"/>
  <c r="E86" i="7"/>
  <c r="F86" i="7" s="1"/>
  <c r="G75" i="7"/>
  <c r="E75" i="7"/>
  <c r="F75" i="7" s="1"/>
  <c r="G73" i="7"/>
  <c r="E73" i="7"/>
  <c r="F73" i="7" s="1"/>
  <c r="B5" i="4"/>
  <c r="B6" i="4"/>
  <c r="B7" i="4"/>
  <c r="B9" i="4"/>
  <c r="B8" i="4"/>
  <c r="B4" i="4"/>
  <c r="E11" i="7"/>
  <c r="F11" i="7" s="1"/>
  <c r="H106" i="7" l="1"/>
  <c r="H104" i="7"/>
  <c r="H99" i="7"/>
  <c r="H98" i="7"/>
  <c r="H94" i="7"/>
  <c r="H73" i="7"/>
  <c r="H86" i="7"/>
  <c r="H87" i="7"/>
  <c r="H75" i="7"/>
  <c r="F48" i="7"/>
  <c r="F47" i="7"/>
  <c r="E43" i="7"/>
  <c r="F43" i="7" s="1"/>
  <c r="E42" i="7"/>
  <c r="F42" i="7" s="1"/>
  <c r="F44" i="7"/>
  <c r="E41" i="7"/>
  <c r="F41" i="7" s="1"/>
  <c r="F39" i="7"/>
  <c r="E37" i="7"/>
  <c r="F37" i="7" s="1"/>
  <c r="E38" i="7"/>
  <c r="F38" i="7" s="1"/>
  <c r="E36" i="7"/>
  <c r="F36" i="7" s="1"/>
  <c r="E32" i="7"/>
  <c r="F32" i="7" s="1"/>
  <c r="E31" i="7"/>
  <c r="F31" i="7" s="1"/>
  <c r="F34" i="7"/>
  <c r="F33" i="7"/>
  <c r="G28" i="7"/>
  <c r="F29" i="7"/>
  <c r="E27" i="7"/>
  <c r="F27" i="7" s="1"/>
  <c r="E28" i="7"/>
  <c r="F28" i="7" s="1"/>
  <c r="F25" i="7"/>
  <c r="G24" i="7"/>
  <c r="F24" i="7"/>
  <c r="E23" i="7"/>
  <c r="F23" i="7" s="1"/>
  <c r="G23" i="7"/>
  <c r="G22" i="7"/>
  <c r="E22" i="7"/>
  <c r="F22" i="7" s="1"/>
  <c r="G19" i="7"/>
  <c r="F19" i="7"/>
  <c r="O19" i="7" s="1"/>
  <c r="E21" i="7"/>
  <c r="F21" i="7" s="1"/>
  <c r="E17" i="7"/>
  <c r="F17" i="7" s="1"/>
  <c r="E18" i="7"/>
  <c r="F18" i="7" s="1"/>
  <c r="F15" i="7"/>
  <c r="F14" i="7"/>
  <c r="F12" i="7"/>
  <c r="G65" i="7"/>
  <c r="G63" i="7"/>
  <c r="G62" i="7"/>
  <c r="H62" i="7" s="1"/>
  <c r="O6" i="7"/>
  <c r="D115" i="7"/>
  <c r="H37" i="7" l="1"/>
  <c r="H50" i="7" s="1"/>
  <c r="O37" i="7"/>
  <c r="H24" i="7"/>
  <c r="O24" i="7"/>
  <c r="H28" i="7"/>
  <c r="O28" i="7"/>
  <c r="H23" i="7"/>
  <c r="O23" i="7"/>
  <c r="O22" i="7"/>
  <c r="H22" i="7"/>
  <c r="H19" i="7"/>
  <c r="G5" i="7"/>
  <c r="G4" i="7"/>
  <c r="G7" i="7"/>
  <c r="G11" i="7"/>
  <c r="H11" i="7" s="1"/>
  <c r="G12" i="7"/>
  <c r="H12" i="7" s="1"/>
  <c r="G14" i="7"/>
  <c r="H14" i="7" s="1"/>
  <c r="G15" i="7"/>
  <c r="H15" i="7" s="1"/>
  <c r="G17" i="7"/>
  <c r="H17" i="7" s="1"/>
  <c r="G18" i="7"/>
  <c r="H18" i="7" s="1"/>
  <c r="G21" i="7"/>
  <c r="H21" i="7" s="1"/>
  <c r="G25" i="7"/>
  <c r="H25" i="7" s="1"/>
  <c r="G27" i="7"/>
  <c r="H27" i="7" s="1"/>
  <c r="G29" i="7"/>
  <c r="H29" i="7" s="1"/>
  <c r="G31" i="7"/>
  <c r="H31" i="7" s="1"/>
  <c r="G32" i="7"/>
  <c r="H32" i="7" s="1"/>
  <c r="G33" i="7"/>
  <c r="H33" i="7" s="1"/>
  <c r="G34" i="7"/>
  <c r="H34" i="7" s="1"/>
  <c r="G36" i="7"/>
  <c r="H36" i="7" s="1"/>
  <c r="G38" i="7"/>
  <c r="H38" i="7" s="1"/>
  <c r="G39" i="7"/>
  <c r="H39" i="7" s="1"/>
  <c r="G41" i="7"/>
  <c r="H41" i="7" s="1"/>
  <c r="G42" i="7"/>
  <c r="H42" i="7" s="1"/>
  <c r="G43" i="7"/>
  <c r="H43" i="7" s="1"/>
  <c r="G44" i="7"/>
  <c r="H44" i="7" s="1"/>
  <c r="G47" i="7"/>
  <c r="H47" i="7" s="1"/>
  <c r="G48" i="7"/>
  <c r="H48" i="7" s="1"/>
  <c r="G49" i="4"/>
  <c r="D116" i="7"/>
  <c r="C48" i="4"/>
  <c r="C49" i="4"/>
  <c r="G53" i="4"/>
  <c r="G60" i="7"/>
  <c r="G88" i="7"/>
  <c r="G85" i="7"/>
  <c r="G84" i="7"/>
  <c r="G80" i="7"/>
  <c r="G79" i="7"/>
  <c r="G78" i="7"/>
  <c r="G77" i="7"/>
  <c r="G76" i="7"/>
  <c r="E76" i="7"/>
  <c r="F76" i="7" s="1"/>
  <c r="E77" i="7"/>
  <c r="F77" i="7" s="1"/>
  <c r="E81" i="7"/>
  <c r="F81" i="7" s="1"/>
  <c r="G67" i="7"/>
  <c r="G6" i="7"/>
  <c r="E66" i="7"/>
  <c r="F66" i="7" s="1"/>
  <c r="G66" i="7"/>
  <c r="H74" i="7"/>
  <c r="E56" i="7"/>
  <c r="F56" i="7" s="1"/>
  <c r="G56" i="7"/>
  <c r="E57" i="7"/>
  <c r="F57" i="7" s="1"/>
  <c r="G57" i="7"/>
  <c r="G58" i="7"/>
  <c r="G59" i="7"/>
  <c r="E61" i="7"/>
  <c r="F61" i="7" s="1"/>
  <c r="G61" i="7"/>
  <c r="E63" i="7"/>
  <c r="G64" i="7"/>
  <c r="E65" i="7"/>
  <c r="D9" i="7"/>
  <c r="O48" i="7"/>
  <c r="O47" i="7"/>
  <c r="O42" i="7"/>
  <c r="O43" i="7"/>
  <c r="O44" i="7"/>
  <c r="O5" i="7"/>
  <c r="G83" i="7"/>
  <c r="G82" i="7"/>
  <c r="G81" i="7"/>
  <c r="G72" i="7"/>
  <c r="G71" i="7"/>
  <c r="G70" i="7"/>
  <c r="O36" i="7"/>
  <c r="O38" i="7"/>
  <c r="O39" i="7"/>
  <c r="O41" i="7"/>
  <c r="O4" i="7"/>
  <c r="O12" i="7"/>
  <c r="O11" i="7"/>
  <c r="O14" i="7"/>
  <c r="O15" i="7"/>
  <c r="O17" i="7"/>
  <c r="O18" i="7"/>
  <c r="O21" i="7"/>
  <c r="O25" i="7"/>
  <c r="O27" i="7"/>
  <c r="O29" i="7"/>
  <c r="O31" i="7"/>
  <c r="O32" i="7"/>
  <c r="O33" i="7"/>
  <c r="O34" i="7"/>
  <c r="O7" i="7"/>
  <c r="B55" i="4"/>
  <c r="F4" i="4"/>
  <c r="H5" i="4"/>
  <c r="D6" i="4"/>
  <c r="C7" i="4"/>
  <c r="C5" i="4"/>
  <c r="E5" i="4"/>
  <c r="G5" i="4"/>
  <c r="F6" i="4"/>
  <c r="C6" i="4"/>
  <c r="D5" i="4"/>
  <c r="F5" i="4"/>
  <c r="E6" i="4"/>
  <c r="G6" i="4"/>
  <c r="H6" i="4"/>
  <c r="G4" i="4"/>
  <c r="H4" i="4"/>
  <c r="G48" i="4"/>
  <c r="G51" i="4" s="1"/>
  <c r="B50" i="4"/>
  <c r="B53" i="4" s="1"/>
  <c r="B54" i="4" s="1"/>
  <c r="B10" i="4"/>
  <c r="G9" i="4"/>
  <c r="E5" i="7"/>
  <c r="F5" i="7" s="1"/>
  <c r="E72" i="7"/>
  <c r="F72" i="7" s="1"/>
  <c r="F9" i="4"/>
  <c r="E9" i="4"/>
  <c r="D9" i="4"/>
  <c r="H8" i="4"/>
  <c r="G8" i="4"/>
  <c r="E8" i="4"/>
  <c r="D8" i="4"/>
  <c r="H10" i="4"/>
  <c r="G10" i="4"/>
  <c r="F10" i="4"/>
  <c r="H76" i="7" l="1"/>
  <c r="D51" i="7"/>
  <c r="H65" i="7"/>
  <c r="H72" i="7"/>
  <c r="H66" i="7"/>
  <c r="H56" i="7"/>
  <c r="H57" i="7"/>
  <c r="H61" i="7"/>
  <c r="H63" i="7"/>
  <c r="B56" i="4"/>
  <c r="H81" i="7"/>
  <c r="H7" i="4"/>
  <c r="H77" i="7"/>
  <c r="G7" i="4"/>
  <c r="G50" i="7"/>
  <c r="F7" i="4"/>
  <c r="E7" i="4"/>
  <c r="D7" i="4"/>
  <c r="H5" i="7"/>
  <c r="H9" i="4"/>
  <c r="E82" i="7"/>
  <c r="F82" i="7" s="1"/>
  <c r="H82" i="7" s="1"/>
  <c r="E6" i="7"/>
  <c r="F6" i="7" s="1"/>
  <c r="H6" i="7" s="1"/>
  <c r="C10" i="4"/>
  <c r="E78" i="7"/>
  <c r="F78" i="7" s="1"/>
  <c r="H78" i="7" s="1"/>
  <c r="E88" i="7"/>
  <c r="F88" i="7" s="1"/>
  <c r="H88" i="7" s="1"/>
  <c r="E79" i="7"/>
  <c r="F79" i="7" s="1"/>
  <c r="H79" i="7" s="1"/>
  <c r="E67" i="7"/>
  <c r="F67" i="7" s="1"/>
  <c r="H67" i="7" s="1"/>
  <c r="E80" i="7"/>
  <c r="F80" i="7" s="1"/>
  <c r="H80" i="7" s="1"/>
  <c r="E71" i="7"/>
  <c r="F71" i="7" s="1"/>
  <c r="H71" i="7" s="1"/>
  <c r="E10" i="4"/>
  <c r="E74" i="7"/>
  <c r="E85" i="7"/>
  <c r="F85" i="7" s="1"/>
  <c r="H85" i="7" s="1"/>
  <c r="C50" i="4"/>
  <c r="E4" i="4"/>
  <c r="C4" i="4"/>
  <c r="E84" i="7"/>
  <c r="F84" i="7" s="1"/>
  <c r="H84" i="7" s="1"/>
  <c r="D4" i="4"/>
  <c r="D10" i="4"/>
  <c r="C9" i="4"/>
  <c r="E70" i="7"/>
  <c r="F70" i="7" s="1"/>
  <c r="H70" i="7" s="1"/>
  <c r="E83" i="7"/>
  <c r="F83" i="7" s="1"/>
  <c r="H83" i="7" s="1"/>
  <c r="C8" i="4"/>
  <c r="E58" i="7"/>
  <c r="F58" i="7" s="1"/>
  <c r="H58" i="7" s="1"/>
  <c r="E64" i="7"/>
  <c r="H64" i="7" s="1"/>
  <c r="E4" i="7"/>
  <c r="F4" i="7" s="1"/>
  <c r="H4" i="7" s="1"/>
  <c r="F8" i="4"/>
  <c r="E59" i="7"/>
  <c r="F59" i="7" s="1"/>
  <c r="H59" i="7" s="1"/>
  <c r="E60" i="7"/>
  <c r="F60" i="7" s="1"/>
  <c r="H60" i="7" s="1"/>
  <c r="E7" i="7"/>
  <c r="F7" i="7" s="1"/>
  <c r="H7" i="7" s="1"/>
  <c r="H51" i="7" l="1"/>
  <c r="D118" i="7" s="1"/>
  <c r="I100" i="7" l="1"/>
  <c r="J100" i="7" s="1"/>
  <c r="K100" i="7" s="1"/>
  <c r="L100" i="7" s="1"/>
  <c r="N100" i="7" s="1"/>
  <c r="I91" i="7"/>
  <c r="J91" i="7" s="1"/>
  <c r="K91" i="7" s="1"/>
  <c r="L91" i="7" s="1"/>
  <c r="N91" i="7" s="1"/>
  <c r="I103" i="7"/>
  <c r="J103" i="7" s="1"/>
  <c r="K103" i="7" s="1"/>
  <c r="L103" i="7" s="1"/>
  <c r="N103" i="7" s="1"/>
  <c r="I102" i="7"/>
  <c r="J102" i="7" s="1"/>
  <c r="K102" i="7" s="1"/>
  <c r="L102" i="7" s="1"/>
  <c r="N102" i="7" s="1"/>
  <c r="I89" i="7"/>
  <c r="J89" i="7" s="1"/>
  <c r="K89" i="7" s="1"/>
  <c r="L89" i="7" s="1"/>
  <c r="N89" i="7" s="1"/>
  <c r="I92" i="7"/>
  <c r="J92" i="7" s="1"/>
  <c r="K92" i="7" s="1"/>
  <c r="L92" i="7" s="1"/>
  <c r="N92" i="7" s="1"/>
  <c r="I90" i="7"/>
  <c r="J90" i="7" s="1"/>
  <c r="K90" i="7" s="1"/>
  <c r="L90" i="7" s="1"/>
  <c r="N90" i="7" s="1"/>
  <c r="I97" i="7"/>
  <c r="J97" i="7" s="1"/>
  <c r="K97" i="7" s="1"/>
  <c r="L97" i="7" s="1"/>
  <c r="N97" i="7" s="1"/>
  <c r="I95" i="7"/>
  <c r="J95" i="7" s="1"/>
  <c r="K95" i="7" s="1"/>
  <c r="L95" i="7" s="1"/>
  <c r="N95" i="7" s="1"/>
  <c r="I93" i="7"/>
  <c r="J93" i="7" s="1"/>
  <c r="K93" i="7" s="1"/>
  <c r="L93" i="7" s="1"/>
  <c r="N93" i="7" s="1"/>
  <c r="I105" i="7"/>
  <c r="J105" i="7" s="1"/>
  <c r="K105" i="7" s="1"/>
  <c r="L105" i="7" s="1"/>
  <c r="N105" i="7" s="1"/>
  <c r="I96" i="7"/>
  <c r="J96" i="7" s="1"/>
  <c r="K96" i="7" s="1"/>
  <c r="L96" i="7" s="1"/>
  <c r="N96" i="7" s="1"/>
  <c r="I101" i="7"/>
  <c r="J101" i="7" s="1"/>
  <c r="K101" i="7" s="1"/>
  <c r="L101" i="7" s="1"/>
  <c r="N101" i="7" s="1"/>
  <c r="I104" i="7"/>
  <c r="J104" i="7" s="1"/>
  <c r="K104" i="7" s="1"/>
  <c r="L104" i="7" s="1"/>
  <c r="N104" i="7" s="1"/>
  <c r="I106" i="7"/>
  <c r="J106" i="7" s="1"/>
  <c r="K106" i="7" s="1"/>
  <c r="L106" i="7" s="1"/>
  <c r="N106" i="7" s="1"/>
  <c r="I94" i="7"/>
  <c r="J94" i="7" s="1"/>
  <c r="K94" i="7" s="1"/>
  <c r="L94" i="7" s="1"/>
  <c r="N94" i="7" s="1"/>
  <c r="I98" i="7"/>
  <c r="J98" i="7" s="1"/>
  <c r="K98" i="7" s="1"/>
  <c r="L98" i="7" s="1"/>
  <c r="N98" i="7" s="1"/>
  <c r="I99" i="7"/>
  <c r="J99" i="7" s="1"/>
  <c r="K99" i="7" s="1"/>
  <c r="L99" i="7" s="1"/>
  <c r="N99" i="7" s="1"/>
  <c r="I86" i="7"/>
  <c r="J86" i="7" s="1"/>
  <c r="K86" i="7" s="1"/>
  <c r="L86" i="7" s="1"/>
  <c r="N86" i="7" s="1"/>
  <c r="I87" i="7"/>
  <c r="J87" i="7" s="1"/>
  <c r="K87" i="7" s="1"/>
  <c r="L87" i="7" s="1"/>
  <c r="N87" i="7" s="1"/>
  <c r="I73" i="7"/>
  <c r="J73" i="7" s="1"/>
  <c r="K73" i="7" s="1"/>
  <c r="L73" i="7" s="1"/>
  <c r="N73" i="7" s="1"/>
  <c r="I75" i="7"/>
  <c r="J75" i="7" s="1"/>
  <c r="K75" i="7" s="1"/>
  <c r="L75" i="7" s="1"/>
  <c r="N75" i="7" s="1"/>
  <c r="I37" i="7"/>
  <c r="J37" i="7" s="1"/>
  <c r="K37" i="7" s="1"/>
  <c r="L37" i="7" s="1"/>
  <c r="N37" i="7" s="1"/>
  <c r="P37" i="7" s="1"/>
  <c r="Q37" i="7" s="1"/>
  <c r="I24" i="7"/>
  <c r="J24" i="7" s="1"/>
  <c r="K24" i="7" s="1"/>
  <c r="L24" i="7" s="1"/>
  <c r="N24" i="7" s="1"/>
  <c r="P24" i="7" s="1"/>
  <c r="Q24" i="7" s="1"/>
  <c r="I28" i="7"/>
  <c r="J28" i="7" s="1"/>
  <c r="K28" i="7" s="1"/>
  <c r="L28" i="7" s="1"/>
  <c r="N28" i="7" s="1"/>
  <c r="P28" i="7" s="1"/>
  <c r="Q28" i="7" s="1"/>
  <c r="I22" i="7"/>
  <c r="J22" i="7" s="1"/>
  <c r="K22" i="7" s="1"/>
  <c r="L22" i="7" s="1"/>
  <c r="N22" i="7" s="1"/>
  <c r="P22" i="7" s="1"/>
  <c r="Q22" i="7" s="1"/>
  <c r="I23" i="7"/>
  <c r="J23" i="7" s="1"/>
  <c r="K23" i="7" s="1"/>
  <c r="L23" i="7" s="1"/>
  <c r="N23" i="7" s="1"/>
  <c r="P23" i="7" s="1"/>
  <c r="Q23" i="7" s="1"/>
  <c r="I62" i="7"/>
  <c r="J62" i="7" s="1"/>
  <c r="K62" i="7" s="1"/>
  <c r="L62" i="7" s="1"/>
  <c r="N62" i="7" s="1"/>
  <c r="I19" i="7"/>
  <c r="J19" i="7" s="1"/>
  <c r="K19" i="7" s="1"/>
  <c r="L19" i="7" s="1"/>
  <c r="N19" i="7" s="1"/>
  <c r="P19" i="7" s="1"/>
  <c r="Q19" i="7" s="1"/>
  <c r="F51" i="7"/>
  <c r="D117" i="7"/>
  <c r="I7" i="7"/>
  <c r="J7" i="7" s="1"/>
  <c r="K7" i="7" s="1"/>
  <c r="L7" i="7" s="1"/>
  <c r="N7" i="7" s="1"/>
  <c r="P7" i="7" s="1"/>
  <c r="Q7" i="7" s="1"/>
  <c r="I48" i="7"/>
  <c r="J48" i="7" s="1"/>
  <c r="K48" i="7" s="1"/>
  <c r="L48" i="7" s="1"/>
  <c r="N48" i="7" s="1"/>
  <c r="P48" i="7" s="1"/>
  <c r="Q48" i="7" s="1"/>
  <c r="I41" i="7"/>
  <c r="J41" i="7" s="1"/>
  <c r="K41" i="7" s="1"/>
  <c r="L41" i="7" s="1"/>
  <c r="N41" i="7" s="1"/>
  <c r="P41" i="7" s="1"/>
  <c r="Q41" i="7" s="1"/>
  <c r="I36" i="7"/>
  <c r="J36" i="7" s="1"/>
  <c r="K36" i="7" s="1"/>
  <c r="L36" i="7" s="1"/>
  <c r="N36" i="7" s="1"/>
  <c r="P36" i="7" s="1"/>
  <c r="Q36" i="7" s="1"/>
  <c r="I33" i="7"/>
  <c r="J33" i="7" s="1"/>
  <c r="K33" i="7" s="1"/>
  <c r="L33" i="7" s="1"/>
  <c r="N33" i="7" s="1"/>
  <c r="P33" i="7" s="1"/>
  <c r="Q33" i="7" s="1"/>
  <c r="I29" i="7"/>
  <c r="J29" i="7" s="1"/>
  <c r="K29" i="7" s="1"/>
  <c r="L29" i="7" s="1"/>
  <c r="N29" i="7" s="1"/>
  <c r="P29" i="7" s="1"/>
  <c r="Q29" i="7" s="1"/>
  <c r="I25" i="7"/>
  <c r="J25" i="7" s="1"/>
  <c r="K25" i="7" s="1"/>
  <c r="L25" i="7" s="1"/>
  <c r="N25" i="7" s="1"/>
  <c r="P25" i="7" s="1"/>
  <c r="Q25" i="7" s="1"/>
  <c r="I17" i="7"/>
  <c r="J17" i="7" s="1"/>
  <c r="K17" i="7" s="1"/>
  <c r="L17" i="7" s="1"/>
  <c r="N17" i="7" s="1"/>
  <c r="P17" i="7" s="1"/>
  <c r="Q17" i="7" s="1"/>
  <c r="I11" i="7"/>
  <c r="I5" i="7"/>
  <c r="I60" i="7"/>
  <c r="J60" i="7" s="1"/>
  <c r="K60" i="7" s="1"/>
  <c r="L60" i="7" s="1"/>
  <c r="N60" i="7" s="1"/>
  <c r="I42" i="7"/>
  <c r="J42" i="7" s="1"/>
  <c r="K42" i="7" s="1"/>
  <c r="L42" i="7" s="1"/>
  <c r="N42" i="7" s="1"/>
  <c r="P42" i="7" s="1"/>
  <c r="Q42" i="7" s="1"/>
  <c r="I38" i="7"/>
  <c r="J38" i="7" s="1"/>
  <c r="K38" i="7" s="1"/>
  <c r="L38" i="7" s="1"/>
  <c r="N38" i="7" s="1"/>
  <c r="P38" i="7" s="1"/>
  <c r="Q38" i="7" s="1"/>
  <c r="I34" i="7"/>
  <c r="J34" i="7" s="1"/>
  <c r="K34" i="7" s="1"/>
  <c r="L34" i="7" s="1"/>
  <c r="N34" i="7" s="1"/>
  <c r="P34" i="7" s="1"/>
  <c r="Q34" i="7" s="1"/>
  <c r="I18" i="7"/>
  <c r="J18" i="7" s="1"/>
  <c r="K18" i="7" s="1"/>
  <c r="L18" i="7" s="1"/>
  <c r="N18" i="7" s="1"/>
  <c r="P18" i="7" s="1"/>
  <c r="Q18" i="7" s="1"/>
  <c r="I15" i="7"/>
  <c r="J15" i="7" s="1"/>
  <c r="K15" i="7" s="1"/>
  <c r="L15" i="7" s="1"/>
  <c r="N15" i="7" s="1"/>
  <c r="P15" i="7" s="1"/>
  <c r="Q15" i="7" s="1"/>
  <c r="I12" i="7"/>
  <c r="J12" i="7" s="1"/>
  <c r="K12" i="7" s="1"/>
  <c r="L12" i="7" s="1"/>
  <c r="N12" i="7" s="1"/>
  <c r="P12" i="7" s="1"/>
  <c r="Q12" i="7" s="1"/>
  <c r="I4" i="7"/>
  <c r="I43" i="7"/>
  <c r="J43" i="7" s="1"/>
  <c r="K43" i="7" s="1"/>
  <c r="L43" i="7" s="1"/>
  <c r="N43" i="7" s="1"/>
  <c r="P43" i="7" s="1"/>
  <c r="Q43" i="7" s="1"/>
  <c r="I39" i="7"/>
  <c r="J39" i="7" s="1"/>
  <c r="K39" i="7" s="1"/>
  <c r="L39" i="7" s="1"/>
  <c r="N39" i="7" s="1"/>
  <c r="P39" i="7" s="1"/>
  <c r="Q39" i="7" s="1"/>
  <c r="I85" i="7"/>
  <c r="J85" i="7" s="1"/>
  <c r="K85" i="7" s="1"/>
  <c r="L85" i="7" s="1"/>
  <c r="N85" i="7" s="1"/>
  <c r="I31" i="7"/>
  <c r="J31" i="7" s="1"/>
  <c r="K31" i="7" s="1"/>
  <c r="L31" i="7" s="1"/>
  <c r="N31" i="7" s="1"/>
  <c r="P31" i="7" s="1"/>
  <c r="Q31" i="7" s="1"/>
  <c r="I79" i="7"/>
  <c r="J79" i="7" s="1"/>
  <c r="K79" i="7" s="1"/>
  <c r="L79" i="7" s="1"/>
  <c r="N79" i="7" s="1"/>
  <c r="I65" i="7"/>
  <c r="J65" i="7" s="1"/>
  <c r="K65" i="7" s="1"/>
  <c r="L65" i="7" s="1"/>
  <c r="N65" i="7" s="1"/>
  <c r="I70" i="7"/>
  <c r="J70" i="7" s="1"/>
  <c r="K70" i="7" s="1"/>
  <c r="L70" i="7" s="1"/>
  <c r="N70" i="7" s="1"/>
  <c r="I63" i="7"/>
  <c r="J63" i="7" s="1"/>
  <c r="K63" i="7" s="1"/>
  <c r="L63" i="7" s="1"/>
  <c r="N63" i="7" s="1"/>
  <c r="I81" i="7"/>
  <c r="J81" i="7" s="1"/>
  <c r="K81" i="7" s="1"/>
  <c r="L81" i="7" s="1"/>
  <c r="N81" i="7" s="1"/>
  <c r="I71" i="7"/>
  <c r="J71" i="7" s="1"/>
  <c r="K71" i="7" s="1"/>
  <c r="L71" i="7" s="1"/>
  <c r="N71" i="7" s="1"/>
  <c r="I88" i="7"/>
  <c r="J88" i="7" s="1"/>
  <c r="K88" i="7" s="1"/>
  <c r="L88" i="7" s="1"/>
  <c r="N88" i="7" s="1"/>
  <c r="I6" i="7"/>
  <c r="J6" i="7" s="1"/>
  <c r="K6" i="7" s="1"/>
  <c r="L6" i="7" s="1"/>
  <c r="N6" i="7" s="1"/>
  <c r="I59" i="7"/>
  <c r="J59" i="7" s="1"/>
  <c r="K59" i="7" s="1"/>
  <c r="L59" i="7" s="1"/>
  <c r="N59" i="7" s="1"/>
  <c r="I83" i="7"/>
  <c r="J83" i="7" s="1"/>
  <c r="K83" i="7" s="1"/>
  <c r="L83" i="7" s="1"/>
  <c r="N83" i="7" s="1"/>
  <c r="I77" i="7"/>
  <c r="J77" i="7" s="1"/>
  <c r="K77" i="7" s="1"/>
  <c r="L77" i="7" s="1"/>
  <c r="N77" i="7" s="1"/>
  <c r="I44" i="7"/>
  <c r="J44" i="7" s="1"/>
  <c r="K44" i="7" s="1"/>
  <c r="L44" i="7" s="1"/>
  <c r="N44" i="7" s="1"/>
  <c r="P44" i="7" s="1"/>
  <c r="Q44" i="7" s="1"/>
  <c r="I74" i="7"/>
  <c r="J74" i="7" s="1"/>
  <c r="K74" i="7" s="1"/>
  <c r="L74" i="7" s="1"/>
  <c r="N74" i="7" s="1"/>
  <c r="I80" i="7"/>
  <c r="J80" i="7" s="1"/>
  <c r="K80" i="7" s="1"/>
  <c r="L80" i="7" s="1"/>
  <c r="N80" i="7" s="1"/>
  <c r="I58" i="7"/>
  <c r="J58" i="7" s="1"/>
  <c r="K58" i="7" s="1"/>
  <c r="L58" i="7" s="1"/>
  <c r="N58" i="7" s="1"/>
  <c r="I72" i="7"/>
  <c r="J72" i="7" s="1"/>
  <c r="K72" i="7" s="1"/>
  <c r="L72" i="7" s="1"/>
  <c r="N72" i="7" s="1"/>
  <c r="I84" i="7"/>
  <c r="J84" i="7" s="1"/>
  <c r="K84" i="7" s="1"/>
  <c r="L84" i="7" s="1"/>
  <c r="N84" i="7" s="1"/>
  <c r="I56" i="7"/>
  <c r="J56" i="7" s="1"/>
  <c r="K56" i="7" s="1"/>
  <c r="L56" i="7" s="1"/>
  <c r="N56" i="7" s="1"/>
  <c r="I27" i="7"/>
  <c r="J27" i="7" s="1"/>
  <c r="K27" i="7" s="1"/>
  <c r="L27" i="7" s="1"/>
  <c r="N27" i="7" s="1"/>
  <c r="P27" i="7" s="1"/>
  <c r="Q27" i="7" s="1"/>
  <c r="I66" i="7"/>
  <c r="J66" i="7" s="1"/>
  <c r="K66" i="7" s="1"/>
  <c r="L66" i="7" s="1"/>
  <c r="N66" i="7" s="1"/>
  <c r="I57" i="7"/>
  <c r="J57" i="7" s="1"/>
  <c r="K57" i="7" s="1"/>
  <c r="L57" i="7" s="1"/>
  <c r="N57" i="7" s="1"/>
  <c r="I64" i="7"/>
  <c r="J64" i="7" s="1"/>
  <c r="K64" i="7" s="1"/>
  <c r="L64" i="7" s="1"/>
  <c r="N64" i="7" s="1"/>
  <c r="I47" i="7"/>
  <c r="J47" i="7" s="1"/>
  <c r="K47" i="7" s="1"/>
  <c r="L47" i="7" s="1"/>
  <c r="N47" i="7" s="1"/>
  <c r="P47" i="7" s="1"/>
  <c r="Q47" i="7" s="1"/>
  <c r="I32" i="7"/>
  <c r="J32" i="7" s="1"/>
  <c r="K32" i="7" s="1"/>
  <c r="L32" i="7" s="1"/>
  <c r="N32" i="7" s="1"/>
  <c r="P32" i="7" s="1"/>
  <c r="Q32" i="7" s="1"/>
  <c r="I21" i="7"/>
  <c r="J21" i="7" s="1"/>
  <c r="K21" i="7" s="1"/>
  <c r="L21" i="7" s="1"/>
  <c r="N21" i="7" s="1"/>
  <c r="P21" i="7" s="1"/>
  <c r="Q21" i="7" s="1"/>
  <c r="I14" i="7"/>
  <c r="J14" i="7" s="1"/>
  <c r="K14" i="7" s="1"/>
  <c r="L14" i="7" s="1"/>
  <c r="N14" i="7" s="1"/>
  <c r="P14" i="7" s="1"/>
  <c r="Q14" i="7" s="1"/>
  <c r="I78" i="7"/>
  <c r="J78" i="7" s="1"/>
  <c r="K78" i="7" s="1"/>
  <c r="L78" i="7" s="1"/>
  <c r="N78" i="7" s="1"/>
  <c r="I82" i="7"/>
  <c r="J82" i="7" s="1"/>
  <c r="K82" i="7" s="1"/>
  <c r="L82" i="7" s="1"/>
  <c r="N82" i="7" s="1"/>
  <c r="I76" i="7"/>
  <c r="J76" i="7" s="1"/>
  <c r="K76" i="7" s="1"/>
  <c r="L76" i="7" s="1"/>
  <c r="N76" i="7" s="1"/>
  <c r="I67" i="7"/>
  <c r="J67" i="7" s="1"/>
  <c r="K67" i="7" s="1"/>
  <c r="L67" i="7" s="1"/>
  <c r="N67" i="7" s="1"/>
  <c r="I61" i="7"/>
  <c r="J61" i="7" s="1"/>
  <c r="K61" i="7" s="1"/>
  <c r="L61" i="7" s="1"/>
  <c r="N61" i="7" s="1"/>
  <c r="J11" i="7" l="1"/>
  <c r="K11" i="7" s="1"/>
  <c r="L11" i="7" s="1"/>
  <c r="N11" i="7" s="1"/>
  <c r="P11" i="7" s="1"/>
  <c r="I50" i="7"/>
  <c r="J4" i="7"/>
  <c r="K4" i="7" s="1"/>
  <c r="L4" i="7" s="1"/>
  <c r="N4" i="7" s="1"/>
  <c r="P4" i="7" s="1"/>
  <c r="I9" i="7"/>
  <c r="O51" i="7"/>
  <c r="P6" i="7"/>
  <c r="Q6" i="7" s="1"/>
  <c r="J5" i="7"/>
  <c r="K5" i="7" s="1"/>
  <c r="L5" i="7" s="1"/>
  <c r="N5" i="7" s="1"/>
  <c r="P5" i="7" s="1"/>
  <c r="Q11" i="7" l="1"/>
  <c r="Q50" i="7" s="1"/>
  <c r="P50" i="7"/>
  <c r="Q4" i="7"/>
  <c r="P9" i="7"/>
  <c r="I51" i="7"/>
  <c r="Q5" i="7"/>
  <c r="Q9" i="7" l="1"/>
  <c r="Q51" i="7" s="1"/>
  <c r="P51" i="7"/>
  <c r="B61" i="4" l="1"/>
  <c r="B62" i="4" s="1"/>
  <c r="B65" i="4"/>
  <c r="B66" i="4" s="1"/>
  <c r="C66" i="4" l="1"/>
</calcChain>
</file>

<file path=xl/sharedStrings.xml><?xml version="1.0" encoding="utf-8"?>
<sst xmlns="http://schemas.openxmlformats.org/spreadsheetml/2006/main" count="222" uniqueCount="197">
  <si>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</si>
  <si>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</si>
  <si>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</si>
  <si>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</si>
  <si>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</si>
  <si>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</si>
  <si>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</si>
  <si>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</si>
  <si>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</si>
  <si>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</si>
  <si>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</si>
  <si>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</si>
  <si>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</si>
  <si>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</si>
  <si>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</si>
  <si>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</si>
  <si>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</si>
  <si>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</si>
  <si>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</si>
  <si>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</si>
  <si>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</si>
  <si>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</si>
  <si>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</si>
  <si>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</si>
  <si>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</si>
  <si>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</si>
  <si>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</si>
  <si>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</si>
  <si>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</si>
  <si>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</si>
  <si>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</si>
  <si>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</si>
  <si>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</si>
  <si>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</si>
  <si>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</si>
  <si>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</si>
  <si>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</si>
  <si>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</si>
  <si>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</si>
  <si>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</si>
  <si>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</si>
  <si>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</si>
  <si>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</si>
  <si>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</si>
  <si>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</si>
  <si>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</si>
  <si>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</si>
  <si>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</si>
  <si>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</si>
  <si>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</si>
  <si>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</si>
  <si>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</si>
  <si>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</si>
  <si>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</si>
  <si>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</si>
  <si>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</si>
  <si>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</si>
  <si>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</si>
  <si>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</si>
  <si>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</si>
  <si>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</si>
  <si>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</si>
  <si>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</si>
  <si>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</si>
  <si>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</si>
  <si>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</si>
  <si>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</si>
  <si>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</si>
  <si>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</si>
  <si>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</si>
  <si>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</si>
  <si>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</si>
  <si>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</si>
  <si>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</si>
  <si>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</si>
  <si>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</si>
  <si>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</si>
  <si>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</si>
  <si>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</si>
  <si>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</si>
  <si>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</si>
  <si>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</si>
  <si>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</si>
  <si>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</si>
  <si>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</si>
  <si>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</si>
  <si>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</si>
  <si>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</si>
  <si>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</si>
  <si>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</si>
  <si>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</si>
  <si>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</si>
  <si>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</si>
  <si>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</si>
  <si>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</si>
  <si>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</si>
  <si>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</si>
  <si>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</si>
  <si>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</si>
  <si>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</si>
  <si>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</si>
  <si>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96 gal cart weekly</t>
  </si>
  <si>
    <t>20A</t>
  </si>
  <si>
    <t>64 gal can week</t>
  </si>
  <si>
    <t>96 gal can weekly</t>
  </si>
  <si>
    <t>Res_Extra_bag/Box</t>
  </si>
  <si>
    <t>Extra_Yards</t>
  </si>
  <si>
    <t>Not on Meeks, Co provided weight</t>
  </si>
  <si>
    <t>1 Can 1/MG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</si>
  <si>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</si>
  <si>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</si>
  <si>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</si>
  <si>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</si>
  <si>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</si>
  <si>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</si>
  <si>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</si>
  <si>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</si>
  <si>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</si>
  <si>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</si>
  <si>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1 Yard - 1st Pickup</t>
  </si>
  <si>
    <t>1 Yard - Special</t>
  </si>
  <si>
    <t>1 Yard - Temporary</t>
  </si>
  <si>
    <t>1.5 Yard - 1st Pickup</t>
  </si>
  <si>
    <t>1.5 - Special</t>
  </si>
  <si>
    <t>1.5 - Temporary</t>
  </si>
  <si>
    <t>2 Yard - 1st Pickup</t>
  </si>
  <si>
    <t>2 Yard - Special</t>
  </si>
  <si>
    <t>2 Yard - Temporary</t>
  </si>
  <si>
    <t>3 Yard - 1st Pickup</t>
  </si>
  <si>
    <t>3 Yard - Special</t>
  </si>
  <si>
    <t xml:space="preserve">3 Yard - Temporary </t>
  </si>
  <si>
    <t>4 Yard - 1st Pickup</t>
  </si>
  <si>
    <t>4 Yard - Special</t>
  </si>
  <si>
    <t>4 Yard - Temporary</t>
  </si>
  <si>
    <t>6 Yard - 1st Pickup</t>
  </si>
  <si>
    <t>8 Yard - 1st Pickup</t>
  </si>
  <si>
    <t xml:space="preserve">8 Yard - Temporary </t>
  </si>
  <si>
    <t>Customer Owned Containers</t>
  </si>
  <si>
    <t>32 gal cart MG (coll provided)</t>
  </si>
  <si>
    <t>Company        Calculated Rate</t>
  </si>
  <si>
    <t>Company    Current Tariff</t>
  </si>
  <si>
    <t>Company Calculated Revenue</t>
  </si>
  <si>
    <t>Columbia Basin LLC</t>
  </si>
  <si>
    <t>300 gallon Cart</t>
  </si>
  <si>
    <t>64-gallon toter-occasional Extra</t>
  </si>
  <si>
    <t>96-gallon toter-occasional Extra</t>
  </si>
  <si>
    <t>"on call" Service</t>
  </si>
  <si>
    <t>300 Gal</t>
  </si>
  <si>
    <t>1.5 - Every Other Week</t>
  </si>
  <si>
    <t>2 Yard -2X Week</t>
  </si>
  <si>
    <t>2 Yard - Every Other Week</t>
  </si>
  <si>
    <t>3 Yard - Every Other Week</t>
  </si>
  <si>
    <t>4 Yard - 2 X Week</t>
  </si>
  <si>
    <t>6 Yard - 5 x Week</t>
  </si>
  <si>
    <t>6 Yard - Every Other Week</t>
  </si>
  <si>
    <t>6 Yard - Temporary</t>
  </si>
  <si>
    <t>8 Yard - 2 x Week</t>
  </si>
  <si>
    <t>8 Yard - Every Other Week</t>
  </si>
  <si>
    <t>32 gal can - Extra</t>
  </si>
  <si>
    <t>32 gal can - Minimun Service</t>
  </si>
  <si>
    <t>Basin Dispsoal, Inc. G-118</t>
  </si>
  <si>
    <t>4 Yard 5 x Week</t>
  </si>
  <si>
    <t>6 Yard 2 x Week</t>
  </si>
  <si>
    <t>6 Yard 3 x Week</t>
  </si>
  <si>
    <t>6 Yard Special</t>
  </si>
  <si>
    <t>8 Yard Special</t>
  </si>
  <si>
    <t>64 gal can special pickup customer owned</t>
  </si>
  <si>
    <t xml:space="preserve">1.5 Yard Compactor </t>
  </si>
  <si>
    <t>1.5 Yard Compactor  Additional Pickup</t>
  </si>
  <si>
    <t>1.5 Yard Compactor Special Pickup</t>
  </si>
  <si>
    <t xml:space="preserve">2 Yard Compactor </t>
  </si>
  <si>
    <t>2 Yard Compactor  Additional Pickup</t>
  </si>
  <si>
    <t>2 Yard Compactor Special Pickup</t>
  </si>
  <si>
    <t xml:space="preserve">3 Yard Compactor </t>
  </si>
  <si>
    <t>3 Yard Compactor  Additional Pickup</t>
  </si>
  <si>
    <t>3 Yard Compactor Special Pickup</t>
  </si>
  <si>
    <t xml:space="preserve">4 Yard Compactor </t>
  </si>
  <si>
    <t>4 Yard Compactor  Additional Pickup</t>
  </si>
  <si>
    <t>4 Yard Compactor Special Pickup</t>
  </si>
  <si>
    <t xml:space="preserve">6 Yard Compactor </t>
  </si>
  <si>
    <t>6 Yard Compactor  Additional Pickup</t>
  </si>
  <si>
    <t>6 Yard Compactor Special Pickup</t>
  </si>
  <si>
    <t xml:space="preserve">8 Yard Compactor </t>
  </si>
  <si>
    <t>8 Yard Compactor  Additional Pickup</t>
  </si>
  <si>
    <t>8 Yard Compactor Special Pickup</t>
  </si>
  <si>
    <t>Basin Disposal, Inc.</t>
  </si>
  <si>
    <t>Calculated Revenue Increase</t>
  </si>
  <si>
    <t>As a result of increased disposal fees.</t>
  </si>
  <si>
    <t>Residential - from calculation worksheet</t>
  </si>
  <si>
    <t>Current</t>
  </si>
  <si>
    <t>Revenue</t>
  </si>
  <si>
    <t xml:space="preserve">Proposed </t>
  </si>
  <si>
    <t xml:space="preserve">Commercial </t>
  </si>
  <si>
    <t>Roll - Off - Tonnage 20,577.42</t>
  </si>
  <si>
    <t>Disposal Rate Per Ton</t>
  </si>
  <si>
    <t>Percentage</t>
  </si>
  <si>
    <t>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</si>
</sst>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 d\,\ yyyy;@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196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Fill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0" fillId="0" borderId="0" xfId="82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43" fontId="0" fillId="36" borderId="4" xfId="0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44" fontId="0" fillId="32" borderId="0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319" applyFont="1" applyBorder="1" applyAlignment="1">
      <alignment horizontal="left"/>
    </xf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43" fontId="0" fillId="0" borderId="4" xfId="82" applyNumberFormat="1" applyFont="1" applyFill="1" applyBorder="1"/>
    <xf numFmtId="166" fontId="0" fillId="0" borderId="4" xfId="82" applyNumberFormat="1" applyFont="1" applyFill="1" applyBorder="1" applyAlignment="1">
      <alignment horizontal="center" wrapText="1"/>
    </xf>
    <xf numFmtId="0" fontId="11" fillId="0" borderId="0" xfId="329" applyFont="1" applyBorder="1"/>
    <xf numFmtId="0" fontId="0" fillId="0" borderId="4" xfId="0" applyFont="1" applyFill="1" applyBorder="1" applyAlignment="1">
      <alignment horizontal="center" vertical="center"/>
    </xf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0" fontId="0" fillId="0" borderId="4" xfId="0" applyFont="1" applyFill="1" applyBorder="1" applyAlignment="1">
      <alignment vertical="center" textRotation="90"/>
    </xf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11" fillId="0" borderId="0" xfId="126" applyFont="1" applyFill="1" applyBorder="1"/>
    <xf numFmtId="3" fontId="12" fillId="0" borderId="0" xfId="200" applyNumberFormat="1" applyFont="1"/>
    <xf numFmtId="0" fontId="0" fillId="0" borderId="0" xfId="0" applyFont="1" applyFill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0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38" borderId="0" xfId="126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3" fontId="11" fillId="39" borderId="0" xfId="200" applyNumberFormat="1" applyFont="1" applyFill="1"/>
    <xf numFmtId="43" fontId="0" fillId="39" borderId="0" xfId="82" applyNumberFormat="1" applyFont="1" applyFill="1" applyBorder="1"/>
    <xf numFmtId="166" fontId="11" fillId="39" borderId="0" xfId="82" applyNumberFormat="1" applyFont="1" applyFill="1"/>
    <xf numFmtId="166" fontId="11" fillId="39" borderId="0" xfId="83" applyNumberFormat="1" applyFont="1" applyFill="1"/>
    <xf numFmtId="166" fontId="0" fillId="39" borderId="0" xfId="82" applyNumberFormat="1" applyFont="1" applyFill="1" applyBorder="1"/>
    <xf numFmtId="166" fontId="0" fillId="39" borderId="0" xfId="82" applyNumberFormat="1" applyFont="1" applyFill="1" applyBorder="1" applyAlignment="1">
      <alignment horizontal="center" wrapText="1"/>
    </xf>
    <xf numFmtId="44" fontId="0" fillId="39" borderId="0" xfId="126" applyFont="1" applyFill="1" applyBorder="1"/>
    <xf numFmtId="44" fontId="11" fillId="39" borderId="0" xfId="126" applyFont="1" applyFill="1" applyBorder="1"/>
    <xf numFmtId="44" fontId="0" fillId="40" borderId="0" xfId="126" applyFont="1" applyFill="1" applyBorder="1"/>
    <xf numFmtId="44" fontId="0" fillId="41" borderId="0" xfId="126" applyFont="1" applyFill="1" applyBorder="1"/>
    <xf numFmtId="3" fontId="11" fillId="42" borderId="0" xfId="200" applyNumberFormat="1" applyFont="1" applyFill="1"/>
    <xf numFmtId="166" fontId="0" fillId="42" borderId="0" xfId="82" applyNumberFormat="1" applyFont="1" applyFill="1" applyBorder="1"/>
    <xf numFmtId="43" fontId="0" fillId="42" borderId="0" xfId="82" applyNumberFormat="1" applyFont="1" applyFill="1" applyBorder="1"/>
    <xf numFmtId="166" fontId="11" fillId="42" borderId="0" xfId="82" applyNumberFormat="1" applyFont="1" applyFill="1"/>
    <xf numFmtId="166" fontId="11" fillId="42" borderId="0" xfId="83" applyNumberFormat="1" applyFont="1" applyFill="1"/>
    <xf numFmtId="166" fontId="0" fillId="42" borderId="0" xfId="82" applyNumberFormat="1" applyFont="1" applyFill="1" applyBorder="1" applyAlignment="1">
      <alignment horizontal="center" wrapText="1"/>
    </xf>
    <xf numFmtId="44" fontId="0" fillId="42" borderId="0" xfId="126" applyFont="1" applyFill="1" applyBorder="1"/>
    <xf numFmtId="44" fontId="11" fillId="42" borderId="0" xfId="126" applyFont="1" applyFill="1" applyBorder="1"/>
    <xf numFmtId="166" fontId="11" fillId="42" borderId="0" xfId="82" applyNumberFormat="1" applyFont="1" applyFill="1" applyBorder="1"/>
    <xf numFmtId="166" fontId="9" fillId="42" borderId="0" xfId="83" applyNumberFormat="1" applyFont="1" applyFill="1"/>
    <xf numFmtId="1" fontId="0" fillId="0" borderId="0" xfId="82" applyNumberFormat="1" applyFont="1" applyBorder="1"/>
    <xf numFmtId="1" fontId="0" fillId="0" borderId="0" xfId="0" applyNumberFormat="1" applyFont="1" applyBorder="1"/>
    <xf numFmtId="1" fontId="0" fillId="39" borderId="0" xfId="0" applyNumberFormat="1" applyFont="1" applyFill="1" applyBorder="1"/>
    <xf numFmtId="1" fontId="0" fillId="42" borderId="0" xfId="82" applyNumberFormat="1" applyFont="1" applyFill="1" applyBorder="1"/>
    <xf numFmtId="0" fontId="60" fillId="0" borderId="0" xfId="0" applyFont="1" applyBorder="1" applyAlignment="1">
      <alignment horizontal="centerContinuous"/>
    </xf>
    <xf numFmtId="166" fontId="60" fillId="0" borderId="0" xfId="82" applyNumberFormat="1" applyFont="1" applyBorder="1" applyAlignment="1">
      <alignment horizontal="centerContinuous"/>
    </xf>
    <xf numFmtId="3" fontId="0" fillId="0" borderId="0" xfId="0" applyNumberFormat="1"/>
    <xf numFmtId="0" fontId="3" fillId="43" borderId="4" xfId="0" applyFont="1" applyFill="1" applyBorder="1"/>
    <xf numFmtId="0" fontId="0" fillId="43" borderId="4" xfId="0" applyFont="1" applyFill="1" applyBorder="1" applyAlignment="1">
      <alignment horizontal="center"/>
    </xf>
    <xf numFmtId="0" fontId="0" fillId="43" borderId="0" xfId="0" applyFont="1" applyFill="1" applyAlignment="1">
      <alignment horizontal="left"/>
    </xf>
    <xf numFmtId="44" fontId="0" fillId="43" borderId="0" xfId="126" applyFont="1" applyFill="1"/>
    <xf numFmtId="44" fontId="0" fillId="43" borderId="4" xfId="126" applyFont="1" applyFill="1" applyBorder="1"/>
    <xf numFmtId="0" fontId="0" fillId="43" borderId="0" xfId="0" applyFont="1" applyFill="1" applyAlignment="1">
      <alignment horizontal="left" indent="1"/>
    </xf>
    <xf numFmtId="10" fontId="0" fillId="0" borderId="0" xfId="0" applyNumberFormat="1"/>
    <xf numFmtId="3" fontId="0" fillId="0" borderId="4" xfId="0" applyNumberFormat="1" applyBorder="1"/>
    <xf numFmtId="10" fontId="0" fillId="0" borderId="4" xfId="0" applyNumberFormat="1" applyBorder="1"/>
    <xf numFmtId="0" fontId="60" fillId="0" borderId="0" xfId="0" applyFont="1" applyAlignment="1">
      <alignment horizontal="centerContinuous"/>
    </xf>
    <xf numFmtId="172" fontId="60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</cellXfs>
  <cellStyles count="390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2" sqref="A2:H66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 ht="18.75">
      <c r="A1" s="175" t="s">
        <v>160</v>
      </c>
      <c r="B1" s="175"/>
      <c r="C1" s="175"/>
      <c r="D1" s="175"/>
      <c r="E1" s="175"/>
      <c r="F1" s="175"/>
      <c r="G1" s="175"/>
      <c r="H1" s="175"/>
    </row>
    <row r="2" spans="1:8">
      <c r="A2" s="190" t="s">
        <v>18</v>
      </c>
      <c r="B2" s="190"/>
      <c r="C2" s="190"/>
      <c r="D2" s="190"/>
      <c r="E2" s="190"/>
      <c r="F2" s="190"/>
      <c r="G2" s="190"/>
      <c r="H2" s="190"/>
    </row>
    <row r="3" spans="1:8">
      <c r="A3" s="3" t="s">
        <v>54</v>
      </c>
      <c r="B3" s="17" t="s">
        <v>40</v>
      </c>
      <c r="C3" s="17" t="s">
        <v>41</v>
      </c>
      <c r="D3" s="17" t="s">
        <v>42</v>
      </c>
      <c r="E3" s="18" t="s">
        <v>45</v>
      </c>
      <c r="F3" s="18" t="s">
        <v>46</v>
      </c>
      <c r="G3" s="18" t="s">
        <v>47</v>
      </c>
      <c r="H3" s="17" t="s">
        <v>50</v>
      </c>
    </row>
    <row r="4" spans="1:8">
      <c r="A4" s="3" t="s">
        <v>51</v>
      </c>
      <c r="B4" s="1">
        <f>ROUND(52*5/12,2)</f>
        <v>21.67</v>
      </c>
      <c r="C4" s="19">
        <f>$B$4*2</f>
        <v>43.34</v>
      </c>
      <c r="D4" s="19">
        <f>$B$4*3</f>
        <v>65.010000000000005</v>
      </c>
      <c r="E4" s="19">
        <f>$B$4*4</f>
        <v>86.68</v>
      </c>
      <c r="F4" s="19">
        <f>$B$4*5</f>
        <v>108.35000000000001</v>
      </c>
      <c r="G4" s="19">
        <f>$B$4*6</f>
        <v>130.02000000000001</v>
      </c>
      <c r="H4" s="19">
        <f>$B$4*7</f>
        <v>151.69</v>
      </c>
    </row>
    <row r="5" spans="1:8">
      <c r="A5" s="3" t="s">
        <v>87</v>
      </c>
      <c r="B5" s="1">
        <f>ROUND(52*4/12,2)</f>
        <v>17.329999999999998</v>
      </c>
      <c r="C5" s="19">
        <f>$B$5*2</f>
        <v>34.659999999999997</v>
      </c>
      <c r="D5" s="19">
        <f>$B$5*3</f>
        <v>51.989999999999995</v>
      </c>
      <c r="E5" s="19">
        <f>$B$5*4</f>
        <v>69.319999999999993</v>
      </c>
      <c r="F5" s="19">
        <f>$B$5*5</f>
        <v>86.649999999999991</v>
      </c>
      <c r="G5" s="19">
        <f>$B$5*6</f>
        <v>103.97999999999999</v>
      </c>
      <c r="H5" s="19">
        <f>$B$5*7</f>
        <v>121.30999999999999</v>
      </c>
    </row>
    <row r="6" spans="1:8">
      <c r="A6" s="3" t="s">
        <v>52</v>
      </c>
      <c r="B6" s="1">
        <f>ROUND(52*3/12,2)</f>
        <v>13</v>
      </c>
      <c r="C6" s="19">
        <f>$B$6*2</f>
        <v>26</v>
      </c>
      <c r="D6" s="19">
        <f>$B$6*3</f>
        <v>39</v>
      </c>
      <c r="E6" s="19">
        <f>$B$6*4</f>
        <v>52</v>
      </c>
      <c r="F6" s="19">
        <f>$B$6*5</f>
        <v>65</v>
      </c>
      <c r="G6" s="19">
        <f>$B$6*6</f>
        <v>78</v>
      </c>
      <c r="H6" s="19">
        <f>$B$6*7</f>
        <v>91</v>
      </c>
    </row>
    <row r="7" spans="1:8">
      <c r="A7" s="3" t="s">
        <v>53</v>
      </c>
      <c r="B7" s="1">
        <f>ROUND(52*2/12,2)</f>
        <v>8.67</v>
      </c>
      <c r="C7" s="20">
        <f>$B$7*2</f>
        <v>17.34</v>
      </c>
      <c r="D7" s="20">
        <f>$B$7*3</f>
        <v>26.009999999999998</v>
      </c>
      <c r="E7" s="20">
        <f>$B$7*4</f>
        <v>34.68</v>
      </c>
      <c r="F7" s="20">
        <f>$B$7*5</f>
        <v>43.35</v>
      </c>
      <c r="G7" s="20">
        <f>$B$7*6</f>
        <v>52.019999999999996</v>
      </c>
      <c r="H7" s="20">
        <f>$B$7*7</f>
        <v>60.69</v>
      </c>
    </row>
    <row r="8" spans="1:8">
      <c r="A8" s="3" t="s">
        <v>21</v>
      </c>
      <c r="B8" s="1">
        <f>ROUND(52/12,2)</f>
        <v>4.33</v>
      </c>
      <c r="C8" s="20">
        <f>$B$8*2</f>
        <v>8.66</v>
      </c>
      <c r="D8" s="20">
        <f>$B$8*3</f>
        <v>12.99</v>
      </c>
      <c r="E8" s="20">
        <f>$B$8*4</f>
        <v>17.32</v>
      </c>
      <c r="F8" s="20">
        <f>$B$8*5</f>
        <v>21.65</v>
      </c>
      <c r="G8" s="20">
        <f>$B$8*6</f>
        <v>25.98</v>
      </c>
      <c r="H8" s="20">
        <f>$B$8*7</f>
        <v>30.310000000000002</v>
      </c>
    </row>
    <row r="9" spans="1:8">
      <c r="A9" s="3" t="s">
        <v>23</v>
      </c>
      <c r="B9" s="1">
        <f>ROUND(26/12,2)</f>
        <v>2.17</v>
      </c>
      <c r="C9" s="20">
        <f>$B$9*2</f>
        <v>4.34</v>
      </c>
      <c r="D9" s="20">
        <f>$B$9*3</f>
        <v>6.51</v>
      </c>
      <c r="E9" s="20">
        <f>$B$9*4</f>
        <v>8.68</v>
      </c>
      <c r="F9" s="20">
        <f>$B$9*5</f>
        <v>10.85</v>
      </c>
      <c r="G9" s="20">
        <f>$B$9*6</f>
        <v>13.02</v>
      </c>
      <c r="H9" s="20">
        <f>$B$9*7</f>
        <v>15.19</v>
      </c>
    </row>
    <row r="10" spans="1:8">
      <c r="A10" s="3" t="s">
        <v>22</v>
      </c>
      <c r="B10" s="1">
        <f>12/12</f>
        <v>1</v>
      </c>
      <c r="C10" s="20">
        <f>$B$10*2</f>
        <v>2</v>
      </c>
      <c r="D10" s="20">
        <f>$B$10*3</f>
        <v>3</v>
      </c>
      <c r="E10" s="20">
        <f>$B$10*4</f>
        <v>4</v>
      </c>
      <c r="F10" s="20">
        <f>$B$10*5</f>
        <v>5</v>
      </c>
      <c r="G10" s="20">
        <f>$B$10*6</f>
        <v>6</v>
      </c>
      <c r="H10" s="20">
        <f>$B$10*7</f>
        <v>7</v>
      </c>
    </row>
    <row r="11" spans="1:8">
      <c r="B11" s="1"/>
      <c r="C11" s="20"/>
      <c r="D11" s="20"/>
      <c r="E11" s="20"/>
      <c r="F11" s="20"/>
      <c r="G11" s="20"/>
      <c r="H11" s="20"/>
    </row>
    <row r="12" spans="1:8">
      <c r="A12" s="190" t="s">
        <v>10</v>
      </c>
      <c r="B12" s="190"/>
      <c r="C12" s="20"/>
      <c r="D12" s="20"/>
      <c r="E12" s="20"/>
      <c r="F12" s="20"/>
      <c r="G12" s="20"/>
      <c r="H12" s="20"/>
    </row>
    <row r="13" spans="1:8">
      <c r="A13" s="2" t="s">
        <v>49</v>
      </c>
      <c r="B13" s="30" t="s">
        <v>79</v>
      </c>
      <c r="C13" s="20"/>
      <c r="D13" s="20"/>
      <c r="E13" s="20"/>
      <c r="F13" s="20"/>
      <c r="G13" s="20"/>
      <c r="H13" s="20"/>
    </row>
    <row r="14" spans="1:8">
      <c r="A14" s="21" t="s">
        <v>80</v>
      </c>
      <c r="B14" s="13">
        <v>20</v>
      </c>
      <c r="C14" s="20"/>
      <c r="D14" s="20"/>
      <c r="E14" s="20"/>
      <c r="F14" s="20"/>
      <c r="G14" s="20"/>
      <c r="H14" s="20"/>
    </row>
    <row r="15" spans="1:8">
      <c r="A15" s="21" t="s">
        <v>55</v>
      </c>
      <c r="B15" s="13">
        <v>34</v>
      </c>
      <c r="C15" s="20"/>
      <c r="D15" s="20"/>
      <c r="E15" s="20"/>
      <c r="F15" s="20"/>
      <c r="G15" s="20"/>
      <c r="H15" s="20"/>
    </row>
    <row r="16" spans="1:8">
      <c r="A16" s="21" t="s">
        <v>56</v>
      </c>
      <c r="B16" s="13">
        <v>51</v>
      </c>
      <c r="C16" s="20"/>
      <c r="D16" s="20"/>
      <c r="E16" s="20"/>
      <c r="F16" s="20"/>
      <c r="G16" s="20"/>
      <c r="H16" s="20"/>
    </row>
    <row r="17" spans="1:8">
      <c r="A17" s="21" t="s">
        <v>57</v>
      </c>
      <c r="B17" s="13">
        <v>77</v>
      </c>
      <c r="C17" s="20"/>
      <c r="D17" s="20"/>
      <c r="E17" s="20"/>
      <c r="F17" s="3" t="s">
        <v>19</v>
      </c>
      <c r="G17" s="13">
        <v>2000</v>
      </c>
      <c r="H17" s="20"/>
    </row>
    <row r="18" spans="1:8">
      <c r="A18" s="21" t="s">
        <v>58</v>
      </c>
      <c r="B18" s="13">
        <v>97</v>
      </c>
      <c r="C18" s="20"/>
      <c r="D18" s="20"/>
      <c r="E18" s="20"/>
      <c r="F18" s="3" t="s">
        <v>20</v>
      </c>
      <c r="G18" s="22" t="s">
        <v>43</v>
      </c>
      <c r="H18" s="20"/>
    </row>
    <row r="19" spans="1:8">
      <c r="A19" s="21" t="s">
        <v>59</v>
      </c>
      <c r="B19" s="13">
        <v>117</v>
      </c>
      <c r="C19" s="20"/>
      <c r="D19" s="20"/>
      <c r="E19" s="20"/>
      <c r="H19" s="20"/>
    </row>
    <row r="20" spans="1:8">
      <c r="A20" s="21" t="s">
        <v>60</v>
      </c>
      <c r="B20" s="13">
        <v>157</v>
      </c>
      <c r="C20" s="20"/>
      <c r="D20" s="20"/>
      <c r="E20" s="20"/>
      <c r="F20" s="15"/>
      <c r="G20" s="16"/>
      <c r="H20" s="20"/>
    </row>
    <row r="21" spans="1:8">
      <c r="A21" s="21" t="s">
        <v>96</v>
      </c>
      <c r="B21" s="13">
        <v>37</v>
      </c>
      <c r="C21" s="20" t="s">
        <v>81</v>
      </c>
      <c r="D21" s="20"/>
      <c r="E21" s="20"/>
      <c r="F21" s="15"/>
      <c r="G21" s="16"/>
      <c r="H21" s="20"/>
    </row>
    <row r="22" spans="1:8">
      <c r="A22" s="21" t="s">
        <v>61</v>
      </c>
      <c r="B22" s="13">
        <v>47</v>
      </c>
      <c r="C22" s="20"/>
      <c r="D22" s="20"/>
      <c r="E22" s="20"/>
      <c r="F22" s="20"/>
      <c r="G22" s="20"/>
      <c r="H22" s="20"/>
    </row>
    <row r="23" spans="1:8">
      <c r="A23" s="21" t="s">
        <v>62</v>
      </c>
      <c r="B23" s="13">
        <v>68</v>
      </c>
      <c r="C23" s="20"/>
      <c r="D23" s="20"/>
      <c r="E23" s="20"/>
      <c r="F23" s="20"/>
      <c r="G23" s="20"/>
      <c r="H23" s="20"/>
    </row>
    <row r="24" spans="1:8">
      <c r="A24" s="21" t="s">
        <v>63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1" t="s">
        <v>31</v>
      </c>
      <c r="B25" s="13">
        <v>34</v>
      </c>
      <c r="C25" s="20"/>
      <c r="D25" s="20"/>
      <c r="E25" s="20"/>
      <c r="F25" s="20"/>
      <c r="G25" s="20"/>
      <c r="H25" s="20"/>
    </row>
    <row r="26" spans="1:8">
      <c r="A26" s="2" t="s">
        <v>64</v>
      </c>
      <c r="B26" s="13"/>
      <c r="C26" s="20"/>
      <c r="D26" s="20"/>
      <c r="E26" s="20"/>
      <c r="F26" s="20"/>
      <c r="G26" s="20"/>
      <c r="H26" s="20"/>
    </row>
    <row r="27" spans="1:8">
      <c r="A27" s="21" t="s">
        <v>65</v>
      </c>
      <c r="B27" s="13">
        <v>29</v>
      </c>
      <c r="C27" s="20"/>
      <c r="D27" s="20"/>
      <c r="E27" s="20"/>
      <c r="F27" s="20"/>
      <c r="G27" s="20"/>
      <c r="H27" s="20"/>
    </row>
    <row r="28" spans="1:8">
      <c r="A28" s="21" t="s">
        <v>66</v>
      </c>
      <c r="B28" s="13">
        <v>175</v>
      </c>
      <c r="C28" s="20"/>
      <c r="D28" s="20"/>
      <c r="E28" s="20"/>
      <c r="F28" s="20"/>
      <c r="G28" s="20"/>
      <c r="H28" s="20"/>
    </row>
    <row r="29" spans="1:8">
      <c r="A29" s="21" t="s">
        <v>67</v>
      </c>
      <c r="B29" s="13">
        <v>250</v>
      </c>
      <c r="C29" s="20"/>
      <c r="D29" s="20"/>
      <c r="E29" s="20"/>
      <c r="F29" s="20"/>
      <c r="G29" s="20"/>
      <c r="H29" s="20"/>
    </row>
    <row r="30" spans="1:8">
      <c r="A30" s="21" t="s">
        <v>68</v>
      </c>
      <c r="B30" s="13">
        <v>324</v>
      </c>
      <c r="C30" s="20"/>
      <c r="D30" s="20"/>
      <c r="E30" s="20"/>
      <c r="F30" s="20"/>
      <c r="G30" s="20"/>
      <c r="H30" s="20"/>
    </row>
    <row r="31" spans="1:8">
      <c r="A31" s="21" t="s">
        <v>69</v>
      </c>
      <c r="B31" s="13">
        <v>473</v>
      </c>
      <c r="C31" s="20"/>
      <c r="D31" s="20"/>
      <c r="E31" s="20"/>
      <c r="F31" s="20"/>
      <c r="G31" s="20"/>
      <c r="H31" s="20"/>
    </row>
    <row r="32" spans="1:8">
      <c r="A32" s="21" t="s">
        <v>70</v>
      </c>
      <c r="B32" s="13">
        <v>613</v>
      </c>
      <c r="C32" s="20"/>
      <c r="D32" s="20"/>
      <c r="E32" s="20"/>
      <c r="F32" s="20"/>
      <c r="G32" s="20"/>
      <c r="H32" s="20"/>
    </row>
    <row r="33" spans="1:8">
      <c r="A33" s="21" t="s">
        <v>71</v>
      </c>
      <c r="B33" s="13">
        <v>840</v>
      </c>
      <c r="C33" s="20"/>
      <c r="D33" s="20"/>
      <c r="E33" s="20"/>
      <c r="F33" s="20"/>
      <c r="G33" s="20"/>
      <c r="H33" s="20"/>
    </row>
    <row r="34" spans="1:8">
      <c r="A34" s="21" t="s">
        <v>72</v>
      </c>
      <c r="B34" s="13">
        <v>980</v>
      </c>
      <c r="C34" s="20"/>
      <c r="D34" s="20"/>
      <c r="E34" s="20"/>
      <c r="F34" s="20"/>
      <c r="G34" s="20"/>
      <c r="H34" s="20"/>
    </row>
    <row r="35" spans="1:8">
      <c r="A35" s="21" t="s">
        <v>88</v>
      </c>
      <c r="B35" s="13">
        <v>482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89</v>
      </c>
      <c r="B36" s="13">
        <v>689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74</v>
      </c>
      <c r="B37" s="13">
        <v>892</v>
      </c>
      <c r="C37" s="20" t="s">
        <v>81</v>
      </c>
      <c r="D37" s="20"/>
      <c r="E37" s="20"/>
      <c r="F37" s="20"/>
      <c r="G37" s="20"/>
      <c r="H37" s="20"/>
    </row>
    <row r="38" spans="1:8">
      <c r="A38" s="21" t="s">
        <v>73</v>
      </c>
      <c r="B38" s="13">
        <v>1301</v>
      </c>
      <c r="C38" s="20"/>
      <c r="D38" s="20"/>
      <c r="E38" s="20"/>
      <c r="F38" s="20"/>
      <c r="G38" s="20"/>
      <c r="H38" s="20"/>
    </row>
    <row r="39" spans="1:8">
      <c r="A39" s="21" t="s">
        <v>75</v>
      </c>
      <c r="B39" s="13">
        <v>1686</v>
      </c>
      <c r="C39" s="20"/>
      <c r="D39" s="20"/>
      <c r="E39" s="20"/>
      <c r="F39" s="20"/>
      <c r="G39" s="20"/>
      <c r="H39" s="20"/>
    </row>
    <row r="40" spans="1:8">
      <c r="A40" s="21" t="s">
        <v>76</v>
      </c>
      <c r="B40" s="13">
        <v>2046</v>
      </c>
      <c r="C40" s="20"/>
      <c r="D40" s="20"/>
      <c r="E40" s="20"/>
      <c r="F40" s="20"/>
      <c r="G40" s="20"/>
      <c r="H40" s="20"/>
    </row>
    <row r="41" spans="1:8">
      <c r="A41" s="21" t="s">
        <v>77</v>
      </c>
      <c r="B41" s="13">
        <v>2310</v>
      </c>
      <c r="C41" s="20"/>
      <c r="D41" s="20"/>
      <c r="E41" s="20"/>
      <c r="F41" s="20"/>
      <c r="G41" s="20"/>
      <c r="H41" s="20"/>
    </row>
    <row r="42" spans="1:8">
      <c r="A42" s="21" t="s">
        <v>90</v>
      </c>
      <c r="B42" s="13">
        <v>2800</v>
      </c>
      <c r="C42" s="20" t="s">
        <v>81</v>
      </c>
      <c r="D42" s="20"/>
      <c r="E42" s="20"/>
      <c r="F42" s="20"/>
      <c r="G42" s="20"/>
      <c r="H42" s="20"/>
    </row>
    <row r="43" spans="1:8">
      <c r="A43" s="21" t="s">
        <v>78</v>
      </c>
      <c r="B43" s="13">
        <v>125</v>
      </c>
      <c r="C43" s="20"/>
      <c r="D43" s="20"/>
      <c r="E43" s="20"/>
      <c r="F43" s="20"/>
      <c r="G43" s="20"/>
      <c r="H43" s="20"/>
    </row>
    <row r="44" spans="1:8">
      <c r="B44" s="192" t="s">
        <v>92</v>
      </c>
      <c r="C44" s="192"/>
    </row>
    <row r="47" spans="1:8">
      <c r="A47" s="29" t="s">
        <v>142</v>
      </c>
      <c r="B47" s="27" t="s">
        <v>5</v>
      </c>
      <c r="C47" s="27" t="s">
        <v>6</v>
      </c>
      <c r="F47" s="191" t="s">
        <v>26</v>
      </c>
      <c r="G47" s="191"/>
    </row>
    <row r="48" spans="1:8">
      <c r="A48" s="23" t="s">
        <v>7</v>
      </c>
      <c r="B48" s="6">
        <v>39.04</v>
      </c>
      <c r="C48" s="5">
        <f>B48/2000</f>
        <v>1.9519999999999999E-2</v>
      </c>
      <c r="F48" s="3" t="s">
        <v>27</v>
      </c>
      <c r="G48" s="9">
        <f>0.015</f>
        <v>1.4999999999999999E-2</v>
      </c>
    </row>
    <row r="49" spans="1:7">
      <c r="A49" s="23" t="s">
        <v>8</v>
      </c>
      <c r="B49" s="7">
        <v>46.25</v>
      </c>
      <c r="C49" s="8">
        <f>B49/2000</f>
        <v>2.3125E-2</v>
      </c>
      <c r="F49" s="3" t="s">
        <v>28</v>
      </c>
      <c r="G49" s="10">
        <f>0.004</f>
        <v>4.0000000000000001E-3</v>
      </c>
    </row>
    <row r="50" spans="1:7">
      <c r="A50" s="21" t="s">
        <v>9</v>
      </c>
      <c r="B50" s="6">
        <f>B49-B48</f>
        <v>7.2100000000000009</v>
      </c>
      <c r="C50" s="12">
        <f>C49-C48</f>
        <v>3.6050000000000006E-3</v>
      </c>
      <c r="F50" s="3" t="s">
        <v>48</v>
      </c>
      <c r="G50" s="11"/>
    </row>
    <row r="51" spans="1:7">
      <c r="F51" s="3" t="s">
        <v>16</v>
      </c>
      <c r="G51" s="24">
        <f>SUM(G48:G50)</f>
        <v>1.9E-2</v>
      </c>
    </row>
    <row r="52" spans="1:7">
      <c r="B52" s="28" t="s">
        <v>93</v>
      </c>
    </row>
    <row r="53" spans="1:7">
      <c r="A53" s="3" t="s">
        <v>3</v>
      </c>
      <c r="B53" s="25">
        <f>B50</f>
        <v>7.2100000000000009</v>
      </c>
      <c r="F53" s="3" t="s">
        <v>29</v>
      </c>
      <c r="G53" s="26">
        <f>1-G51</f>
        <v>0.98099999999999998</v>
      </c>
    </row>
    <row r="54" spans="1:7">
      <c r="A54" s="3" t="s">
        <v>25</v>
      </c>
      <c r="B54" s="25">
        <f>B53/$G$53</f>
        <v>7.3496432212028555</v>
      </c>
    </row>
    <row r="55" spans="1:7">
      <c r="A55" s="3" t="s">
        <v>24</v>
      </c>
      <c r="B55" s="14">
        <f>Calculations!D115</f>
        <v>13992.43</v>
      </c>
    </row>
    <row r="56" spans="1:7">
      <c r="A56" s="2" t="s">
        <v>30</v>
      </c>
      <c r="B56" s="4">
        <f>B54*B55</f>
        <v>102839.36829765547</v>
      </c>
    </row>
    <row r="59" spans="1:7" ht="15.75" thickBot="1"/>
    <row r="60" spans="1:7">
      <c r="A60" s="93" t="s">
        <v>84</v>
      </c>
      <c r="B60" s="94" t="s">
        <v>82</v>
      </c>
      <c r="D60" s="25"/>
    </row>
    <row r="61" spans="1:7">
      <c r="A61" s="95" t="s">
        <v>83</v>
      </c>
      <c r="B61" s="96">
        <f>+Calculations!Q51</f>
        <v>103022.37765206385</v>
      </c>
    </row>
    <row r="62" spans="1:7">
      <c r="A62" s="95" t="s">
        <v>12</v>
      </c>
      <c r="B62" s="96">
        <f>B61-B56</f>
        <v>183.00935440837929</v>
      </c>
    </row>
    <row r="63" spans="1:7">
      <c r="A63" s="95"/>
      <c r="B63" s="97"/>
    </row>
    <row r="64" spans="1:7">
      <c r="A64" s="98" t="s">
        <v>85</v>
      </c>
      <c r="B64" s="99" t="s">
        <v>82</v>
      </c>
    </row>
    <row r="65" spans="1:3">
      <c r="A65" s="95" t="s">
        <v>44</v>
      </c>
      <c r="B65" s="100">
        <f>Calculations!Q51</f>
        <v>103022.37765206385</v>
      </c>
    </row>
    <row r="66" spans="1:3" ht="15.75" thickBot="1">
      <c r="A66" s="101" t="s">
        <v>12</v>
      </c>
      <c r="B66" s="102">
        <f>B65-B56</f>
        <v>183.00935440837929</v>
      </c>
      <c r="C66" s="25">
        <f>B62-B66</f>
        <v>0</v>
      </c>
    </row>
  </sheetData>
  <mergeCells count="4">
    <mergeCell ref="A2:H2"/>
    <mergeCell ref="F47:G47"/>
    <mergeCell ref="A12:B12"/>
    <mergeCell ref="B44:C44"/>
  </mergeCells>
  <phoneticPr fontId="0" type="noConversion"/>
  <pageMargins left="0.28000000000000003" right="0.52" top="0.75" bottom="0.75" header="0.3" footer="0.3"/>
  <pageSetup scale="70" orientation="portrait" r:id="rId1"/>
  <headerFooter>
    <oddHeader>&amp;C&amp;12Disposal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K31" sqref="K31"/>
    </sheetView>
  </sheetViews>
  <sheetFormatPr defaultColWidth="8.85546875" defaultRowHeight="15"/>
  <cols>
    <col min="1" max="1" width="4.5703125" style="59" customWidth="1"/>
    <col min="2" max="2" width="10.85546875" style="63" bestFit="1" customWidth="1"/>
    <col min="3" max="3" width="40.28515625" style="59" customWidth="1"/>
    <col min="4" max="4" width="18.85546875" style="60" bestFit="1" customWidth="1"/>
    <col min="5" max="5" width="10.42578125" style="59" bestFit="1" customWidth="1"/>
    <col min="6" max="6" width="14" style="59" bestFit="1" customWidth="1"/>
    <col min="7" max="7" width="15.140625" style="59" customWidth="1"/>
    <col min="8" max="8" width="21.42578125" style="59" customWidth="1"/>
    <col min="9" max="9" width="16.28515625" style="58" customWidth="1"/>
    <col min="10" max="11" width="12.28515625" style="59" customWidth="1"/>
    <col min="12" max="12" width="10.7109375" style="59" customWidth="1"/>
    <col min="13" max="13" width="16.5703125" style="59" customWidth="1"/>
    <col min="14" max="14" width="15.42578125" style="59" customWidth="1"/>
    <col min="15" max="16" width="17.7109375" style="59" bestFit="1" customWidth="1"/>
    <col min="17" max="17" width="16" style="59" customWidth="1"/>
    <col min="18" max="16384" width="8.85546875" style="59"/>
  </cols>
  <sheetData>
    <row r="1" spans="1:19" ht="18.75">
      <c r="A1" s="175" t="s">
        <v>160</v>
      </c>
      <c r="B1" s="175"/>
      <c r="C1" s="175"/>
      <c r="D1" s="175"/>
      <c r="E1" s="175"/>
      <c r="F1" s="175"/>
      <c r="G1" s="175"/>
      <c r="H1" s="175"/>
      <c r="I1" s="176"/>
      <c r="J1" s="175"/>
      <c r="K1" s="175"/>
      <c r="L1" s="175"/>
      <c r="M1" s="175"/>
      <c r="N1" s="175"/>
      <c r="O1" s="175"/>
      <c r="P1" s="175"/>
      <c r="Q1" s="175"/>
    </row>
    <row r="2" spans="1:19" ht="45">
      <c r="A2" s="29"/>
      <c r="B2" s="83" t="s">
        <v>15</v>
      </c>
      <c r="C2" s="84" t="s">
        <v>17</v>
      </c>
      <c r="D2" s="83" t="s">
        <v>37</v>
      </c>
      <c r="E2" s="83" t="s">
        <v>0</v>
      </c>
      <c r="F2" s="29" t="s">
        <v>1</v>
      </c>
      <c r="G2" s="83" t="s">
        <v>10</v>
      </c>
      <c r="H2" s="83" t="s">
        <v>34</v>
      </c>
      <c r="I2" s="112" t="s">
        <v>35</v>
      </c>
      <c r="J2" s="111" t="s">
        <v>9</v>
      </c>
      <c r="K2" s="83" t="s">
        <v>2</v>
      </c>
      <c r="L2" s="83" t="s">
        <v>38</v>
      </c>
      <c r="M2" s="83" t="s">
        <v>140</v>
      </c>
      <c r="N2" s="83" t="s">
        <v>139</v>
      </c>
      <c r="O2" s="83" t="s">
        <v>36</v>
      </c>
      <c r="P2" s="83" t="s">
        <v>141</v>
      </c>
      <c r="Q2" s="83" t="s">
        <v>39</v>
      </c>
    </row>
    <row r="3" spans="1:19" s="61" customFormat="1" ht="15" customHeight="1">
      <c r="A3" s="195" t="s">
        <v>13</v>
      </c>
      <c r="B3" s="117"/>
      <c r="S3" s="52"/>
    </row>
    <row r="4" spans="1:19" s="61" customFormat="1">
      <c r="A4" s="194"/>
      <c r="B4" s="49">
        <v>22</v>
      </c>
      <c r="C4" s="46" t="s">
        <v>100</v>
      </c>
      <c r="D4" s="118">
        <v>28</v>
      </c>
      <c r="E4" s="71">
        <f>References!$B$8</f>
        <v>4.33</v>
      </c>
      <c r="F4" s="70">
        <f t="shared" ref="F4:F7" si="0">D4*E4*12</f>
        <v>1454.88</v>
      </c>
      <c r="G4" s="140">
        <f>References!B15</f>
        <v>34</v>
      </c>
      <c r="H4" s="70">
        <f t="shared" ref="H4:H7" si="1">F4*G4</f>
        <v>49465.920000000006</v>
      </c>
      <c r="I4" s="48">
        <f>$D$118*H4</f>
        <v>39722.755493118668</v>
      </c>
      <c r="J4" s="69">
        <f>(References!$C$50*I4)</f>
        <v>143.20053355269283</v>
      </c>
      <c r="K4" s="69">
        <f>J4/References!$G$53</f>
        <v>145.97404031874908</v>
      </c>
      <c r="L4" s="69">
        <f>K4/F4*E4</f>
        <v>0.43444654856770554</v>
      </c>
      <c r="M4" s="120">
        <v>18</v>
      </c>
      <c r="N4" s="149">
        <f>L4+M4</f>
        <v>18.434446548567706</v>
      </c>
      <c r="O4" s="69">
        <f>D4*M4*12</f>
        <v>6048</v>
      </c>
      <c r="P4" s="69">
        <f>D4*N4*12</f>
        <v>6193.9740403187498</v>
      </c>
      <c r="Q4" s="72">
        <f t="shared" ref="Q4:Q7" si="2">+P4-O4</f>
        <v>145.97404031874976</v>
      </c>
      <c r="S4" s="52"/>
    </row>
    <row r="5" spans="1:19" s="61" customFormat="1">
      <c r="A5" s="194"/>
      <c r="B5" s="49">
        <v>22</v>
      </c>
      <c r="C5" s="46" t="s">
        <v>99</v>
      </c>
      <c r="D5" s="118">
        <v>690</v>
      </c>
      <c r="E5" s="71">
        <f>References!$B$8</f>
        <v>4.33</v>
      </c>
      <c r="F5" s="70">
        <f>D5*E5*12</f>
        <v>35852.400000000001</v>
      </c>
      <c r="G5" s="140">
        <f>References!B22</f>
        <v>47</v>
      </c>
      <c r="H5" s="70">
        <f>F5*G5</f>
        <v>1685062.8</v>
      </c>
      <c r="I5" s="48">
        <f>$D$118*H5</f>
        <v>1353160.6729431073</v>
      </c>
      <c r="J5" s="69">
        <f>(References!$C$50*I5)</f>
        <v>4878.1442259599025</v>
      </c>
      <c r="K5" s="69">
        <f>J5/References!$G$53</f>
        <v>4972.6240835473018</v>
      </c>
      <c r="L5" s="69">
        <f>K5/F5*E5</f>
        <v>0.60055846419653403</v>
      </c>
      <c r="M5" s="120">
        <v>17.25</v>
      </c>
      <c r="N5" s="149">
        <f>L5+M5</f>
        <v>17.850558464196535</v>
      </c>
      <c r="O5" s="69">
        <f>D5*M5*12</f>
        <v>142830</v>
      </c>
      <c r="P5" s="69">
        <f>D5*N5*12</f>
        <v>147802.6240835473</v>
      </c>
      <c r="Q5" s="72">
        <f>+P5-O5</f>
        <v>4972.6240835473</v>
      </c>
      <c r="S5" s="52"/>
    </row>
    <row r="6" spans="1:19" s="61" customFormat="1">
      <c r="A6" s="194"/>
      <c r="B6" s="49" t="s">
        <v>102</v>
      </c>
      <c r="C6" s="139" t="s">
        <v>105</v>
      </c>
      <c r="D6" s="70">
        <v>153</v>
      </c>
      <c r="E6" s="71">
        <f>References!B10</f>
        <v>1</v>
      </c>
      <c r="F6" s="70">
        <f>E6*12</f>
        <v>12</v>
      </c>
      <c r="G6" s="70">
        <f>References!B25</f>
        <v>34</v>
      </c>
      <c r="H6" s="70">
        <f>F6*G6</f>
        <v>408</v>
      </c>
      <c r="I6" s="48">
        <f>$D$118*H6</f>
        <v>327.63737622169793</v>
      </c>
      <c r="J6" s="69">
        <f>(References!$C$50*I6)</f>
        <v>1.1811327412792212</v>
      </c>
      <c r="K6" s="69">
        <f>J6/References!$G$53</f>
        <v>1.2040089105802458</v>
      </c>
      <c r="L6" s="69">
        <f>K6/F6*E6</f>
        <v>0.10033407588168715</v>
      </c>
      <c r="M6" s="92">
        <v>2.75</v>
      </c>
      <c r="N6" s="149">
        <f>L6+M6</f>
        <v>2.8503340758816873</v>
      </c>
      <c r="O6" s="69">
        <f>D6*M6*12</f>
        <v>5049</v>
      </c>
      <c r="P6" s="69">
        <f>D6*N6*12</f>
        <v>5233.2133633187777</v>
      </c>
      <c r="Q6" s="72">
        <f>+P6-O6</f>
        <v>184.21336331877774</v>
      </c>
      <c r="S6" s="52"/>
    </row>
    <row r="7" spans="1:19" s="61" customFormat="1">
      <c r="A7" s="194"/>
      <c r="B7" s="49">
        <v>22</v>
      </c>
      <c r="C7" s="46" t="s">
        <v>101</v>
      </c>
      <c r="D7" s="118">
        <v>5113</v>
      </c>
      <c r="E7" s="71">
        <f>References!$B$8</f>
        <v>4.33</v>
      </c>
      <c r="F7" s="70">
        <f t="shared" si="0"/>
        <v>265671.48</v>
      </c>
      <c r="G7" s="140">
        <f>References!B23</f>
        <v>68</v>
      </c>
      <c r="H7" s="70">
        <f t="shared" si="1"/>
        <v>18065660.640000001</v>
      </c>
      <c r="I7" s="48">
        <f>$D$118*H7</f>
        <v>14507317.774022551</v>
      </c>
      <c r="J7" s="69">
        <f>(References!$C$50*I7)</f>
        <v>52298.880575351308</v>
      </c>
      <c r="K7" s="69">
        <f>J7/References!$G$53</f>
        <v>53311.804867840277</v>
      </c>
      <c r="L7" s="69">
        <f>K7/F7*E7</f>
        <v>0.86889309713541107</v>
      </c>
      <c r="M7" s="120">
        <v>21.25</v>
      </c>
      <c r="N7" s="149">
        <f t="shared" ref="N7:N34" si="3">L7+M7</f>
        <v>22.118893097135413</v>
      </c>
      <c r="O7" s="69">
        <f>D7*M7*12</f>
        <v>1303815</v>
      </c>
      <c r="P7" s="69">
        <f>D7*N7*12</f>
        <v>1357126.8048678404</v>
      </c>
      <c r="Q7" s="72">
        <f t="shared" si="2"/>
        <v>53311.804867840372</v>
      </c>
      <c r="S7" s="52"/>
    </row>
    <row r="8" spans="1:19" s="61" customFormat="1">
      <c r="A8" s="194"/>
      <c r="B8" s="49"/>
      <c r="C8" s="121"/>
      <c r="D8" s="122"/>
      <c r="E8" s="116"/>
      <c r="F8" s="70"/>
      <c r="G8" s="119"/>
      <c r="H8" s="70"/>
      <c r="I8" s="48"/>
      <c r="J8" s="69"/>
      <c r="K8" s="69"/>
      <c r="L8" s="69"/>
      <c r="M8" s="120"/>
      <c r="N8" s="69"/>
      <c r="O8" s="69"/>
      <c r="P8" s="69"/>
      <c r="Q8" s="72"/>
    </row>
    <row r="9" spans="1:19" s="61" customFormat="1">
      <c r="A9" s="50"/>
      <c r="B9" s="85"/>
      <c r="C9" s="51" t="s">
        <v>16</v>
      </c>
      <c r="D9" s="53">
        <f>SUM(D4:D8)</f>
        <v>5984</v>
      </c>
      <c r="E9" s="54"/>
      <c r="F9" s="53">
        <f>SUM(F4:F8)</f>
        <v>302990.76</v>
      </c>
      <c r="G9" s="55"/>
      <c r="H9" s="53">
        <f>SUM(H4:H8)</f>
        <v>19800597.359999999</v>
      </c>
      <c r="I9" s="53">
        <f>SUM(I4:I8)</f>
        <v>15900528.839834999</v>
      </c>
      <c r="J9" s="74"/>
      <c r="K9" s="74"/>
      <c r="L9" s="74"/>
      <c r="M9" s="74"/>
      <c r="N9" s="74"/>
      <c r="O9" s="53">
        <f>SUM(O4:O8)</f>
        <v>1457742</v>
      </c>
      <c r="P9" s="53">
        <f>SUM(P4:P8)</f>
        <v>1516356.6163550252</v>
      </c>
      <c r="Q9" s="53">
        <f>SUM(Q4:Q8)</f>
        <v>58614.616355025202</v>
      </c>
    </row>
    <row r="10" spans="1:19" s="61" customFormat="1" ht="15" customHeight="1">
      <c r="A10" s="195" t="s">
        <v>14</v>
      </c>
      <c r="B10" s="49"/>
      <c r="C10" s="123"/>
      <c r="D10" s="58"/>
      <c r="E10" s="71"/>
      <c r="F10" s="124"/>
      <c r="G10" s="140"/>
      <c r="H10" s="70"/>
      <c r="I10" s="48"/>
      <c r="J10" s="69"/>
      <c r="K10" s="69"/>
      <c r="L10" s="69"/>
      <c r="M10" s="69"/>
      <c r="N10" s="149"/>
      <c r="O10" s="69"/>
      <c r="P10" s="69"/>
      <c r="Q10" s="72"/>
      <c r="S10" s="52"/>
    </row>
    <row r="11" spans="1:19" s="61" customFormat="1">
      <c r="A11" s="194"/>
      <c r="B11" s="49">
        <v>31</v>
      </c>
      <c r="C11" s="123" t="s">
        <v>104</v>
      </c>
      <c r="D11" s="172">
        <v>431</v>
      </c>
      <c r="E11" s="71">
        <f>+References!B8</f>
        <v>4.33</v>
      </c>
      <c r="F11" s="70">
        <f>D11*E11*12</f>
        <v>22394.760000000002</v>
      </c>
      <c r="G11" s="140">
        <f>References!B23</f>
        <v>68</v>
      </c>
      <c r="H11" s="109">
        <f>F11*G11</f>
        <v>1522843.6800000002</v>
      </c>
      <c r="I11" s="48">
        <f>$D$118*H11</f>
        <v>1222893.4012524388</v>
      </c>
      <c r="J11" s="69">
        <f>(References!$C$50*I11)</f>
        <v>4408.5307115150426</v>
      </c>
      <c r="K11" s="69">
        <f>J11/References!$G$53</f>
        <v>4493.9150983843456</v>
      </c>
      <c r="L11" s="69">
        <f>K11/F11</f>
        <v>0.20066815176337435</v>
      </c>
      <c r="M11" s="92">
        <v>7</v>
      </c>
      <c r="N11" s="149">
        <f t="shared" si="3"/>
        <v>7.2006681517633746</v>
      </c>
      <c r="O11" s="69">
        <f>F11*M11</f>
        <v>156763.32</v>
      </c>
      <c r="P11" s="69">
        <f>F11*N11</f>
        <v>161257.23509838438</v>
      </c>
      <c r="Q11" s="72">
        <f t="shared" ref="Q11:Q44" si="4">+P11-O11</f>
        <v>4493.915098384372</v>
      </c>
      <c r="S11" s="52"/>
    </row>
    <row r="12" spans="1:19" s="61" customFormat="1">
      <c r="A12" s="194"/>
      <c r="B12" s="49">
        <v>31</v>
      </c>
      <c r="C12" s="123" t="s">
        <v>147</v>
      </c>
      <c r="D12" s="172">
        <v>45</v>
      </c>
      <c r="E12" s="71">
        <v>4.33</v>
      </c>
      <c r="F12" s="70">
        <f t="shared" ref="F12:F15" si="5">D12*E12*12</f>
        <v>2338.1999999999998</v>
      </c>
      <c r="G12" s="142">
        <f>References!B29</f>
        <v>250</v>
      </c>
      <c r="H12" s="70">
        <f>F12*G12</f>
        <v>584550</v>
      </c>
      <c r="I12" s="48">
        <f>$D$118*H12</f>
        <v>469412.81438821944</v>
      </c>
      <c r="J12" s="69">
        <f>(References!$C$50*I12)</f>
        <v>1692.2331958695313</v>
      </c>
      <c r="K12" s="69">
        <f>J12/References!$G$53</f>
        <v>1725.0083546070655</v>
      </c>
      <c r="L12" s="69">
        <f>K12/F12</f>
        <v>0.73775055795358213</v>
      </c>
      <c r="M12" s="137">
        <v>17</v>
      </c>
      <c r="N12" s="149">
        <f>L12+M12</f>
        <v>17.737750557953582</v>
      </c>
      <c r="O12" s="69">
        <f>F12*M12</f>
        <v>39749.399999999994</v>
      </c>
      <c r="P12" s="69">
        <f>F12*N12</f>
        <v>41474.408354607061</v>
      </c>
      <c r="Q12" s="72">
        <f t="shared" si="4"/>
        <v>1725.0083546070673</v>
      </c>
      <c r="S12" s="52"/>
    </row>
    <row r="13" spans="1:19" s="61" customFormat="1">
      <c r="A13" s="194"/>
      <c r="B13" s="49"/>
      <c r="C13" s="151"/>
      <c r="D13" s="173"/>
      <c r="E13" s="152"/>
      <c r="F13" s="153"/>
      <c r="G13" s="154"/>
      <c r="H13" s="155"/>
      <c r="I13" s="156"/>
      <c r="J13" s="157"/>
      <c r="K13" s="157"/>
      <c r="L13" s="157"/>
      <c r="M13" s="158"/>
      <c r="N13" s="159"/>
      <c r="O13" s="157"/>
      <c r="P13" s="157"/>
      <c r="Q13" s="160"/>
      <c r="S13" s="52"/>
    </row>
    <row r="14" spans="1:19" s="61" customFormat="1">
      <c r="A14" s="194"/>
      <c r="B14" s="49">
        <v>32</v>
      </c>
      <c r="C14" s="151" t="s">
        <v>119</v>
      </c>
      <c r="D14" s="173">
        <v>6</v>
      </c>
      <c r="E14" s="152">
        <v>4.33</v>
      </c>
      <c r="F14" s="70">
        <f t="shared" si="5"/>
        <v>311.76</v>
      </c>
      <c r="G14" s="154">
        <f>References!B28</f>
        <v>175</v>
      </c>
      <c r="H14" s="155">
        <f>F14*G14</f>
        <v>54558</v>
      </c>
      <c r="I14" s="156">
        <f>$D$118*H14</f>
        <v>43811.862676233817</v>
      </c>
      <c r="J14" s="157">
        <f>(References!$C$50*I14)</f>
        <v>157.94176494782295</v>
      </c>
      <c r="K14" s="157">
        <f>J14/References!$G$53</f>
        <v>161.00077976332614</v>
      </c>
      <c r="L14" s="157">
        <f>K14/F14</f>
        <v>0.51642539056750747</v>
      </c>
      <c r="M14" s="158">
        <v>15</v>
      </c>
      <c r="N14" s="159">
        <f>L14+M14</f>
        <v>15.516425390567507</v>
      </c>
      <c r="O14" s="157">
        <f>F14*M14</f>
        <v>4676.3999999999996</v>
      </c>
      <c r="P14" s="157">
        <f>F14*N14</f>
        <v>4837.4007797633258</v>
      </c>
      <c r="Q14" s="160">
        <f t="shared" si="4"/>
        <v>161.00077976332614</v>
      </c>
      <c r="S14" s="52"/>
    </row>
    <row r="15" spans="1:19" s="61" customFormat="1">
      <c r="A15" s="194"/>
      <c r="B15" s="49">
        <v>32</v>
      </c>
      <c r="C15" s="123" t="s">
        <v>120</v>
      </c>
      <c r="D15" s="171">
        <v>1</v>
      </c>
      <c r="E15" s="71">
        <v>1</v>
      </c>
      <c r="F15" s="70">
        <f t="shared" si="5"/>
        <v>12</v>
      </c>
      <c r="G15" s="143">
        <f>References!B28</f>
        <v>175</v>
      </c>
      <c r="H15" s="70">
        <f t="shared" ref="H15:H32" si="6">F15*G15</f>
        <v>2100</v>
      </c>
      <c r="I15" s="48">
        <f>$D$118*H15</f>
        <v>1686.3688481999159</v>
      </c>
      <c r="J15" s="69">
        <f>(References!$C$50*I15)</f>
        <v>6.0793596977606974</v>
      </c>
      <c r="K15" s="69">
        <f>J15/References!$G$53</f>
        <v>6.1971046868100892</v>
      </c>
      <c r="L15" s="69">
        <f t="shared" ref="L15:L34" si="7">K15/F15</f>
        <v>0.51642539056750747</v>
      </c>
      <c r="M15" s="137">
        <v>35</v>
      </c>
      <c r="N15" s="149">
        <f t="shared" si="3"/>
        <v>35.516425390567505</v>
      </c>
      <c r="O15" s="69">
        <f t="shared" ref="O15:O34" si="8">F15*M15</f>
        <v>420</v>
      </c>
      <c r="P15" s="69">
        <f t="shared" ref="P15:P34" si="9">F15*N15</f>
        <v>426.19710468681006</v>
      </c>
      <c r="Q15" s="72">
        <f t="shared" si="4"/>
        <v>6.1971046868100643</v>
      </c>
      <c r="S15" s="52"/>
    </row>
    <row r="16" spans="1:19" s="61" customFormat="1">
      <c r="A16" s="194"/>
      <c r="B16" s="49"/>
      <c r="D16" s="171"/>
      <c r="E16" s="71"/>
      <c r="F16" s="124"/>
      <c r="G16" s="140"/>
      <c r="H16" s="70"/>
      <c r="I16" s="48"/>
      <c r="J16" s="69"/>
      <c r="K16" s="69"/>
      <c r="L16" s="69"/>
      <c r="M16" s="137"/>
      <c r="N16" s="149"/>
      <c r="O16" s="69"/>
      <c r="P16" s="69"/>
      <c r="Q16" s="72"/>
      <c r="S16" s="52"/>
    </row>
    <row r="17" spans="1:19" s="61" customFormat="1">
      <c r="A17" s="194"/>
      <c r="B17" s="49">
        <v>32</v>
      </c>
      <c r="C17" s="161" t="s">
        <v>122</v>
      </c>
      <c r="D17" s="174">
        <v>109</v>
      </c>
      <c r="E17" s="163">
        <f>+References!B8</f>
        <v>4.33</v>
      </c>
      <c r="F17" s="70">
        <f t="shared" ref="F17:F21" si="10">D17*E17*12</f>
        <v>5663.64</v>
      </c>
      <c r="G17" s="165">
        <f>References!$B$29</f>
        <v>250</v>
      </c>
      <c r="H17" s="162">
        <f t="shared" si="6"/>
        <v>1415910</v>
      </c>
      <c r="I17" s="166">
        <f>$D$118*H17</f>
        <v>1137022.1504070205</v>
      </c>
      <c r="J17" s="167">
        <f>(References!$C$50*I17)</f>
        <v>4098.9648522173093</v>
      </c>
      <c r="K17" s="167">
        <f>J17/References!$G$53</f>
        <v>4178.3535700482253</v>
      </c>
      <c r="L17" s="167">
        <f t="shared" si="7"/>
        <v>0.73775055795358202</v>
      </c>
      <c r="M17" s="168">
        <v>19</v>
      </c>
      <c r="N17" s="149">
        <f t="shared" si="3"/>
        <v>19.737750557953582</v>
      </c>
      <c r="O17" s="167">
        <f t="shared" si="8"/>
        <v>107609.16</v>
      </c>
      <c r="P17" s="167">
        <f t="shared" si="9"/>
        <v>111787.51357004824</v>
      </c>
      <c r="Q17" s="72">
        <f t="shared" si="4"/>
        <v>4178.3535700482316</v>
      </c>
      <c r="S17" s="52"/>
    </row>
    <row r="18" spans="1:19" s="61" customFormat="1">
      <c r="A18" s="194"/>
      <c r="B18" s="49">
        <v>32</v>
      </c>
      <c r="C18" s="123" t="s">
        <v>148</v>
      </c>
      <c r="D18" s="171">
        <v>5</v>
      </c>
      <c r="E18" s="71">
        <f>+References!B9</f>
        <v>2.17</v>
      </c>
      <c r="F18" s="70">
        <f t="shared" si="10"/>
        <v>130.19999999999999</v>
      </c>
      <c r="G18" s="140">
        <f>References!$B$29</f>
        <v>250</v>
      </c>
      <c r="H18" s="70">
        <f t="shared" si="6"/>
        <v>32549.999999999996</v>
      </c>
      <c r="I18" s="48">
        <f>$D$118*H18</f>
        <v>26138.717147098694</v>
      </c>
      <c r="J18" s="69">
        <f>(References!$C$50*I18)</f>
        <v>94.230075315290804</v>
      </c>
      <c r="K18" s="69">
        <f>J18/References!$G$53</f>
        <v>96.055122645556381</v>
      </c>
      <c r="L18" s="69">
        <f t="shared" si="7"/>
        <v>0.73775055795358213</v>
      </c>
      <c r="M18" s="137">
        <v>19</v>
      </c>
      <c r="N18" s="149">
        <f t="shared" si="3"/>
        <v>19.737750557953582</v>
      </c>
      <c r="O18" s="69">
        <f t="shared" si="8"/>
        <v>2473.7999999999997</v>
      </c>
      <c r="P18" s="69">
        <f t="shared" si="9"/>
        <v>2569.8551226455561</v>
      </c>
      <c r="Q18" s="72">
        <f t="shared" si="4"/>
        <v>96.055122645556366</v>
      </c>
      <c r="S18" s="52"/>
    </row>
    <row r="19" spans="1:19" s="61" customFormat="1">
      <c r="A19" s="194"/>
      <c r="B19" s="49">
        <v>32</v>
      </c>
      <c r="C19" s="161" t="s">
        <v>124</v>
      </c>
      <c r="D19" s="174">
        <v>1</v>
      </c>
      <c r="E19" s="163">
        <f>+References!B8</f>
        <v>4.33</v>
      </c>
      <c r="F19" s="70">
        <f t="shared" ref="F19" si="11">D19*E19*12</f>
        <v>51.96</v>
      </c>
      <c r="G19" s="140">
        <f>References!$B$29</f>
        <v>250</v>
      </c>
      <c r="H19" s="70">
        <f t="shared" ref="H19" si="12">F19*G19</f>
        <v>12990</v>
      </c>
      <c r="I19" s="48">
        <f>$D$118*H19</f>
        <v>10431.395875293765</v>
      </c>
      <c r="J19" s="69">
        <f>(References!$C$50*I19)</f>
        <v>37.605182130434031</v>
      </c>
      <c r="K19" s="69">
        <f>J19/References!$G$53</f>
        <v>38.333518991268129</v>
      </c>
      <c r="L19" s="69">
        <f t="shared" ref="L19" si="13">K19/F19</f>
        <v>0.73775055795358213</v>
      </c>
      <c r="M19" s="137">
        <v>29.25</v>
      </c>
      <c r="N19" s="149">
        <f t="shared" ref="N19" si="14">L19+M19</f>
        <v>29.987750557953582</v>
      </c>
      <c r="O19" s="69">
        <f t="shared" ref="O19" si="15">F19*M19</f>
        <v>1519.83</v>
      </c>
      <c r="P19" s="69">
        <f t="shared" ref="P19" si="16">F19*N19</f>
        <v>1558.1635189912681</v>
      </c>
      <c r="Q19" s="72">
        <f t="shared" ref="Q19" si="17">+P19-O19</f>
        <v>38.333518991268193</v>
      </c>
      <c r="S19" s="52"/>
    </row>
    <row r="20" spans="1:19" s="61" customFormat="1">
      <c r="A20" s="194"/>
      <c r="B20" s="49"/>
      <c r="C20" s="161"/>
      <c r="D20" s="174"/>
      <c r="E20" s="163"/>
      <c r="F20" s="70"/>
      <c r="G20" s="140"/>
      <c r="H20" s="70"/>
      <c r="I20" s="48"/>
      <c r="J20" s="69"/>
      <c r="K20" s="69"/>
      <c r="L20" s="69"/>
      <c r="M20" s="137"/>
      <c r="N20" s="149"/>
      <c r="O20" s="69"/>
      <c r="P20" s="69"/>
      <c r="Q20" s="72"/>
      <c r="S20" s="52"/>
    </row>
    <row r="21" spans="1:19" s="61" customFormat="1">
      <c r="A21" s="194"/>
      <c r="B21" s="49">
        <v>32</v>
      </c>
      <c r="C21" s="161" t="s">
        <v>125</v>
      </c>
      <c r="D21" s="174">
        <v>84</v>
      </c>
      <c r="E21" s="163">
        <f>+References!B8</f>
        <v>4.33</v>
      </c>
      <c r="F21" s="70">
        <f t="shared" si="10"/>
        <v>4364.6400000000003</v>
      </c>
      <c r="G21" s="165">
        <f>References!$B$30</f>
        <v>324</v>
      </c>
      <c r="H21" s="162">
        <f t="shared" si="6"/>
        <v>1414143.36</v>
      </c>
      <c r="I21" s="166">
        <f>$D$118*H21</f>
        <v>1135603.4805679806</v>
      </c>
      <c r="J21" s="167">
        <f>(References!$C$50*I21)</f>
        <v>4093.8505474475705</v>
      </c>
      <c r="K21" s="167">
        <f>J21/References!$G$53</f>
        <v>4173.1402114654138</v>
      </c>
      <c r="L21" s="167">
        <f t="shared" si="7"/>
        <v>0.95612472310784247</v>
      </c>
      <c r="M21" s="168">
        <v>22</v>
      </c>
      <c r="N21" s="149">
        <f t="shared" si="3"/>
        <v>22.956124723107841</v>
      </c>
      <c r="O21" s="167">
        <f t="shared" si="8"/>
        <v>96022.080000000002</v>
      </c>
      <c r="P21" s="167">
        <f t="shared" si="9"/>
        <v>100195.22021146542</v>
      </c>
      <c r="Q21" s="72">
        <f t="shared" si="4"/>
        <v>4173.1402114654193</v>
      </c>
      <c r="S21" s="52"/>
    </row>
    <row r="22" spans="1:19" s="61" customFormat="1">
      <c r="A22" s="194"/>
      <c r="B22" s="49">
        <v>32</v>
      </c>
      <c r="C22" s="123" t="s">
        <v>149</v>
      </c>
      <c r="D22" s="171">
        <v>2</v>
      </c>
      <c r="E22" s="71">
        <f>+References!B7</f>
        <v>8.67</v>
      </c>
      <c r="F22" s="70">
        <f t="shared" ref="F22:F48" si="18">D22*E22*12</f>
        <v>208.07999999999998</v>
      </c>
      <c r="G22" s="140">
        <f>References!$B$30</f>
        <v>324</v>
      </c>
      <c r="H22" s="70">
        <f t="shared" ref="H22:H23" si="19">F22*G22</f>
        <v>67417.919999999998</v>
      </c>
      <c r="I22" s="48">
        <f>$D$118*H22</f>
        <v>54138.800046873366</v>
      </c>
      <c r="J22" s="69">
        <f>(References!$C$50*I22)</f>
        <v>195.17037416897853</v>
      </c>
      <c r="K22" s="69">
        <f>J22/References!$G$53</f>
        <v>198.95043238427985</v>
      </c>
      <c r="L22" s="69">
        <f t="shared" ref="L22:L23" si="20">K22/F22</f>
        <v>0.95612472310784247</v>
      </c>
      <c r="M22" s="137">
        <v>22</v>
      </c>
      <c r="N22" s="149">
        <f t="shared" ref="N22:N23" si="21">L22+M22</f>
        <v>22.956124723107841</v>
      </c>
      <c r="O22" s="69">
        <f t="shared" ref="O22:O23" si="22">F22*M22</f>
        <v>4577.7599999999993</v>
      </c>
      <c r="P22" s="69">
        <f t="shared" ref="P22:P23" si="23">F22*N22</f>
        <v>4776.7104323842796</v>
      </c>
      <c r="Q22" s="72">
        <f t="shared" ref="Q22:Q23" si="24">+P22-O22</f>
        <v>198.95043238428025</v>
      </c>
      <c r="S22" s="52"/>
    </row>
    <row r="23" spans="1:19" s="61" customFormat="1">
      <c r="A23" s="194"/>
      <c r="B23" s="49">
        <v>32</v>
      </c>
      <c r="C23" s="123" t="s">
        <v>150</v>
      </c>
      <c r="D23" s="171">
        <v>1</v>
      </c>
      <c r="E23" s="71">
        <f>+References!B9</f>
        <v>2.17</v>
      </c>
      <c r="F23" s="70">
        <f t="shared" si="18"/>
        <v>26.04</v>
      </c>
      <c r="G23" s="140">
        <f>References!$B$30</f>
        <v>324</v>
      </c>
      <c r="H23" s="70">
        <f t="shared" si="19"/>
        <v>8436.9599999999991</v>
      </c>
      <c r="I23" s="48">
        <f>$D$118*H23</f>
        <v>6775.1554845279816</v>
      </c>
      <c r="J23" s="69">
        <f>(References!$C$50*I23)</f>
        <v>24.424435521723378</v>
      </c>
      <c r="K23" s="69">
        <f>J23/References!$G$53</f>
        <v>24.897487789728213</v>
      </c>
      <c r="L23" s="69">
        <f t="shared" si="20"/>
        <v>0.95612472310784236</v>
      </c>
      <c r="M23" s="137">
        <v>22</v>
      </c>
      <c r="N23" s="149">
        <f t="shared" si="21"/>
        <v>22.956124723107841</v>
      </c>
      <c r="O23" s="69">
        <f t="shared" si="22"/>
        <v>572.88</v>
      </c>
      <c r="P23" s="69">
        <f t="shared" si="23"/>
        <v>597.77748778972818</v>
      </c>
      <c r="Q23" s="72">
        <f t="shared" si="24"/>
        <v>24.897487789728189</v>
      </c>
      <c r="S23" s="52"/>
    </row>
    <row r="24" spans="1:19" s="61" customFormat="1">
      <c r="A24" s="194"/>
      <c r="B24" s="49">
        <v>32</v>
      </c>
      <c r="C24" s="161" t="s">
        <v>127</v>
      </c>
      <c r="D24" s="174">
        <v>3</v>
      </c>
      <c r="E24" s="163">
        <f>+References!B8</f>
        <v>4.33</v>
      </c>
      <c r="F24" s="70">
        <f t="shared" si="18"/>
        <v>155.88</v>
      </c>
      <c r="G24" s="140">
        <f>References!$B$30</f>
        <v>324</v>
      </c>
      <c r="H24" s="70">
        <f t="shared" ref="H24" si="25">F24*G24</f>
        <v>50505.119999999995</v>
      </c>
      <c r="I24" s="48">
        <f>$D$118*H24</f>
        <v>40557.267163142154</v>
      </c>
      <c r="J24" s="69">
        <f>(References!$C$50*I24)</f>
        <v>146.2089481231275</v>
      </c>
      <c r="K24" s="69">
        <f>J24/References!$G$53</f>
        <v>149.04072183805047</v>
      </c>
      <c r="L24" s="69">
        <f t="shared" ref="L24" si="26">K24/F24</f>
        <v>0.95612472310784247</v>
      </c>
      <c r="M24" s="137">
        <v>32.25</v>
      </c>
      <c r="N24" s="149">
        <f t="shared" ref="N24" si="27">L24+M24</f>
        <v>33.206124723107841</v>
      </c>
      <c r="O24" s="69">
        <f t="shared" ref="O24" si="28">F24*M24</f>
        <v>5027.13</v>
      </c>
      <c r="P24" s="69">
        <f t="shared" ref="P24" si="29">F24*N24</f>
        <v>5176.1707218380498</v>
      </c>
      <c r="Q24" s="72">
        <f t="shared" ref="Q24" si="30">+P24-O24</f>
        <v>149.04072183804965</v>
      </c>
      <c r="S24" s="52"/>
    </row>
    <row r="25" spans="1:19" s="61" customFormat="1">
      <c r="A25" s="194"/>
      <c r="B25" s="49">
        <v>32</v>
      </c>
      <c r="C25" s="123" t="s">
        <v>126</v>
      </c>
      <c r="D25" s="58">
        <v>1</v>
      </c>
      <c r="E25" s="71">
        <v>1</v>
      </c>
      <c r="F25" s="70">
        <f t="shared" si="18"/>
        <v>12</v>
      </c>
      <c r="G25" s="140">
        <f>References!$B$30</f>
        <v>324</v>
      </c>
      <c r="H25" s="70">
        <f t="shared" si="6"/>
        <v>3888</v>
      </c>
      <c r="I25" s="48">
        <f>$D$118*H25</f>
        <v>3122.1914675244157</v>
      </c>
      <c r="J25" s="69">
        <f>(References!$C$50*I25)</f>
        <v>11.255500240425521</v>
      </c>
      <c r="K25" s="69">
        <f>J25/References!$G$53</f>
        <v>11.47349667729411</v>
      </c>
      <c r="L25" s="69">
        <f t="shared" si="7"/>
        <v>0.95612472310784247</v>
      </c>
      <c r="M25" s="137">
        <v>42</v>
      </c>
      <c r="N25" s="149">
        <f t="shared" si="3"/>
        <v>42.956124723107841</v>
      </c>
      <c r="O25" s="69">
        <f t="shared" si="8"/>
        <v>504</v>
      </c>
      <c r="P25" s="69">
        <f t="shared" si="9"/>
        <v>515.47349667729407</v>
      </c>
      <c r="Q25" s="72">
        <f t="shared" si="4"/>
        <v>11.473496677294065</v>
      </c>
      <c r="S25" s="52"/>
    </row>
    <row r="26" spans="1:19" s="61" customFormat="1">
      <c r="A26" s="194"/>
      <c r="B26" s="49"/>
      <c r="C26" s="161"/>
      <c r="D26" s="162"/>
      <c r="E26" s="163"/>
      <c r="F26" s="164"/>
      <c r="G26" s="165"/>
      <c r="H26" s="162"/>
      <c r="I26" s="166"/>
      <c r="J26" s="167"/>
      <c r="K26" s="167"/>
      <c r="L26" s="167"/>
      <c r="M26" s="168"/>
      <c r="N26" s="149"/>
      <c r="O26" s="167"/>
      <c r="P26" s="167"/>
      <c r="Q26" s="72"/>
      <c r="S26" s="52"/>
    </row>
    <row r="27" spans="1:19" s="61" customFormat="1">
      <c r="A27" s="194"/>
      <c r="B27" s="49">
        <v>32</v>
      </c>
      <c r="C27" s="161" t="s">
        <v>128</v>
      </c>
      <c r="D27" s="162">
        <v>59</v>
      </c>
      <c r="E27" s="163">
        <f>+References!B8</f>
        <v>4.33</v>
      </c>
      <c r="F27" s="70">
        <f t="shared" si="18"/>
        <v>3065.64</v>
      </c>
      <c r="G27" s="165">
        <f>References!$B$31</f>
        <v>473</v>
      </c>
      <c r="H27" s="162">
        <f t="shared" si="6"/>
        <v>1450047.72</v>
      </c>
      <c r="I27" s="166">
        <f>$D$118*H27</f>
        <v>1164435.8587672925</v>
      </c>
      <c r="J27" s="167">
        <f>(References!$C$50*I27)</f>
        <v>4197.7912708560898</v>
      </c>
      <c r="K27" s="167">
        <f>J27/References!$G$53</f>
        <v>4279.094057957278</v>
      </c>
      <c r="L27" s="167">
        <f t="shared" si="7"/>
        <v>1.3958240556481774</v>
      </c>
      <c r="M27" s="168">
        <v>26</v>
      </c>
      <c r="N27" s="149">
        <f t="shared" si="3"/>
        <v>27.395824055648177</v>
      </c>
      <c r="O27" s="167">
        <f t="shared" si="8"/>
        <v>79706.64</v>
      </c>
      <c r="P27" s="167">
        <f t="shared" si="9"/>
        <v>83985.734057957277</v>
      </c>
      <c r="Q27" s="72">
        <f t="shared" si="4"/>
        <v>4279.094057957278</v>
      </c>
      <c r="S27" s="52"/>
    </row>
    <row r="28" spans="1:19" s="61" customFormat="1">
      <c r="A28" s="194"/>
      <c r="B28" s="49">
        <v>32</v>
      </c>
      <c r="C28" s="123" t="s">
        <v>151</v>
      </c>
      <c r="D28" s="58">
        <v>3</v>
      </c>
      <c r="E28" s="71">
        <f>+References!B9</f>
        <v>2.17</v>
      </c>
      <c r="F28" s="70">
        <f t="shared" si="18"/>
        <v>78.12</v>
      </c>
      <c r="G28" s="165">
        <f>References!$B$31</f>
        <v>473</v>
      </c>
      <c r="H28" s="70">
        <f t="shared" si="6"/>
        <v>36950.76</v>
      </c>
      <c r="I28" s="48">
        <f>$D$118*H28</f>
        <v>29672.671705386441</v>
      </c>
      <c r="J28" s="69">
        <f>(References!$C$50*I28)</f>
        <v>106.96998149791814</v>
      </c>
      <c r="K28" s="69">
        <f>J28/References!$G$53</f>
        <v>109.04177522723562</v>
      </c>
      <c r="L28" s="69">
        <f t="shared" si="7"/>
        <v>1.3958240556481774</v>
      </c>
      <c r="M28" s="137">
        <v>26</v>
      </c>
      <c r="N28" s="149">
        <f t="shared" si="3"/>
        <v>27.395824055648177</v>
      </c>
      <c r="O28" s="69">
        <f t="shared" si="8"/>
        <v>2031.1200000000001</v>
      </c>
      <c r="P28" s="69">
        <f t="shared" si="9"/>
        <v>2140.1617752272359</v>
      </c>
      <c r="Q28" s="72">
        <f t="shared" si="4"/>
        <v>109.0417752272358</v>
      </c>
      <c r="S28" s="52"/>
    </row>
    <row r="29" spans="1:19" s="61" customFormat="1">
      <c r="A29" s="194"/>
      <c r="B29" s="49">
        <v>32</v>
      </c>
      <c r="C29" s="123" t="s">
        <v>130</v>
      </c>
      <c r="D29" s="58">
        <v>7</v>
      </c>
      <c r="E29" s="71">
        <f>+References!B8</f>
        <v>4.33</v>
      </c>
      <c r="F29" s="70">
        <f t="shared" si="18"/>
        <v>363.72</v>
      </c>
      <c r="G29" s="140">
        <f>References!$B$31</f>
        <v>473</v>
      </c>
      <c r="H29" s="70">
        <f t="shared" si="6"/>
        <v>172039.56000000003</v>
      </c>
      <c r="I29" s="48">
        <f>$D$118*H29</f>
        <v>138153.40697239066</v>
      </c>
      <c r="J29" s="69">
        <f>(References!$C$50*I29)</f>
        <v>498.04303213546842</v>
      </c>
      <c r="K29" s="69">
        <f>J29/References!$G$53</f>
        <v>507.68912552035516</v>
      </c>
      <c r="L29" s="69">
        <f t="shared" si="7"/>
        <v>1.3958240556481776</v>
      </c>
      <c r="M29" s="137">
        <v>36.25</v>
      </c>
      <c r="N29" s="149">
        <f t="shared" si="3"/>
        <v>37.645824055648177</v>
      </c>
      <c r="O29" s="69">
        <f t="shared" si="8"/>
        <v>13184.85</v>
      </c>
      <c r="P29" s="69">
        <f t="shared" si="9"/>
        <v>13692.539125520356</v>
      </c>
      <c r="Q29" s="72">
        <f t="shared" si="4"/>
        <v>507.68912552035545</v>
      </c>
      <c r="S29" s="52"/>
    </row>
    <row r="30" spans="1:19" s="61" customFormat="1">
      <c r="A30" s="194"/>
      <c r="B30" s="49"/>
      <c r="C30" s="161"/>
      <c r="D30" s="162"/>
      <c r="E30" s="163"/>
      <c r="F30" s="164"/>
      <c r="G30" s="165"/>
      <c r="H30" s="162"/>
      <c r="I30" s="166"/>
      <c r="J30" s="167"/>
      <c r="K30" s="167"/>
      <c r="L30" s="167"/>
      <c r="M30" s="168"/>
      <c r="N30" s="149"/>
      <c r="O30" s="167"/>
      <c r="P30" s="167"/>
      <c r="Q30" s="72"/>
      <c r="S30" s="52"/>
    </row>
    <row r="31" spans="1:19" s="61" customFormat="1">
      <c r="A31" s="194"/>
      <c r="B31" s="49">
        <v>32</v>
      </c>
      <c r="C31" s="161" t="s">
        <v>131</v>
      </c>
      <c r="D31" s="162">
        <v>64</v>
      </c>
      <c r="E31" s="163">
        <f>+References!B8</f>
        <v>4.33</v>
      </c>
      <c r="F31" s="70">
        <f t="shared" si="18"/>
        <v>3325.44</v>
      </c>
      <c r="G31" s="165">
        <f>References!$B$32</f>
        <v>613</v>
      </c>
      <c r="H31" s="162">
        <f t="shared" si="6"/>
        <v>2038494.72</v>
      </c>
      <c r="I31" s="166">
        <f>$D$118*H31</f>
        <v>1636978.0919181001</v>
      </c>
      <c r="J31" s="167">
        <f>(References!$C$50*I31)</f>
        <v>5901.3060213647523</v>
      </c>
      <c r="K31" s="167">
        <f>J31/References!$G$53</f>
        <v>6015.6024682617253</v>
      </c>
      <c r="L31" s="167">
        <f t="shared" si="7"/>
        <v>1.8089643681021836</v>
      </c>
      <c r="M31" s="168">
        <v>30</v>
      </c>
      <c r="N31" s="149">
        <f t="shared" si="3"/>
        <v>31.808964368102185</v>
      </c>
      <c r="O31" s="167">
        <f t="shared" si="8"/>
        <v>99763.199999999997</v>
      </c>
      <c r="P31" s="167">
        <f t="shared" si="9"/>
        <v>105778.80246826173</v>
      </c>
      <c r="Q31" s="72">
        <f t="shared" si="4"/>
        <v>6015.6024682617281</v>
      </c>
      <c r="S31" s="52"/>
    </row>
    <row r="32" spans="1:19" s="61" customFormat="1">
      <c r="A32" s="194"/>
      <c r="B32" s="49">
        <v>32</v>
      </c>
      <c r="C32" s="123" t="s">
        <v>152</v>
      </c>
      <c r="D32" s="58">
        <v>2</v>
      </c>
      <c r="E32" s="71">
        <f>+References!B7</f>
        <v>8.67</v>
      </c>
      <c r="F32" s="70">
        <f t="shared" si="18"/>
        <v>208.07999999999998</v>
      </c>
      <c r="G32" s="143">
        <f>References!$B$32</f>
        <v>613</v>
      </c>
      <c r="H32" s="70">
        <f t="shared" si="6"/>
        <v>127553.04</v>
      </c>
      <c r="I32" s="48">
        <f>$D$118*H32</f>
        <v>102429.27292818943</v>
      </c>
      <c r="J32" s="69">
        <f>(References!$C$50*I32)</f>
        <v>369.25752890612296</v>
      </c>
      <c r="K32" s="69">
        <f>J32/References!$G$53</f>
        <v>376.40930571470233</v>
      </c>
      <c r="L32" s="69">
        <f t="shared" si="7"/>
        <v>1.8089643681021836</v>
      </c>
      <c r="M32" s="137">
        <v>30</v>
      </c>
      <c r="N32" s="149">
        <f t="shared" si="3"/>
        <v>31.808964368102185</v>
      </c>
      <c r="O32" s="69">
        <f t="shared" si="8"/>
        <v>6242.4</v>
      </c>
      <c r="P32" s="69">
        <f t="shared" si="9"/>
        <v>6618.8093057147025</v>
      </c>
      <c r="Q32" s="72">
        <f t="shared" si="4"/>
        <v>376.4093057147029</v>
      </c>
      <c r="S32" s="52"/>
    </row>
    <row r="33" spans="1:19" s="61" customFormat="1">
      <c r="A33" s="194"/>
      <c r="B33" s="49">
        <v>32</v>
      </c>
      <c r="C33" s="123" t="s">
        <v>132</v>
      </c>
      <c r="D33" s="58">
        <v>29</v>
      </c>
      <c r="E33" s="71">
        <v>1</v>
      </c>
      <c r="F33" s="70">
        <f t="shared" si="18"/>
        <v>348</v>
      </c>
      <c r="G33" s="143">
        <f>References!$B$32</f>
        <v>613</v>
      </c>
      <c r="H33" s="70">
        <f t="shared" ref="H33:H34" si="31">F33*G33</f>
        <v>213324</v>
      </c>
      <c r="I33" s="48">
        <f>$D$118*H33</f>
        <v>171306.1657968566</v>
      </c>
      <c r="J33" s="69">
        <f>(References!$C$50*I33)</f>
        <v>617.55872769766813</v>
      </c>
      <c r="K33" s="69">
        <f>J33/References!$G$53</f>
        <v>629.51960009955974</v>
      </c>
      <c r="L33" s="69">
        <f t="shared" si="7"/>
        <v>1.8089643681021832</v>
      </c>
      <c r="M33" s="137">
        <v>50</v>
      </c>
      <c r="N33" s="149">
        <f t="shared" si="3"/>
        <v>51.808964368102181</v>
      </c>
      <c r="O33" s="69">
        <f t="shared" si="8"/>
        <v>17400</v>
      </c>
      <c r="P33" s="69">
        <f t="shared" si="9"/>
        <v>18029.51960009956</v>
      </c>
      <c r="Q33" s="72">
        <f t="shared" si="4"/>
        <v>629.51960009956019</v>
      </c>
      <c r="S33" s="52"/>
    </row>
    <row r="34" spans="1:19" s="61" customFormat="1">
      <c r="A34" s="194"/>
      <c r="B34" s="49">
        <v>32</v>
      </c>
      <c r="C34" s="123" t="s">
        <v>133</v>
      </c>
      <c r="D34" s="58">
        <v>8</v>
      </c>
      <c r="E34" s="163">
        <f>+References!B8</f>
        <v>4.33</v>
      </c>
      <c r="F34" s="70">
        <f t="shared" si="18"/>
        <v>415.68</v>
      </c>
      <c r="G34" s="143">
        <f>References!$B$32</f>
        <v>613</v>
      </c>
      <c r="H34" s="70">
        <f t="shared" si="31"/>
        <v>254811.84</v>
      </c>
      <c r="I34" s="48">
        <f>$D$118*H34</f>
        <v>204622.26148976252</v>
      </c>
      <c r="J34" s="69">
        <f>(References!$C$50*I34)</f>
        <v>737.66325267059403</v>
      </c>
      <c r="K34" s="69">
        <f>J34/References!$G$53</f>
        <v>751.95030853271567</v>
      </c>
      <c r="L34" s="69">
        <f t="shared" si="7"/>
        <v>1.8089643681021836</v>
      </c>
      <c r="M34" s="137">
        <v>40.25</v>
      </c>
      <c r="N34" s="149">
        <f t="shared" si="3"/>
        <v>42.058964368102181</v>
      </c>
      <c r="O34" s="69">
        <f t="shared" si="8"/>
        <v>16731.12</v>
      </c>
      <c r="P34" s="69">
        <f t="shared" si="9"/>
        <v>17483.070308532715</v>
      </c>
      <c r="Q34" s="72">
        <f t="shared" si="4"/>
        <v>751.95030853271601</v>
      </c>
      <c r="S34" s="52"/>
    </row>
    <row r="35" spans="1:19" s="61" customFormat="1">
      <c r="A35" s="194"/>
      <c r="B35" s="49"/>
      <c r="C35" s="161"/>
      <c r="D35" s="162"/>
      <c r="E35" s="163"/>
      <c r="F35" s="164"/>
      <c r="G35" s="165"/>
      <c r="H35" s="162"/>
      <c r="I35" s="166"/>
      <c r="J35" s="167"/>
      <c r="K35" s="167"/>
      <c r="L35" s="167"/>
      <c r="M35" s="168"/>
      <c r="N35" s="149"/>
      <c r="O35" s="167"/>
      <c r="P35" s="167"/>
      <c r="Q35" s="72"/>
      <c r="S35" s="52"/>
    </row>
    <row r="36" spans="1:19" s="61" customFormat="1">
      <c r="A36" s="194"/>
      <c r="B36" s="49">
        <v>32</v>
      </c>
      <c r="C36" s="161" t="s">
        <v>134</v>
      </c>
      <c r="D36" s="162">
        <v>55</v>
      </c>
      <c r="E36" s="163">
        <f>+References!B8</f>
        <v>4.33</v>
      </c>
      <c r="F36" s="70">
        <f t="shared" si="18"/>
        <v>2857.8</v>
      </c>
      <c r="G36" s="165">
        <f>References!B33</f>
        <v>840</v>
      </c>
      <c r="H36" s="169">
        <f t="shared" ref="H36:H41" si="32">F36*G36</f>
        <v>2400552</v>
      </c>
      <c r="I36" s="166">
        <f>$D$118*H36</f>
        <v>1927721.9577542879</v>
      </c>
      <c r="J36" s="167">
        <f>(References!$C$50*I36)</f>
        <v>6949.4376577042085</v>
      </c>
      <c r="K36" s="167">
        <f>J36/References!$G$53</f>
        <v>7084.0343095863491</v>
      </c>
      <c r="L36" s="167">
        <f t="shared" ref="L36:L41" si="33">K36/F36</f>
        <v>2.4788418747240355</v>
      </c>
      <c r="M36" s="168">
        <v>35</v>
      </c>
      <c r="N36" s="149">
        <f t="shared" ref="N36:N41" si="34">L36+M36</f>
        <v>37.478841874724033</v>
      </c>
      <c r="O36" s="167">
        <f t="shared" ref="O36:O41" si="35">F36*M36</f>
        <v>100023</v>
      </c>
      <c r="P36" s="167">
        <f t="shared" ref="P36:P41" si="36">F36*N36</f>
        <v>107107.03430958635</v>
      </c>
      <c r="Q36" s="72">
        <f t="shared" si="4"/>
        <v>7084.03430958635</v>
      </c>
      <c r="S36" s="52"/>
    </row>
    <row r="37" spans="1:19" s="61" customFormat="1">
      <c r="A37" s="194"/>
      <c r="B37" s="49">
        <v>32</v>
      </c>
      <c r="C37" s="161" t="s">
        <v>154</v>
      </c>
      <c r="D37" s="162">
        <v>1</v>
      </c>
      <c r="E37" s="163">
        <f>+References!B9</f>
        <v>2.17</v>
      </c>
      <c r="F37" s="70">
        <f t="shared" ref="F37" si="37">D37*E37*12</f>
        <v>26.04</v>
      </c>
      <c r="G37" s="165">
        <f>References!B33</f>
        <v>840</v>
      </c>
      <c r="H37" s="169">
        <f t="shared" ref="H37" si="38">F37*G37</f>
        <v>21873.599999999999</v>
      </c>
      <c r="I37" s="166">
        <f>$D$118*H37</f>
        <v>17565.217922850323</v>
      </c>
      <c r="J37" s="167">
        <f>(References!$C$50*I37)</f>
        <v>63.322610611875426</v>
      </c>
      <c r="K37" s="167">
        <f>J37/References!$G$53</f>
        <v>64.549042417813894</v>
      </c>
      <c r="L37" s="167">
        <f t="shared" ref="L37" si="39">K37/F37</f>
        <v>2.4788418747240359</v>
      </c>
      <c r="M37" s="168">
        <v>35</v>
      </c>
      <c r="N37" s="149">
        <f t="shared" ref="N37" si="40">L37+M37</f>
        <v>37.478841874724033</v>
      </c>
      <c r="O37" s="167">
        <f t="shared" ref="O37" si="41">F37*M37</f>
        <v>911.4</v>
      </c>
      <c r="P37" s="167">
        <f t="shared" ref="P37" si="42">F37*N37</f>
        <v>975.94904241781376</v>
      </c>
      <c r="Q37" s="72">
        <f t="shared" ref="Q37" si="43">+P37-O37</f>
        <v>64.54904241781378</v>
      </c>
      <c r="S37" s="52"/>
    </row>
    <row r="38" spans="1:19" s="61" customFormat="1">
      <c r="A38" s="194"/>
      <c r="B38" s="49">
        <v>32</v>
      </c>
      <c r="C38" s="123" t="s">
        <v>153</v>
      </c>
      <c r="D38" s="58">
        <v>2</v>
      </c>
      <c r="E38" s="71">
        <f>+References!B4</f>
        <v>21.67</v>
      </c>
      <c r="F38" s="70">
        <f t="shared" si="18"/>
        <v>520.08000000000004</v>
      </c>
      <c r="G38" s="140">
        <f>References!B33</f>
        <v>840</v>
      </c>
      <c r="H38" s="109">
        <f t="shared" si="32"/>
        <v>436867.2</v>
      </c>
      <c r="I38" s="48">
        <f>$D$118*H38</f>
        <v>350818.68422872492</v>
      </c>
      <c r="J38" s="69">
        <f>(References!$C$50*I38)</f>
        <v>1264.7013566445535</v>
      </c>
      <c r="K38" s="69">
        <f>J38/References!$G$53</f>
        <v>1289.1960822064766</v>
      </c>
      <c r="L38" s="69">
        <f t="shared" si="33"/>
        <v>2.4788418747240359</v>
      </c>
      <c r="M38" s="137">
        <v>35</v>
      </c>
      <c r="N38" s="149">
        <f t="shared" si="34"/>
        <v>37.478841874724033</v>
      </c>
      <c r="O38" s="69">
        <f t="shared" si="35"/>
        <v>18202.800000000003</v>
      </c>
      <c r="P38" s="69">
        <f t="shared" si="36"/>
        <v>19491.996082206475</v>
      </c>
      <c r="Q38" s="72">
        <f t="shared" si="4"/>
        <v>1289.1960822064721</v>
      </c>
      <c r="S38" s="52"/>
    </row>
    <row r="39" spans="1:19" s="61" customFormat="1">
      <c r="A39" s="194"/>
      <c r="B39" s="49">
        <v>32</v>
      </c>
      <c r="C39" s="123" t="s">
        <v>155</v>
      </c>
      <c r="D39" s="58">
        <v>14</v>
      </c>
      <c r="E39" s="71">
        <f>+References!B8</f>
        <v>4.33</v>
      </c>
      <c r="F39" s="70">
        <f t="shared" si="18"/>
        <v>727.44</v>
      </c>
      <c r="G39" s="140">
        <f>References!B33</f>
        <v>840</v>
      </c>
      <c r="H39" s="109">
        <f t="shared" si="32"/>
        <v>611049.60000000009</v>
      </c>
      <c r="I39" s="48">
        <f>$D$118*H39</f>
        <v>490692.8619738188</v>
      </c>
      <c r="J39" s="69">
        <f>(References!$C$50*I39)</f>
        <v>1768.9477674156171</v>
      </c>
      <c r="K39" s="69">
        <f>J39/References!$G$53</f>
        <v>1803.208733349253</v>
      </c>
      <c r="L39" s="69">
        <f t="shared" si="33"/>
        <v>2.4788418747240359</v>
      </c>
      <c r="M39" s="137">
        <v>45.25</v>
      </c>
      <c r="N39" s="149">
        <f t="shared" si="34"/>
        <v>47.728841874724033</v>
      </c>
      <c r="O39" s="69">
        <f t="shared" si="35"/>
        <v>32916.660000000003</v>
      </c>
      <c r="P39" s="69">
        <f t="shared" si="36"/>
        <v>34719.868733349256</v>
      </c>
      <c r="Q39" s="72">
        <f t="shared" si="4"/>
        <v>1803.2087333492527</v>
      </c>
      <c r="S39" s="52"/>
    </row>
    <row r="40" spans="1:19" s="61" customFormat="1">
      <c r="A40" s="194"/>
      <c r="B40" s="49"/>
      <c r="C40" s="161"/>
      <c r="D40" s="162"/>
      <c r="E40" s="163"/>
      <c r="F40" s="164"/>
      <c r="G40" s="165"/>
      <c r="H40" s="169"/>
      <c r="I40" s="166"/>
      <c r="J40" s="167"/>
      <c r="K40" s="167"/>
      <c r="L40" s="167"/>
      <c r="M40" s="168"/>
      <c r="N40" s="149"/>
      <c r="O40" s="167"/>
      <c r="P40" s="167"/>
      <c r="Q40" s="72"/>
      <c r="S40" s="52"/>
    </row>
    <row r="41" spans="1:19" s="61" customFormat="1">
      <c r="A41" s="194"/>
      <c r="B41" s="49">
        <v>32</v>
      </c>
      <c r="C41" s="161" t="s">
        <v>135</v>
      </c>
      <c r="D41" s="162">
        <v>29</v>
      </c>
      <c r="E41" s="163">
        <f>+References!B8</f>
        <v>4.33</v>
      </c>
      <c r="F41" s="70">
        <f t="shared" si="18"/>
        <v>1506.8400000000001</v>
      </c>
      <c r="G41" s="170">
        <f>References!B34</f>
        <v>980</v>
      </c>
      <c r="H41" s="169">
        <f t="shared" si="32"/>
        <v>1476703.2000000002</v>
      </c>
      <c r="I41" s="166">
        <f>$D$118*H41</f>
        <v>1185841.0831033955</v>
      </c>
      <c r="J41" s="167">
        <f>(References!$C$50*I41)</f>
        <v>4274.9571045877419</v>
      </c>
      <c r="K41" s="167">
        <f>J41/References!$G$53</f>
        <v>4357.7544389273617</v>
      </c>
      <c r="L41" s="167">
        <f t="shared" si="33"/>
        <v>2.8919821871780425</v>
      </c>
      <c r="M41" s="168">
        <v>43</v>
      </c>
      <c r="N41" s="149">
        <f t="shared" si="34"/>
        <v>45.891982187178044</v>
      </c>
      <c r="O41" s="167">
        <f t="shared" si="35"/>
        <v>64794.12000000001</v>
      </c>
      <c r="P41" s="167">
        <f t="shared" si="36"/>
        <v>69151.874438927378</v>
      </c>
      <c r="Q41" s="72">
        <f t="shared" si="4"/>
        <v>4357.754438927368</v>
      </c>
      <c r="S41" s="52"/>
    </row>
    <row r="42" spans="1:19" s="61" customFormat="1">
      <c r="A42" s="194"/>
      <c r="B42" s="49">
        <v>32</v>
      </c>
      <c r="C42" s="123" t="s">
        <v>156</v>
      </c>
      <c r="D42" s="58">
        <v>4</v>
      </c>
      <c r="E42" s="71">
        <f>+References!B7</f>
        <v>8.67</v>
      </c>
      <c r="F42" s="70">
        <f t="shared" si="18"/>
        <v>416.15999999999997</v>
      </c>
      <c r="G42" s="141">
        <f>References!B34</f>
        <v>980</v>
      </c>
      <c r="H42" s="109">
        <f t="shared" ref="H42:H48" si="44">F42*G42</f>
        <v>407836.8</v>
      </c>
      <c r="I42" s="48">
        <f>$D$118*H42</f>
        <v>327506.32127120928</v>
      </c>
      <c r="J42" s="69">
        <f>(References!$C$50*I42)</f>
        <v>1180.6602881827096</v>
      </c>
      <c r="K42" s="69">
        <f>J42/References!$G$53</f>
        <v>1203.5273070160138</v>
      </c>
      <c r="L42" s="69">
        <f t="shared" ref="L42:L48" si="45">K42/F42</f>
        <v>2.8919821871780416</v>
      </c>
      <c r="M42" s="69">
        <v>43</v>
      </c>
      <c r="N42" s="149">
        <f t="shared" ref="N42:N48" si="46">L42+M42</f>
        <v>45.891982187178044</v>
      </c>
      <c r="O42" s="69">
        <f t="shared" ref="O42:O48" si="47">F42*M42</f>
        <v>17894.879999999997</v>
      </c>
      <c r="P42" s="69">
        <f t="shared" ref="P42:P48" si="48">F42*N42</f>
        <v>19098.407307016012</v>
      </c>
      <c r="Q42" s="72">
        <f t="shared" si="4"/>
        <v>1203.5273070160147</v>
      </c>
      <c r="S42" s="52"/>
    </row>
    <row r="43" spans="1:19" s="61" customFormat="1">
      <c r="A43" s="194"/>
      <c r="B43" s="49">
        <v>32</v>
      </c>
      <c r="C43" s="123" t="s">
        <v>157</v>
      </c>
      <c r="D43" s="58">
        <v>1</v>
      </c>
      <c r="E43" s="71">
        <f>+References!B9</f>
        <v>2.17</v>
      </c>
      <c r="F43" s="70">
        <f t="shared" si="18"/>
        <v>26.04</v>
      </c>
      <c r="G43" s="141">
        <f>References!B34</f>
        <v>980</v>
      </c>
      <c r="H43" s="109">
        <f t="shared" si="44"/>
        <v>25519.200000000001</v>
      </c>
      <c r="I43" s="48">
        <f>$D$118*H43</f>
        <v>20492.75424332538</v>
      </c>
      <c r="J43" s="69">
        <f>(References!$C$50*I43)</f>
        <v>73.87637904718801</v>
      </c>
      <c r="K43" s="69">
        <f>J43/References!$G$53</f>
        <v>75.307216154116219</v>
      </c>
      <c r="L43" s="69">
        <f t="shared" si="45"/>
        <v>2.8919821871780425</v>
      </c>
      <c r="M43" s="69">
        <v>43</v>
      </c>
      <c r="N43" s="149">
        <f t="shared" si="46"/>
        <v>45.891982187178044</v>
      </c>
      <c r="O43" s="69">
        <f t="shared" si="47"/>
        <v>1119.72</v>
      </c>
      <c r="P43" s="69">
        <f t="shared" si="48"/>
        <v>1195.0272161541163</v>
      </c>
      <c r="Q43" s="72">
        <f t="shared" si="4"/>
        <v>75.307216154116304</v>
      </c>
      <c r="S43" s="52"/>
    </row>
    <row r="44" spans="1:19" s="61" customFormat="1">
      <c r="A44" s="194"/>
      <c r="B44" s="49">
        <v>32</v>
      </c>
      <c r="C44" s="123" t="s">
        <v>136</v>
      </c>
      <c r="D44" s="58">
        <v>2</v>
      </c>
      <c r="E44" s="163">
        <f>+References!B8</f>
        <v>4.33</v>
      </c>
      <c r="F44" s="70">
        <f t="shared" si="18"/>
        <v>103.92</v>
      </c>
      <c r="G44" s="141">
        <f>References!B34</f>
        <v>980</v>
      </c>
      <c r="H44" s="109">
        <f t="shared" si="44"/>
        <v>101841.60000000001</v>
      </c>
      <c r="I44" s="48">
        <f>$D$118*H44</f>
        <v>81782.143662303133</v>
      </c>
      <c r="J44" s="69">
        <f>(References!$C$50*I44)</f>
        <v>294.82462790260286</v>
      </c>
      <c r="K44" s="69">
        <f>J44/References!$G$53</f>
        <v>300.53478889154218</v>
      </c>
      <c r="L44" s="69">
        <f t="shared" si="45"/>
        <v>2.8919821871780425</v>
      </c>
      <c r="M44" s="69">
        <v>53.25</v>
      </c>
      <c r="N44" s="149">
        <f t="shared" si="46"/>
        <v>56.141982187178044</v>
      </c>
      <c r="O44" s="69">
        <f t="shared" si="47"/>
        <v>5533.74</v>
      </c>
      <c r="P44" s="69">
        <f t="shared" si="48"/>
        <v>5834.2747888915428</v>
      </c>
      <c r="Q44" s="72">
        <f t="shared" si="4"/>
        <v>300.53478889154303</v>
      </c>
      <c r="S44" s="52"/>
    </row>
    <row r="45" spans="1:19" s="61" customFormat="1">
      <c r="A45" s="194"/>
      <c r="B45" s="49"/>
      <c r="C45" s="123"/>
      <c r="D45" s="58"/>
      <c r="E45" s="71"/>
      <c r="F45" s="70"/>
      <c r="G45" s="141"/>
      <c r="H45" s="109"/>
      <c r="I45" s="48"/>
      <c r="J45" s="69"/>
      <c r="K45" s="69"/>
      <c r="L45" s="69"/>
      <c r="M45" s="69"/>
      <c r="N45" s="149"/>
      <c r="O45" s="69"/>
      <c r="P45" s="69"/>
      <c r="Q45" s="72"/>
      <c r="S45" s="52"/>
    </row>
    <row r="46" spans="1:19" s="61" customFormat="1">
      <c r="A46" s="194"/>
      <c r="B46" s="49"/>
      <c r="C46" s="138" t="s">
        <v>137</v>
      </c>
      <c r="D46" s="58"/>
      <c r="E46" s="71"/>
      <c r="F46" s="124"/>
      <c r="G46" s="140"/>
      <c r="H46" s="109"/>
      <c r="I46" s="48"/>
      <c r="J46" s="69"/>
      <c r="K46" s="69"/>
      <c r="L46" s="69"/>
      <c r="M46" s="69"/>
      <c r="N46" s="149"/>
      <c r="O46" s="69"/>
      <c r="P46" s="69"/>
      <c r="Q46" s="72"/>
      <c r="S46" s="52"/>
    </row>
    <row r="47" spans="1:19" s="61" customFormat="1">
      <c r="A47" s="194"/>
      <c r="B47" s="49">
        <v>33</v>
      </c>
      <c r="C47" s="123" t="s">
        <v>158</v>
      </c>
      <c r="D47" s="58">
        <v>295</v>
      </c>
      <c r="E47" s="71">
        <v>1</v>
      </c>
      <c r="F47" s="70">
        <f t="shared" si="18"/>
        <v>3540</v>
      </c>
      <c r="G47" s="140">
        <f>References!B27</f>
        <v>29</v>
      </c>
      <c r="H47" s="109">
        <f t="shared" si="44"/>
        <v>102660</v>
      </c>
      <c r="I47" s="48">
        <f>$D$118*H47</f>
        <v>82439.345693430179</v>
      </c>
      <c r="J47" s="69">
        <f>(References!$C$50*I47)</f>
        <v>297.19384122481586</v>
      </c>
      <c r="K47" s="69">
        <f>J47/References!$G$53</f>
        <v>302.94988911805899</v>
      </c>
      <c r="L47" s="69">
        <f t="shared" si="45"/>
        <v>8.5579064722615533E-2</v>
      </c>
      <c r="M47" s="69">
        <v>2.6</v>
      </c>
      <c r="N47" s="149">
        <f t="shared" si="46"/>
        <v>2.6855790647226154</v>
      </c>
      <c r="O47" s="69">
        <f t="shared" si="47"/>
        <v>9204</v>
      </c>
      <c r="P47" s="69">
        <f t="shared" si="48"/>
        <v>9506.9498891180592</v>
      </c>
      <c r="Q47" s="72">
        <f t="shared" ref="Q47:Q48" si="49">+P47-O47</f>
        <v>302.94988911805922</v>
      </c>
      <c r="S47" s="52"/>
    </row>
    <row r="48" spans="1:19" s="61" customFormat="1">
      <c r="A48" s="194"/>
      <c r="B48" s="49">
        <v>33</v>
      </c>
      <c r="C48" s="123" t="s">
        <v>159</v>
      </c>
      <c r="D48" s="58">
        <v>1</v>
      </c>
      <c r="E48" s="71">
        <v>1</v>
      </c>
      <c r="F48" s="70">
        <f t="shared" si="18"/>
        <v>12</v>
      </c>
      <c r="G48" s="140">
        <f>References!B27</f>
        <v>29</v>
      </c>
      <c r="H48" s="109">
        <f t="shared" si="44"/>
        <v>348</v>
      </c>
      <c r="I48" s="48">
        <f>$D$118*H48</f>
        <v>279.45540913027179</v>
      </c>
      <c r="J48" s="69">
        <f>(References!$C$50*I48)</f>
        <v>1.0074367499146299</v>
      </c>
      <c r="K48" s="69">
        <f>J48/References!$G$53</f>
        <v>1.0269487766713863</v>
      </c>
      <c r="L48" s="69">
        <f t="shared" si="45"/>
        <v>8.5579064722615519E-2</v>
      </c>
      <c r="M48" s="69">
        <v>15.5</v>
      </c>
      <c r="N48" s="149">
        <f t="shared" si="46"/>
        <v>15.585579064722616</v>
      </c>
      <c r="O48" s="69">
        <f t="shared" si="47"/>
        <v>186</v>
      </c>
      <c r="P48" s="69">
        <f t="shared" si="48"/>
        <v>187.02694877667139</v>
      </c>
      <c r="Q48" s="72">
        <f t="shared" si="49"/>
        <v>1.0269487766713894</v>
      </c>
      <c r="S48" s="52"/>
    </row>
    <row r="49" spans="1:19" s="61" customFormat="1">
      <c r="A49" s="194"/>
      <c r="B49" s="49"/>
      <c r="C49" s="123"/>
      <c r="D49" s="58"/>
      <c r="E49" s="71"/>
      <c r="F49" s="124"/>
      <c r="G49" s="140"/>
      <c r="H49" s="70"/>
      <c r="I49" s="48"/>
      <c r="J49" s="69"/>
      <c r="K49" s="69"/>
      <c r="L49" s="69"/>
      <c r="M49" s="69"/>
      <c r="N49" s="69"/>
      <c r="O49" s="69"/>
      <c r="P49" s="69"/>
      <c r="Q49" s="72"/>
      <c r="S49" s="52"/>
    </row>
    <row r="50" spans="1:19" s="61" customFormat="1">
      <c r="A50" s="50"/>
      <c r="B50" s="27"/>
      <c r="C50" s="51"/>
      <c r="D50" s="53">
        <f>SUM(D10:D48)</f>
        <v>1265</v>
      </c>
      <c r="E50" s="53"/>
      <c r="F50" s="53">
        <f>SUM(F10:F48)</f>
        <v>53210.160000000025</v>
      </c>
      <c r="G50" s="144">
        <f>SUM(G10:G49)</f>
        <v>14247</v>
      </c>
      <c r="H50" s="53">
        <f>SUM(H10:H48)</f>
        <v>15048365.879999997</v>
      </c>
      <c r="I50" s="53">
        <f>SUM(I10:I48)</f>
        <v>12084331.160165008</v>
      </c>
      <c r="J50" s="73"/>
      <c r="K50" s="73"/>
      <c r="L50" s="73"/>
      <c r="M50" s="73"/>
      <c r="N50" s="73"/>
      <c r="O50" s="53">
        <f>SUM(O10:O48)</f>
        <v>905761.41000000015</v>
      </c>
      <c r="P50" s="53">
        <f>SUM(P10:P48)</f>
        <v>950169.17129703867</v>
      </c>
      <c r="Q50" s="53">
        <f>SUM(Q10:Q48)</f>
        <v>44407.761297038647</v>
      </c>
    </row>
    <row r="51" spans="1:19">
      <c r="C51" s="65"/>
      <c r="D51" s="66">
        <f>D9+D50</f>
        <v>7249</v>
      </c>
      <c r="E51" s="66"/>
      <c r="F51" s="104">
        <f>F9+F50</f>
        <v>356200.92000000004</v>
      </c>
      <c r="G51" s="66"/>
      <c r="H51" s="66">
        <f>H9+H50</f>
        <v>34848963.239999995</v>
      </c>
      <c r="I51" s="66">
        <f>I9+I50</f>
        <v>27984860.000000007</v>
      </c>
      <c r="J51" s="69"/>
      <c r="K51" s="75"/>
      <c r="L51" s="75"/>
      <c r="M51" s="75"/>
      <c r="N51" s="75"/>
      <c r="O51" s="75">
        <f>O9+O50</f>
        <v>2363503.41</v>
      </c>
      <c r="P51" s="75">
        <f>P9+P50</f>
        <v>2466525.7876520641</v>
      </c>
      <c r="Q51" s="75">
        <f>Q9+Q50</f>
        <v>103022.37765206385</v>
      </c>
    </row>
    <row r="52" spans="1:19">
      <c r="G52" s="145"/>
      <c r="J52" s="57"/>
      <c r="P52" s="62"/>
    </row>
    <row r="53" spans="1:19">
      <c r="G53" s="145"/>
      <c r="J53" s="57"/>
      <c r="P53" s="62"/>
    </row>
    <row r="54" spans="1:19">
      <c r="A54" s="76"/>
      <c r="B54" s="77"/>
      <c r="C54" s="81" t="s">
        <v>91</v>
      </c>
      <c r="D54" s="78"/>
      <c r="E54" s="76"/>
      <c r="F54" s="76"/>
      <c r="G54" s="146"/>
      <c r="H54" s="76"/>
      <c r="I54" s="79"/>
      <c r="J54" s="80"/>
      <c r="K54" s="76"/>
      <c r="L54" s="76"/>
      <c r="M54" s="76"/>
      <c r="N54" s="76"/>
      <c r="O54" s="61"/>
      <c r="P54" s="103"/>
      <c r="Q54" s="61"/>
    </row>
    <row r="55" spans="1:19" s="61" customFormat="1" ht="15" customHeight="1">
      <c r="A55" s="194" t="s">
        <v>49</v>
      </c>
      <c r="B55" s="49"/>
      <c r="C55" s="123"/>
      <c r="D55" s="70"/>
      <c r="E55" s="71"/>
      <c r="F55" s="70"/>
      <c r="G55" s="70"/>
      <c r="H55" s="70"/>
      <c r="I55" s="48"/>
      <c r="J55" s="69"/>
      <c r="K55" s="69"/>
      <c r="L55" s="69"/>
      <c r="M55" s="92"/>
      <c r="N55" s="149"/>
      <c r="O55" s="126"/>
      <c r="P55" s="69"/>
      <c r="Q55" s="69"/>
    </row>
    <row r="56" spans="1:19" s="61" customFormat="1">
      <c r="A56" s="194"/>
      <c r="B56" s="49">
        <v>22</v>
      </c>
      <c r="C56" s="107" t="s">
        <v>109</v>
      </c>
      <c r="D56" s="70">
        <v>0</v>
      </c>
      <c r="E56" s="71">
        <f>References!$B$8</f>
        <v>4.33</v>
      </c>
      <c r="F56" s="70">
        <f t="shared" ref="F56:F61" si="50">E56*12</f>
        <v>51.96</v>
      </c>
      <c r="G56" s="70">
        <f>References!B16</f>
        <v>51</v>
      </c>
      <c r="H56" s="70">
        <f t="shared" ref="H56:H65" si="51">F56*G56</f>
        <v>2649.96</v>
      </c>
      <c r="I56" s="48">
        <f t="shared" ref="I56:I67" si="52">$D$118*H56</f>
        <v>2128.0047585599282</v>
      </c>
      <c r="J56" s="69">
        <f>(References!$C$50*I56)</f>
        <v>7.6714571546085422</v>
      </c>
      <c r="K56" s="69">
        <f>J56/References!$G$53</f>
        <v>7.8200378742186976</v>
      </c>
      <c r="L56" s="69">
        <f>K56/F56*E56</f>
        <v>0.65166982285155806</v>
      </c>
      <c r="M56" s="92">
        <v>23</v>
      </c>
      <c r="N56" s="149">
        <f>L56+M56</f>
        <v>23.651669822851559</v>
      </c>
      <c r="O56" s="69"/>
      <c r="P56" s="69"/>
      <c r="Q56" s="69"/>
    </row>
    <row r="57" spans="1:19" s="61" customFormat="1">
      <c r="A57" s="194"/>
      <c r="B57" s="49">
        <v>22</v>
      </c>
      <c r="C57" s="107" t="s">
        <v>110</v>
      </c>
      <c r="D57" s="70">
        <v>0</v>
      </c>
      <c r="E57" s="71">
        <f>References!$B$8</f>
        <v>4.33</v>
      </c>
      <c r="F57" s="70">
        <f t="shared" si="50"/>
        <v>51.96</v>
      </c>
      <c r="G57" s="70">
        <f>References!B17</f>
        <v>77</v>
      </c>
      <c r="H57" s="70">
        <f t="shared" si="51"/>
        <v>4000.92</v>
      </c>
      <c r="I57" s="48">
        <f t="shared" si="52"/>
        <v>3212.8699295904798</v>
      </c>
      <c r="J57" s="69">
        <f>(References!$C$50*I57)</f>
        <v>11.582396096173682</v>
      </c>
      <c r="K57" s="69">
        <f>J57/References!$G$53</f>
        <v>11.806723849310583</v>
      </c>
      <c r="L57" s="69">
        <f t="shared" ref="L57:L65" si="53">K57/F57*E57</f>
        <v>0.98389365410921525</v>
      </c>
      <c r="M57" s="92">
        <v>28</v>
      </c>
      <c r="N57" s="149">
        <f t="shared" ref="N57:N65" si="54">L57+M57</f>
        <v>28.983893654109217</v>
      </c>
      <c r="O57" s="69"/>
      <c r="P57" s="69"/>
      <c r="Q57" s="69"/>
    </row>
    <row r="58" spans="1:19" s="61" customFormat="1">
      <c r="A58" s="194"/>
      <c r="B58" s="49">
        <v>22</v>
      </c>
      <c r="C58" s="107" t="s">
        <v>111</v>
      </c>
      <c r="D58" s="70">
        <v>0</v>
      </c>
      <c r="E58" s="71">
        <f>References!$B$8</f>
        <v>4.33</v>
      </c>
      <c r="F58" s="70">
        <f t="shared" si="50"/>
        <v>51.96</v>
      </c>
      <c r="G58" s="70">
        <f>References!B18</f>
        <v>97</v>
      </c>
      <c r="H58" s="70">
        <f t="shared" si="51"/>
        <v>5040.12</v>
      </c>
      <c r="I58" s="48">
        <f t="shared" si="52"/>
        <v>4047.3815996139811</v>
      </c>
      <c r="J58" s="69">
        <f>(References!$C$50*I58)</f>
        <v>14.590810666608403</v>
      </c>
      <c r="K58" s="69">
        <f>J58/References!$G$53</f>
        <v>14.873405368612032</v>
      </c>
      <c r="L58" s="69">
        <f t="shared" si="53"/>
        <v>1.239450447384336</v>
      </c>
      <c r="M58" s="92">
        <v>33</v>
      </c>
      <c r="N58" s="149">
        <f t="shared" si="54"/>
        <v>34.239450447384336</v>
      </c>
      <c r="O58" s="69"/>
      <c r="P58" s="69"/>
      <c r="Q58" s="69"/>
    </row>
    <row r="59" spans="1:19" s="61" customFormat="1">
      <c r="A59" s="194"/>
      <c r="B59" s="49">
        <v>22</v>
      </c>
      <c r="C59" s="107" t="s">
        <v>112</v>
      </c>
      <c r="D59" s="70">
        <v>0</v>
      </c>
      <c r="E59" s="71">
        <f>References!$B$8</f>
        <v>4.33</v>
      </c>
      <c r="F59" s="70">
        <f t="shared" si="50"/>
        <v>51.96</v>
      </c>
      <c r="G59" s="70">
        <f>References!B19</f>
        <v>117</v>
      </c>
      <c r="H59" s="70">
        <f t="shared" si="51"/>
        <v>6079.32</v>
      </c>
      <c r="I59" s="48">
        <f t="shared" si="52"/>
        <v>4881.8932696374823</v>
      </c>
      <c r="J59" s="69">
        <f>(References!$C$50*I59)</f>
        <v>17.599225237043125</v>
      </c>
      <c r="K59" s="69">
        <f>J59/References!$G$53</f>
        <v>17.94008688791348</v>
      </c>
      <c r="L59" s="69">
        <f t="shared" si="53"/>
        <v>1.4950072406594566</v>
      </c>
      <c r="M59" s="92">
        <v>38</v>
      </c>
      <c r="N59" s="149">
        <f t="shared" si="54"/>
        <v>39.495007240659454</v>
      </c>
      <c r="O59" s="69"/>
      <c r="P59" s="69"/>
      <c r="Q59" s="69"/>
    </row>
    <row r="60" spans="1:19" s="61" customFormat="1">
      <c r="A60" s="194"/>
      <c r="B60" s="49">
        <v>22</v>
      </c>
      <c r="C60" s="107" t="s">
        <v>113</v>
      </c>
      <c r="D60" s="70">
        <v>0</v>
      </c>
      <c r="E60" s="71">
        <f>References!$B$8</f>
        <v>4.33</v>
      </c>
      <c r="F60" s="70">
        <f t="shared" si="50"/>
        <v>51.96</v>
      </c>
      <c r="G60" s="70">
        <f>References!B20</f>
        <v>157</v>
      </c>
      <c r="H60" s="70">
        <f t="shared" si="51"/>
        <v>8157.72</v>
      </c>
      <c r="I60" s="48">
        <f t="shared" si="52"/>
        <v>6550.9166096844847</v>
      </c>
      <c r="J60" s="69">
        <f>(References!$C$50*I60)</f>
        <v>23.616054377912572</v>
      </c>
      <c r="K60" s="69">
        <f>J60/References!$G$53</f>
        <v>24.073449926516385</v>
      </c>
      <c r="L60" s="69">
        <f t="shared" si="53"/>
        <v>2.0061208272096986</v>
      </c>
      <c r="M60" s="92">
        <v>43</v>
      </c>
      <c r="N60" s="149">
        <f>L60+M60</f>
        <v>45.006120827209699</v>
      </c>
      <c r="O60" s="69"/>
      <c r="P60" s="69"/>
      <c r="Q60" s="69"/>
    </row>
    <row r="61" spans="1:19" s="61" customFormat="1">
      <c r="A61" s="194"/>
      <c r="B61" s="49">
        <v>22</v>
      </c>
      <c r="C61" s="107" t="s">
        <v>108</v>
      </c>
      <c r="D61" s="70">
        <v>0</v>
      </c>
      <c r="E61" s="71">
        <f>References!B10</f>
        <v>1</v>
      </c>
      <c r="F61" s="70">
        <f t="shared" si="50"/>
        <v>12</v>
      </c>
      <c r="G61" s="70">
        <f>References!B15</f>
        <v>34</v>
      </c>
      <c r="H61" s="70">
        <f t="shared" si="51"/>
        <v>408</v>
      </c>
      <c r="I61" s="48">
        <f t="shared" si="52"/>
        <v>327.63737622169793</v>
      </c>
      <c r="J61" s="69">
        <f>(References!$C$50*I61)</f>
        <v>1.1811327412792212</v>
      </c>
      <c r="K61" s="69">
        <f>J61/References!$G$53</f>
        <v>1.2040089105802458</v>
      </c>
      <c r="L61" s="69">
        <f t="shared" si="53"/>
        <v>0.10033407588168715</v>
      </c>
      <c r="M61" s="92">
        <v>8.5</v>
      </c>
      <c r="N61" s="149">
        <f t="shared" si="54"/>
        <v>8.6003340758816869</v>
      </c>
      <c r="O61" s="69"/>
      <c r="P61" s="69"/>
      <c r="Q61" s="69"/>
    </row>
    <row r="62" spans="1:19" s="61" customFormat="1">
      <c r="A62" s="194"/>
      <c r="B62" s="49">
        <v>22</v>
      </c>
      <c r="C62" s="107" t="s">
        <v>143</v>
      </c>
      <c r="D62" s="70"/>
      <c r="E62" s="71">
        <v>1</v>
      </c>
      <c r="F62" s="70">
        <v>52</v>
      </c>
      <c r="G62" s="142">
        <f>References!B29</f>
        <v>250</v>
      </c>
      <c r="H62" s="70">
        <f t="shared" ref="H62" si="55">F62*G62</f>
        <v>13000</v>
      </c>
      <c r="I62" s="48">
        <f t="shared" si="52"/>
        <v>10439.426203142337</v>
      </c>
      <c r="J62" s="69">
        <f>(References!$C$50*I62)</f>
        <v>37.634131462328128</v>
      </c>
      <c r="K62" s="69">
        <f>J62/References!$G$53</f>
        <v>38.363029013586271</v>
      </c>
      <c r="L62" s="69">
        <f t="shared" ref="L62" si="56">K62/F62*E62</f>
        <v>0.73775055795358213</v>
      </c>
      <c r="M62" s="92">
        <v>66.25</v>
      </c>
      <c r="N62" s="149">
        <f t="shared" ref="N62" si="57">L62+M62</f>
        <v>66.987750557953575</v>
      </c>
      <c r="O62" s="69"/>
      <c r="P62" s="69"/>
      <c r="Q62" s="69"/>
    </row>
    <row r="63" spans="1:19" s="61" customFormat="1">
      <c r="A63" s="194"/>
      <c r="B63" s="49">
        <v>23</v>
      </c>
      <c r="C63" s="107" t="s">
        <v>144</v>
      </c>
      <c r="D63" s="70">
        <v>0</v>
      </c>
      <c r="E63" s="71">
        <f>References!$B$8</f>
        <v>4.33</v>
      </c>
      <c r="F63" s="70">
        <v>1</v>
      </c>
      <c r="G63" s="70">
        <f>+References!B22</f>
        <v>47</v>
      </c>
      <c r="H63" s="70">
        <f t="shared" si="51"/>
        <v>47</v>
      </c>
      <c r="I63" s="48">
        <f t="shared" si="52"/>
        <v>37.742540888283834</v>
      </c>
      <c r="J63" s="69">
        <f>(References!$C$50*I63)</f>
        <v>0.13606185990226324</v>
      </c>
      <c r="K63" s="69">
        <f>J63/References!$G$53</f>
        <v>0.13869710489527345</v>
      </c>
      <c r="L63" s="69">
        <f t="shared" si="53"/>
        <v>0.60055846419653403</v>
      </c>
      <c r="M63" s="92">
        <v>17.25</v>
      </c>
      <c r="N63" s="149">
        <f t="shared" si="54"/>
        <v>17.850558464196535</v>
      </c>
      <c r="O63" s="69"/>
      <c r="P63" s="69"/>
      <c r="Q63" s="69"/>
    </row>
    <row r="64" spans="1:19" s="61" customFormat="1">
      <c r="A64" s="194"/>
      <c r="B64" s="49">
        <v>23</v>
      </c>
      <c r="C64" s="107" t="s">
        <v>145</v>
      </c>
      <c r="D64" s="70">
        <v>0</v>
      </c>
      <c r="E64" s="71">
        <f>References!$B$8</f>
        <v>4.33</v>
      </c>
      <c r="F64" s="70">
        <v>1</v>
      </c>
      <c r="G64" s="70">
        <f>References!B23</f>
        <v>68</v>
      </c>
      <c r="H64" s="70">
        <f t="shared" si="51"/>
        <v>68</v>
      </c>
      <c r="I64" s="48">
        <f t="shared" si="52"/>
        <v>54.606229370282989</v>
      </c>
      <c r="J64" s="69">
        <f>(References!$C$50*I64)</f>
        <v>0.19685545687987022</v>
      </c>
      <c r="K64" s="69">
        <f>J64/References!$G$53</f>
        <v>0.20066815176337433</v>
      </c>
      <c r="L64" s="69">
        <f t="shared" si="53"/>
        <v>0.86889309713541085</v>
      </c>
      <c r="M64" s="92">
        <v>21.25</v>
      </c>
      <c r="N64" s="149">
        <f t="shared" si="54"/>
        <v>22.118893097135413</v>
      </c>
      <c r="O64" s="69"/>
      <c r="P64" s="69"/>
      <c r="Q64" s="69"/>
    </row>
    <row r="65" spans="1:17" s="61" customFormat="1">
      <c r="A65" s="194"/>
      <c r="B65" s="49">
        <v>23</v>
      </c>
      <c r="C65" s="107" t="s">
        <v>146</v>
      </c>
      <c r="D65" s="70">
        <v>0</v>
      </c>
      <c r="E65" s="71">
        <f>References!$B$8</f>
        <v>4.33</v>
      </c>
      <c r="F65" s="70">
        <v>1</v>
      </c>
      <c r="G65" s="70">
        <f>+References!B15</f>
        <v>34</v>
      </c>
      <c r="H65" s="70">
        <f t="shared" si="51"/>
        <v>34</v>
      </c>
      <c r="I65" s="48">
        <f t="shared" si="52"/>
        <v>27.303114685141495</v>
      </c>
      <c r="J65" s="69">
        <f>(References!$C$50*I65)</f>
        <v>9.8427728439935108E-2</v>
      </c>
      <c r="K65" s="69">
        <f>J65/References!$G$53</f>
        <v>0.10033407588168716</v>
      </c>
      <c r="L65" s="69">
        <f t="shared" si="53"/>
        <v>0.43444654856770543</v>
      </c>
      <c r="M65" s="92">
        <v>11.25</v>
      </c>
      <c r="N65" s="149">
        <f t="shared" si="54"/>
        <v>11.684446548567706</v>
      </c>
      <c r="O65" s="69"/>
      <c r="P65" s="69"/>
      <c r="Q65" s="69"/>
    </row>
    <row r="66" spans="1:17" s="61" customFormat="1" ht="15" customHeight="1">
      <c r="A66" s="136"/>
      <c r="B66" s="49">
        <v>33</v>
      </c>
      <c r="C66" s="46" t="s">
        <v>138</v>
      </c>
      <c r="D66" s="70">
        <v>1</v>
      </c>
      <c r="E66" s="71">
        <f>References!$B$8</f>
        <v>4.33</v>
      </c>
      <c r="F66" s="70">
        <f>E66*12</f>
        <v>51.96</v>
      </c>
      <c r="G66" s="70">
        <f>References!B15</f>
        <v>34</v>
      </c>
      <c r="H66" s="70">
        <f>F66*G66</f>
        <v>1766.64</v>
      </c>
      <c r="I66" s="48">
        <f t="shared" si="52"/>
        <v>1418.6698390399522</v>
      </c>
      <c r="J66" s="69">
        <f>(References!$C$50*I66)</f>
        <v>5.1143047697390287</v>
      </c>
      <c r="K66" s="69">
        <f>J66/References!$G$53</f>
        <v>5.2133585828124653</v>
      </c>
      <c r="L66" s="69">
        <f>K66/F66*E66</f>
        <v>0.43444654856770543</v>
      </c>
      <c r="M66" s="92">
        <v>15.5</v>
      </c>
      <c r="N66" s="149">
        <f>L66+M66</f>
        <v>15.934446548567706</v>
      </c>
      <c r="O66" s="69"/>
      <c r="P66" s="69"/>
      <c r="Q66" s="69"/>
    </row>
    <row r="67" spans="1:17" s="61" customFormat="1">
      <c r="A67" s="136"/>
      <c r="B67" s="49">
        <v>24</v>
      </c>
      <c r="C67" s="61" t="s">
        <v>106</v>
      </c>
      <c r="D67" s="70">
        <v>0</v>
      </c>
      <c r="E67" s="71">
        <f>References!B10</f>
        <v>1</v>
      </c>
      <c r="F67" s="70">
        <f>E67*12</f>
        <v>12</v>
      </c>
      <c r="G67" s="70">
        <f>References!B43</f>
        <v>125</v>
      </c>
      <c r="H67" s="70">
        <f>F67*G67</f>
        <v>1500</v>
      </c>
      <c r="I67" s="48">
        <f t="shared" si="52"/>
        <v>1204.5491772856542</v>
      </c>
      <c r="J67" s="69">
        <f>(References!$C$50*I67)</f>
        <v>4.3423997841147841</v>
      </c>
      <c r="K67" s="69">
        <f>J67/References!$G$53</f>
        <v>4.4265033477214928</v>
      </c>
      <c r="L67" s="69">
        <f>K67/F67*E67</f>
        <v>0.36887527897679107</v>
      </c>
      <c r="M67" s="92">
        <v>13</v>
      </c>
      <c r="N67" s="149">
        <f>L67+M67</f>
        <v>13.368875278976791</v>
      </c>
      <c r="O67" s="69"/>
      <c r="P67" s="69"/>
      <c r="Q67" s="69"/>
    </row>
    <row r="68" spans="1:17" s="61" customFormat="1">
      <c r="A68" s="136"/>
      <c r="B68" s="49"/>
      <c r="C68" s="110"/>
      <c r="D68" s="70"/>
      <c r="E68" s="71"/>
      <c r="F68" s="70"/>
      <c r="G68" s="70"/>
      <c r="H68" s="70"/>
      <c r="I68" s="48"/>
      <c r="J68" s="69"/>
      <c r="K68" s="69"/>
      <c r="L68" s="69"/>
      <c r="M68" s="92"/>
      <c r="N68" s="69"/>
      <c r="O68" s="69"/>
      <c r="P68" s="69"/>
      <c r="Q68" s="69"/>
    </row>
    <row r="69" spans="1:17" s="61" customFormat="1">
      <c r="A69" s="128"/>
      <c r="B69" s="129"/>
      <c r="C69" s="110"/>
      <c r="D69" s="130"/>
      <c r="E69" s="131"/>
      <c r="F69" s="132"/>
      <c r="G69" s="132"/>
      <c r="H69" s="132"/>
      <c r="I69" s="133"/>
      <c r="J69" s="134"/>
      <c r="K69" s="134"/>
      <c r="L69" s="134"/>
      <c r="M69" s="135"/>
      <c r="N69" s="134"/>
      <c r="O69" s="69"/>
      <c r="P69" s="69"/>
      <c r="Q69" s="69"/>
    </row>
    <row r="70" spans="1:17" s="61" customFormat="1">
      <c r="A70" s="195" t="s">
        <v>14</v>
      </c>
      <c r="B70" s="49">
        <v>24</v>
      </c>
      <c r="C70" s="107" t="s">
        <v>115</v>
      </c>
      <c r="D70" s="58">
        <v>0</v>
      </c>
      <c r="E70" s="71">
        <f>References!$B$10</f>
        <v>1</v>
      </c>
      <c r="F70" s="70">
        <f>E70*12</f>
        <v>12</v>
      </c>
      <c r="G70" s="70">
        <f>References!B43</f>
        <v>125</v>
      </c>
      <c r="H70" s="70">
        <f>F70*G70</f>
        <v>1500</v>
      </c>
      <c r="I70" s="48">
        <f>$D$118*H70</f>
        <v>1204.5491772856542</v>
      </c>
      <c r="J70" s="69">
        <f>(References!$C$50*I70)</f>
        <v>4.3423997841147841</v>
      </c>
      <c r="K70" s="69">
        <f>J70/References!$G$53</f>
        <v>4.4265033477214928</v>
      </c>
      <c r="L70" s="69">
        <f>K70/F70</f>
        <v>0.36887527897679107</v>
      </c>
      <c r="M70" s="69">
        <v>11</v>
      </c>
      <c r="N70" s="149">
        <f>L70+M70</f>
        <v>11.368875278976791</v>
      </c>
      <c r="O70" s="69"/>
      <c r="P70" s="69"/>
      <c r="Q70" s="69"/>
    </row>
    <row r="71" spans="1:17" s="61" customFormat="1">
      <c r="A71" s="194"/>
      <c r="B71" s="49">
        <v>24</v>
      </c>
      <c r="C71" s="107" t="s">
        <v>116</v>
      </c>
      <c r="D71" s="58">
        <v>0</v>
      </c>
      <c r="E71" s="71">
        <f>References!$B$10</f>
        <v>1</v>
      </c>
      <c r="F71" s="70">
        <f>E71*12</f>
        <v>12</v>
      </c>
      <c r="G71" s="70">
        <f>References!B43</f>
        <v>125</v>
      </c>
      <c r="H71" s="70">
        <f>F71*G71</f>
        <v>1500</v>
      </c>
      <c r="I71" s="48">
        <f>$D$118*H71</f>
        <v>1204.5491772856542</v>
      </c>
      <c r="J71" s="69">
        <f>(References!$C$50*I71)</f>
        <v>4.3423997841147841</v>
      </c>
      <c r="K71" s="69">
        <f>J71/References!$G$53</f>
        <v>4.4265033477214928</v>
      </c>
      <c r="L71" s="69">
        <f>K71/F71</f>
        <v>0.36887527897679107</v>
      </c>
      <c r="M71" s="69">
        <v>13</v>
      </c>
      <c r="N71" s="149">
        <f>L71+M71</f>
        <v>13.368875278976791</v>
      </c>
      <c r="O71" s="69"/>
      <c r="P71" s="69"/>
      <c r="Q71" s="69"/>
    </row>
    <row r="72" spans="1:17" s="61" customFormat="1">
      <c r="A72" s="194"/>
      <c r="B72" s="49">
        <v>24</v>
      </c>
      <c r="C72" s="107" t="s">
        <v>117</v>
      </c>
      <c r="D72" s="58">
        <v>0</v>
      </c>
      <c r="E72" s="71">
        <f>References!$B$10</f>
        <v>1</v>
      </c>
      <c r="F72" s="70">
        <f>E72*12</f>
        <v>12</v>
      </c>
      <c r="G72" s="70">
        <f>References!B43</f>
        <v>125</v>
      </c>
      <c r="H72" s="70">
        <f>F72*G72</f>
        <v>1500</v>
      </c>
      <c r="I72" s="48">
        <f>$D$118*H72</f>
        <v>1204.5491772856542</v>
      </c>
      <c r="J72" s="69">
        <f>(References!$C$50*I72)</f>
        <v>4.3423997841147841</v>
      </c>
      <c r="K72" s="69">
        <f>J72/References!$G$53</f>
        <v>4.4265033477214928</v>
      </c>
      <c r="L72" s="69">
        <f>K72/F72</f>
        <v>0.36887527897679107</v>
      </c>
      <c r="M72" s="69">
        <v>13</v>
      </c>
      <c r="N72" s="149">
        <f>L72+M72</f>
        <v>13.368875278976791</v>
      </c>
      <c r="O72" s="69"/>
      <c r="P72" s="69"/>
      <c r="Q72" s="69"/>
    </row>
    <row r="73" spans="1:17" s="61" customFormat="1">
      <c r="A73" s="194"/>
      <c r="B73" s="49">
        <v>31</v>
      </c>
      <c r="C73" s="123" t="s">
        <v>103</v>
      </c>
      <c r="D73" s="58">
        <v>0</v>
      </c>
      <c r="E73" s="71">
        <f>References!$B$10</f>
        <v>1</v>
      </c>
      <c r="F73" s="70">
        <f>E73*12</f>
        <v>12</v>
      </c>
      <c r="G73" s="70">
        <f>References!B22</f>
        <v>47</v>
      </c>
      <c r="H73" s="70">
        <f>F73*G73</f>
        <v>564</v>
      </c>
      <c r="I73" s="48">
        <f>$D$118*H73</f>
        <v>452.91049065940598</v>
      </c>
      <c r="J73" s="69">
        <f>(References!$C$50*I73)</f>
        <v>1.6327423188271588</v>
      </c>
      <c r="K73" s="69">
        <f>J73/References!$G$53</f>
        <v>1.6643652587432811</v>
      </c>
      <c r="L73" s="69">
        <f>K73/F73</f>
        <v>0.13869710489527343</v>
      </c>
      <c r="M73" s="69">
        <v>5</v>
      </c>
      <c r="N73" s="149">
        <f>L73+M73</f>
        <v>5.1386971048952734</v>
      </c>
      <c r="O73" s="69"/>
      <c r="P73" s="69"/>
      <c r="Q73" s="69"/>
    </row>
    <row r="74" spans="1:17" s="61" customFormat="1">
      <c r="A74" s="194"/>
      <c r="B74" s="49">
        <v>33</v>
      </c>
      <c r="C74" s="147" t="s">
        <v>166</v>
      </c>
      <c r="D74" s="70"/>
      <c r="E74" s="71">
        <f>References!$B$10</f>
        <v>1</v>
      </c>
      <c r="F74" s="125">
        <v>12</v>
      </c>
      <c r="G74" s="70">
        <f>References!B22</f>
        <v>47</v>
      </c>
      <c r="H74" s="109">
        <f>F74*G74</f>
        <v>564</v>
      </c>
      <c r="I74" s="48">
        <f>$D$118*H74</f>
        <v>452.91049065940598</v>
      </c>
      <c r="J74" s="69">
        <f>(References!$C$50*I74)</f>
        <v>1.6327423188271588</v>
      </c>
      <c r="K74" s="69">
        <f>J74/References!$G$53</f>
        <v>1.6643652587432811</v>
      </c>
      <c r="L74" s="69">
        <f>K74/F74</f>
        <v>0.13869710489527343</v>
      </c>
      <c r="M74" s="69">
        <v>13.75</v>
      </c>
      <c r="N74" s="149">
        <f t="shared" ref="N74:N83" si="58">L74+M74</f>
        <v>13.888697104895273</v>
      </c>
      <c r="O74" s="69"/>
      <c r="P74" s="69"/>
      <c r="Q74" s="69"/>
    </row>
    <row r="75" spans="1:17" s="61" customFormat="1">
      <c r="A75" s="194"/>
      <c r="B75" s="49">
        <v>32</v>
      </c>
      <c r="C75" s="123" t="s">
        <v>121</v>
      </c>
      <c r="D75" s="58">
        <v>0</v>
      </c>
      <c r="E75" s="71">
        <f>References!$B$10</f>
        <v>1</v>
      </c>
      <c r="F75" s="70">
        <f t="shared" ref="F75" si="59">E75*12</f>
        <v>12</v>
      </c>
      <c r="G75" s="70">
        <f>+References!B28</f>
        <v>175</v>
      </c>
      <c r="H75" s="109">
        <f t="shared" ref="H75" si="60">F75*G75</f>
        <v>2100</v>
      </c>
      <c r="I75" s="48">
        <f t="shared" ref="I75" si="61">$D$118*H75</f>
        <v>1686.3688481999159</v>
      </c>
      <c r="J75" s="69">
        <f>(References!$C$50*I75)</f>
        <v>6.0793596977606974</v>
      </c>
      <c r="K75" s="69">
        <f>J75/References!$G$53</f>
        <v>6.1971046868100892</v>
      </c>
      <c r="L75" s="69">
        <f t="shared" ref="L75" si="62">K75/F75</f>
        <v>0.51642539056750747</v>
      </c>
      <c r="M75" s="69">
        <v>25.25</v>
      </c>
      <c r="N75" s="149">
        <f t="shared" ref="N75" si="63">L75+M75</f>
        <v>25.766425390567509</v>
      </c>
      <c r="O75" s="69"/>
      <c r="P75" s="69"/>
      <c r="Q75" s="69"/>
    </row>
    <row r="76" spans="1:17" s="61" customFormat="1">
      <c r="A76" s="194"/>
      <c r="B76" s="49">
        <v>32</v>
      </c>
      <c r="C76" s="148" t="s">
        <v>123</v>
      </c>
      <c r="D76" s="58">
        <v>0</v>
      </c>
      <c r="E76" s="71">
        <f>References!$B$10</f>
        <v>1</v>
      </c>
      <c r="F76" s="70">
        <f t="shared" ref="F76:F83" si="64">E76*12</f>
        <v>12</v>
      </c>
      <c r="G76" s="70">
        <f>References!B29</f>
        <v>250</v>
      </c>
      <c r="H76" s="109">
        <f t="shared" ref="H76:H83" si="65">F76*G76</f>
        <v>3000</v>
      </c>
      <c r="I76" s="48">
        <f t="shared" ref="I76:I85" si="66">$D$118*H76</f>
        <v>2409.0983545713084</v>
      </c>
      <c r="J76" s="69">
        <f>(References!$C$50*I76)</f>
        <v>8.6847995682295682</v>
      </c>
      <c r="K76" s="69">
        <f>J76/References!$G$53</f>
        <v>8.8530066954429856</v>
      </c>
      <c r="L76" s="69">
        <f t="shared" ref="L76:L83" si="67">K76/F76</f>
        <v>0.73775055795358213</v>
      </c>
      <c r="M76" s="69">
        <v>39</v>
      </c>
      <c r="N76" s="149">
        <f t="shared" si="58"/>
        <v>39.737750557953582</v>
      </c>
      <c r="O76" s="69"/>
      <c r="P76" s="69"/>
      <c r="Q76" s="69"/>
    </row>
    <row r="77" spans="1:17" s="61" customFormat="1">
      <c r="A77" s="194"/>
      <c r="B77" s="49">
        <v>32</v>
      </c>
      <c r="C77" s="148" t="s">
        <v>124</v>
      </c>
      <c r="D77" s="58">
        <v>0</v>
      </c>
      <c r="E77" s="71">
        <f>References!$B$10</f>
        <v>1</v>
      </c>
      <c r="F77" s="70">
        <f t="shared" si="64"/>
        <v>12</v>
      </c>
      <c r="G77" s="70">
        <f>References!B29</f>
        <v>250</v>
      </c>
      <c r="H77" s="109">
        <f t="shared" si="65"/>
        <v>3000</v>
      </c>
      <c r="I77" s="48">
        <f t="shared" si="66"/>
        <v>2409.0983545713084</v>
      </c>
      <c r="J77" s="69">
        <f>(References!$C$50*I77)</f>
        <v>8.6847995682295682</v>
      </c>
      <c r="K77" s="69">
        <f>J77/References!$G$53</f>
        <v>8.8530066954429856</v>
      </c>
      <c r="L77" s="69">
        <f t="shared" si="67"/>
        <v>0.73775055795358213</v>
      </c>
      <c r="M77" s="69">
        <v>25.25</v>
      </c>
      <c r="N77" s="149">
        <f t="shared" si="58"/>
        <v>25.987750557953582</v>
      </c>
      <c r="O77" s="69"/>
      <c r="P77" s="69"/>
      <c r="Q77" s="69"/>
    </row>
    <row r="78" spans="1:17" s="61" customFormat="1">
      <c r="A78" s="194"/>
      <c r="B78" s="49">
        <v>32</v>
      </c>
      <c r="C78" s="46" t="s">
        <v>126</v>
      </c>
      <c r="D78" s="58">
        <v>0</v>
      </c>
      <c r="E78" s="71">
        <f>References!$B$10</f>
        <v>1</v>
      </c>
      <c r="F78" s="70">
        <f t="shared" si="64"/>
        <v>12</v>
      </c>
      <c r="G78" s="70">
        <f>References!B30</f>
        <v>324</v>
      </c>
      <c r="H78" s="109">
        <f t="shared" si="65"/>
        <v>3888</v>
      </c>
      <c r="I78" s="48">
        <f t="shared" si="66"/>
        <v>3122.1914675244157</v>
      </c>
      <c r="J78" s="69">
        <f>(References!$C$50*I78)</f>
        <v>11.255500240425521</v>
      </c>
      <c r="K78" s="69">
        <f>J78/References!$G$53</f>
        <v>11.47349667729411</v>
      </c>
      <c r="L78" s="69">
        <f t="shared" si="67"/>
        <v>0.95612472310784247</v>
      </c>
      <c r="M78" s="69">
        <v>42</v>
      </c>
      <c r="N78" s="149">
        <f t="shared" si="58"/>
        <v>42.956124723107841</v>
      </c>
      <c r="O78" s="69"/>
      <c r="P78" s="69"/>
      <c r="Q78" s="69"/>
    </row>
    <row r="79" spans="1:17" s="61" customFormat="1">
      <c r="A79" s="194"/>
      <c r="B79" s="49">
        <v>32</v>
      </c>
      <c r="C79" s="46" t="s">
        <v>127</v>
      </c>
      <c r="D79" s="58">
        <v>0</v>
      </c>
      <c r="E79" s="71">
        <f>References!$B$10</f>
        <v>1</v>
      </c>
      <c r="F79" s="70">
        <f t="shared" si="64"/>
        <v>12</v>
      </c>
      <c r="G79" s="70">
        <f>References!B30</f>
        <v>324</v>
      </c>
      <c r="H79" s="109">
        <f t="shared" si="65"/>
        <v>3888</v>
      </c>
      <c r="I79" s="48">
        <f t="shared" si="66"/>
        <v>3122.1914675244157</v>
      </c>
      <c r="J79" s="69">
        <f>(References!$C$50*I79)</f>
        <v>11.255500240425521</v>
      </c>
      <c r="K79" s="69">
        <f>J79/References!$G$53</f>
        <v>11.47349667729411</v>
      </c>
      <c r="L79" s="69">
        <f t="shared" si="67"/>
        <v>0.95612472310784247</v>
      </c>
      <c r="M79" s="69">
        <v>32.25</v>
      </c>
      <c r="N79" s="149">
        <f t="shared" si="58"/>
        <v>33.206124723107841</v>
      </c>
      <c r="O79" s="69"/>
      <c r="P79" s="69"/>
      <c r="Q79" s="69"/>
    </row>
    <row r="80" spans="1:17" s="61" customFormat="1">
      <c r="A80" s="194"/>
      <c r="B80" s="49">
        <v>32</v>
      </c>
      <c r="C80" s="148" t="s">
        <v>129</v>
      </c>
      <c r="D80" s="58">
        <v>0</v>
      </c>
      <c r="E80" s="71">
        <f>References!$B$10</f>
        <v>1</v>
      </c>
      <c r="F80" s="70">
        <f t="shared" si="64"/>
        <v>12</v>
      </c>
      <c r="G80" s="70">
        <f>References!B31</f>
        <v>473</v>
      </c>
      <c r="H80" s="109">
        <f t="shared" si="65"/>
        <v>5676</v>
      </c>
      <c r="I80" s="48">
        <f t="shared" si="66"/>
        <v>4558.0140868489161</v>
      </c>
      <c r="J80" s="69">
        <f>(References!$C$50*I80)</f>
        <v>16.431640783090344</v>
      </c>
      <c r="K80" s="69">
        <f>J80/References!$G$53</f>
        <v>16.74988866777813</v>
      </c>
      <c r="L80" s="69">
        <f t="shared" si="67"/>
        <v>1.3958240556481776</v>
      </c>
      <c r="M80" s="69">
        <v>46</v>
      </c>
      <c r="N80" s="149">
        <f t="shared" si="58"/>
        <v>47.395824055648177</v>
      </c>
      <c r="O80" s="69"/>
      <c r="P80" s="69"/>
      <c r="Q80" s="69"/>
    </row>
    <row r="81" spans="1:17" s="61" customFormat="1">
      <c r="A81" s="194"/>
      <c r="B81" s="49">
        <v>32</v>
      </c>
      <c r="C81" s="107" t="s">
        <v>118</v>
      </c>
      <c r="D81" s="58">
        <v>0</v>
      </c>
      <c r="E81" s="71">
        <f>References!$B$10</f>
        <v>1</v>
      </c>
      <c r="F81" s="70">
        <f t="shared" si="64"/>
        <v>12</v>
      </c>
      <c r="G81" s="70">
        <f>References!B23</f>
        <v>68</v>
      </c>
      <c r="H81" s="70">
        <f t="shared" si="65"/>
        <v>816</v>
      </c>
      <c r="I81" s="48">
        <f t="shared" si="66"/>
        <v>655.27475244339587</v>
      </c>
      <c r="J81" s="69">
        <f>(References!$C$50*I81)</f>
        <v>2.3622654825584424</v>
      </c>
      <c r="K81" s="69">
        <f>J81/References!$G$53</f>
        <v>2.4080178211604917</v>
      </c>
      <c r="L81" s="69">
        <f t="shared" si="67"/>
        <v>0.2006681517633743</v>
      </c>
      <c r="M81" s="69">
        <v>7</v>
      </c>
      <c r="N81" s="149">
        <f t="shared" si="58"/>
        <v>7.2006681517633746</v>
      </c>
      <c r="O81" s="69"/>
      <c r="P81" s="69"/>
      <c r="Q81" s="69"/>
    </row>
    <row r="82" spans="1:17" s="61" customFormat="1">
      <c r="A82" s="194"/>
      <c r="B82" s="49">
        <v>32</v>
      </c>
      <c r="C82" s="107" t="s">
        <v>114</v>
      </c>
      <c r="D82" s="58">
        <v>0</v>
      </c>
      <c r="E82" s="71">
        <f>References!$B$10</f>
        <v>1</v>
      </c>
      <c r="F82" s="70">
        <f t="shared" si="64"/>
        <v>12</v>
      </c>
      <c r="G82" s="70">
        <f>References!B22</f>
        <v>47</v>
      </c>
      <c r="H82" s="109">
        <f t="shared" si="65"/>
        <v>564</v>
      </c>
      <c r="I82" s="48">
        <f t="shared" si="66"/>
        <v>452.91049065940598</v>
      </c>
      <c r="J82" s="69">
        <f>(References!$C$50*I82)</f>
        <v>1.6327423188271588</v>
      </c>
      <c r="K82" s="69">
        <f>J82/References!$G$53</f>
        <v>1.6643652587432811</v>
      </c>
      <c r="L82" s="69">
        <f t="shared" si="67"/>
        <v>0.13869710489527343</v>
      </c>
      <c r="M82" s="69">
        <v>5</v>
      </c>
      <c r="N82" s="149">
        <f t="shared" si="58"/>
        <v>5.1386971048952734</v>
      </c>
      <c r="O82" s="69"/>
      <c r="P82" s="69"/>
      <c r="Q82" s="69"/>
    </row>
    <row r="83" spans="1:17" s="61" customFormat="1">
      <c r="A83" s="194"/>
      <c r="B83" s="49">
        <v>32</v>
      </c>
      <c r="C83" s="107" t="s">
        <v>114</v>
      </c>
      <c r="D83" s="58">
        <v>0</v>
      </c>
      <c r="E83" s="71">
        <f>References!$B$10</f>
        <v>1</v>
      </c>
      <c r="F83" s="70">
        <f t="shared" si="64"/>
        <v>12</v>
      </c>
      <c r="G83" s="70">
        <f>References!B22</f>
        <v>47</v>
      </c>
      <c r="H83" s="109">
        <f t="shared" si="65"/>
        <v>564</v>
      </c>
      <c r="I83" s="48">
        <f t="shared" si="66"/>
        <v>452.91049065940598</v>
      </c>
      <c r="J83" s="69">
        <f>(References!$C$50*I83)</f>
        <v>1.6327423188271588</v>
      </c>
      <c r="K83" s="69">
        <f>J83/References!$G$53</f>
        <v>1.6643652587432811</v>
      </c>
      <c r="L83" s="69">
        <f t="shared" si="67"/>
        <v>0.13869710489527343</v>
      </c>
      <c r="M83" s="69">
        <v>5</v>
      </c>
      <c r="N83" s="149">
        <f t="shared" si="58"/>
        <v>5.1386971048952734</v>
      </c>
      <c r="O83" s="69"/>
      <c r="P83" s="69"/>
      <c r="Q83" s="69"/>
    </row>
    <row r="84" spans="1:17" s="61" customFormat="1">
      <c r="A84" s="194"/>
      <c r="B84" s="49">
        <v>32</v>
      </c>
      <c r="C84" s="148" t="s">
        <v>161</v>
      </c>
      <c r="D84" s="58">
        <v>0</v>
      </c>
      <c r="E84" s="71">
        <f>References!$B$10</f>
        <v>1</v>
      </c>
      <c r="F84" s="70">
        <f>E84*12</f>
        <v>12</v>
      </c>
      <c r="G84" s="70">
        <f>References!B32</f>
        <v>613</v>
      </c>
      <c r="H84" s="109">
        <f>F84*G84</f>
        <v>7356</v>
      </c>
      <c r="I84" s="48">
        <f t="shared" si="66"/>
        <v>5907.1091654088486</v>
      </c>
      <c r="J84" s="69">
        <f>(References!$C$50*I84)</f>
        <v>21.295128541298904</v>
      </c>
      <c r="K84" s="69">
        <f>J84/References!$G$53</f>
        <v>21.707572417226203</v>
      </c>
      <c r="L84" s="69">
        <f>K84/F84</f>
        <v>1.8089643681021836</v>
      </c>
      <c r="M84" s="69">
        <v>30</v>
      </c>
      <c r="N84" s="149">
        <f>L84+M84</f>
        <v>31.808964368102185</v>
      </c>
      <c r="O84" s="69"/>
      <c r="P84" s="69"/>
      <c r="Q84" s="69"/>
    </row>
    <row r="85" spans="1:17" s="61" customFormat="1">
      <c r="A85" s="194"/>
      <c r="B85" s="49">
        <v>32</v>
      </c>
      <c r="C85" s="148" t="s">
        <v>162</v>
      </c>
      <c r="D85" s="58">
        <v>0</v>
      </c>
      <c r="E85" s="71">
        <f>References!$B$10</f>
        <v>1</v>
      </c>
      <c r="F85" s="70">
        <f>E85*12</f>
        <v>12</v>
      </c>
      <c r="G85" s="70">
        <f>References!B33</f>
        <v>840</v>
      </c>
      <c r="H85" s="70">
        <f>F85*G85</f>
        <v>10080</v>
      </c>
      <c r="I85" s="48">
        <f t="shared" si="66"/>
        <v>8094.5704713595969</v>
      </c>
      <c r="J85" s="69">
        <f>(References!$C$50*I85)</f>
        <v>29.180926549251353</v>
      </c>
      <c r="K85" s="69">
        <f>J85/References!$G$53</f>
        <v>29.746102496688433</v>
      </c>
      <c r="L85" s="69">
        <f>K85/F85</f>
        <v>2.4788418747240359</v>
      </c>
      <c r="M85" s="69">
        <v>35</v>
      </c>
      <c r="N85" s="149">
        <f>L85+M85</f>
        <v>37.478841874724033</v>
      </c>
      <c r="O85" s="69"/>
      <c r="P85" s="69"/>
      <c r="Q85" s="69"/>
    </row>
    <row r="86" spans="1:17" s="61" customFormat="1">
      <c r="A86" s="194"/>
      <c r="B86" s="49">
        <v>23</v>
      </c>
      <c r="C86" s="148" t="s">
        <v>163</v>
      </c>
      <c r="D86" s="58">
        <v>0</v>
      </c>
      <c r="E86" s="71">
        <f>References!$B$10</f>
        <v>1</v>
      </c>
      <c r="F86" s="70">
        <f t="shared" ref="F86:F87" si="68">E86*12</f>
        <v>12</v>
      </c>
      <c r="G86" s="70">
        <f>References!B33</f>
        <v>840</v>
      </c>
      <c r="H86" s="70">
        <f t="shared" ref="H86:H87" si="69">F86*G86</f>
        <v>10080</v>
      </c>
      <c r="I86" s="48">
        <f t="shared" ref="I86:I87" si="70">$D$118*H86</f>
        <v>8094.5704713595969</v>
      </c>
      <c r="J86" s="69">
        <f>(References!$C$50*I86)</f>
        <v>29.180926549251353</v>
      </c>
      <c r="K86" s="69">
        <f>J86/References!$G$53</f>
        <v>29.746102496688433</v>
      </c>
      <c r="L86" s="69">
        <f t="shared" ref="L86:L87" si="71">K86/F86</f>
        <v>2.4788418747240359</v>
      </c>
      <c r="M86" s="69">
        <v>35</v>
      </c>
      <c r="N86" s="149">
        <f t="shared" ref="N86:N87" si="72">L86+M86</f>
        <v>37.478841874724033</v>
      </c>
      <c r="O86" s="69"/>
      <c r="P86" s="69"/>
      <c r="Q86" s="69"/>
    </row>
    <row r="87" spans="1:17" s="61" customFormat="1">
      <c r="A87" s="194"/>
      <c r="B87" s="49">
        <v>32</v>
      </c>
      <c r="C87" s="148" t="s">
        <v>164</v>
      </c>
      <c r="D87" s="58">
        <v>0</v>
      </c>
      <c r="E87" s="71">
        <f>References!$B$10</f>
        <v>1</v>
      </c>
      <c r="F87" s="70">
        <f t="shared" si="68"/>
        <v>12</v>
      </c>
      <c r="G87" s="70">
        <f>References!B33</f>
        <v>840</v>
      </c>
      <c r="H87" s="70">
        <f t="shared" si="69"/>
        <v>10080</v>
      </c>
      <c r="I87" s="48">
        <f t="shared" si="70"/>
        <v>8094.5704713595969</v>
      </c>
      <c r="J87" s="69">
        <f>(References!$C$50*I87)</f>
        <v>29.180926549251353</v>
      </c>
      <c r="K87" s="69">
        <f>J87/References!$G$53</f>
        <v>29.746102496688433</v>
      </c>
      <c r="L87" s="69">
        <f t="shared" si="71"/>
        <v>2.4788418747240359</v>
      </c>
      <c r="M87" s="69">
        <v>55</v>
      </c>
      <c r="N87" s="149">
        <f t="shared" si="72"/>
        <v>57.478841874724033</v>
      </c>
      <c r="O87" s="69"/>
      <c r="P87" s="69"/>
      <c r="Q87" s="69"/>
    </row>
    <row r="88" spans="1:17" s="61" customFormat="1">
      <c r="A88" s="194"/>
      <c r="B88" s="49">
        <v>32</v>
      </c>
      <c r="C88" s="148" t="s">
        <v>165</v>
      </c>
      <c r="D88" s="58">
        <v>0</v>
      </c>
      <c r="E88" s="71">
        <f>References!$B$10</f>
        <v>1</v>
      </c>
      <c r="F88" s="70">
        <f>E88*12</f>
        <v>12</v>
      </c>
      <c r="G88" s="70">
        <f>References!B34</f>
        <v>980</v>
      </c>
      <c r="H88" s="109">
        <f>F88*G88</f>
        <v>11760</v>
      </c>
      <c r="I88" s="48">
        <f>$D$118*H88</f>
        <v>9443.6655499195294</v>
      </c>
      <c r="J88" s="69">
        <f>(References!$C$50*I88)</f>
        <v>34.04441430745991</v>
      </c>
      <c r="K88" s="69">
        <f>J88/References!$G$53</f>
        <v>34.703786246136502</v>
      </c>
      <c r="L88" s="69">
        <f>K88/F88</f>
        <v>2.891982187178042</v>
      </c>
      <c r="M88" s="69">
        <v>63</v>
      </c>
      <c r="N88" s="149">
        <f>L88+M88</f>
        <v>65.891982187178044</v>
      </c>
      <c r="O88" s="69"/>
      <c r="P88" s="69"/>
      <c r="Q88" s="69"/>
    </row>
    <row r="89" spans="1:17" s="61" customFormat="1">
      <c r="A89" s="150"/>
      <c r="B89" s="49">
        <v>32</v>
      </c>
      <c r="C89" s="148" t="s">
        <v>167</v>
      </c>
      <c r="D89" s="58">
        <v>0</v>
      </c>
      <c r="E89" s="71">
        <f>References!$B$10</f>
        <v>1</v>
      </c>
      <c r="F89" s="70">
        <f t="shared" ref="F89:F106" si="73">E89*12</f>
        <v>12</v>
      </c>
      <c r="G89" s="70">
        <f>+References!B36</f>
        <v>689</v>
      </c>
      <c r="H89" s="109">
        <f t="shared" ref="H89:H106" si="74">F89*G89</f>
        <v>8268</v>
      </c>
      <c r="I89" s="48">
        <f t="shared" ref="I89:I106" si="75">$D$118*H89</f>
        <v>6639.475065198526</v>
      </c>
      <c r="J89" s="69">
        <f>(References!$C$50*I89)</f>
        <v>23.935307610040688</v>
      </c>
      <c r="K89" s="69">
        <f>J89/References!$G$53</f>
        <v>24.398886452640866</v>
      </c>
      <c r="L89" s="69">
        <f t="shared" ref="L89:L106" si="76">K89/F89</f>
        <v>2.0332405377200722</v>
      </c>
      <c r="M89" s="69">
        <v>25.5</v>
      </c>
      <c r="N89" s="149">
        <f t="shared" ref="N89:N106" si="77">L89+M89</f>
        <v>27.533240537720072</v>
      </c>
      <c r="O89" s="69"/>
      <c r="P89" s="69"/>
      <c r="Q89" s="69"/>
    </row>
    <row r="90" spans="1:17" s="61" customFormat="1">
      <c r="A90" s="150"/>
      <c r="B90" s="49">
        <v>34</v>
      </c>
      <c r="C90" s="148" t="s">
        <v>168</v>
      </c>
      <c r="D90" s="58">
        <v>0</v>
      </c>
      <c r="E90" s="71">
        <f>References!$B$10</f>
        <v>1</v>
      </c>
      <c r="F90" s="70">
        <f t="shared" si="73"/>
        <v>12</v>
      </c>
      <c r="G90" s="70">
        <f>References!B36</f>
        <v>689</v>
      </c>
      <c r="H90" s="109">
        <f t="shared" si="74"/>
        <v>8268</v>
      </c>
      <c r="I90" s="48">
        <f t="shared" si="75"/>
        <v>6639.475065198526</v>
      </c>
      <c r="J90" s="69">
        <f>(References!$C$50*I90)</f>
        <v>23.935307610040688</v>
      </c>
      <c r="K90" s="69">
        <f>J90/References!$G$53</f>
        <v>24.398886452640866</v>
      </c>
      <c r="L90" s="69">
        <f t="shared" si="76"/>
        <v>2.0332405377200722</v>
      </c>
      <c r="M90" s="69">
        <v>25.5</v>
      </c>
      <c r="N90" s="149">
        <f t="shared" si="77"/>
        <v>27.533240537720072</v>
      </c>
      <c r="O90" s="69"/>
      <c r="P90" s="69"/>
      <c r="Q90" s="69"/>
    </row>
    <row r="91" spans="1:17" s="61" customFormat="1">
      <c r="A91" s="150"/>
      <c r="B91" s="49">
        <v>34</v>
      </c>
      <c r="C91" s="148" t="s">
        <v>169</v>
      </c>
      <c r="D91" s="58">
        <v>0</v>
      </c>
      <c r="E91" s="71">
        <f>References!$B$10</f>
        <v>1</v>
      </c>
      <c r="F91" s="70">
        <f t="shared" si="73"/>
        <v>12</v>
      </c>
      <c r="G91" s="70">
        <f>References!B36</f>
        <v>689</v>
      </c>
      <c r="H91" s="109">
        <f t="shared" si="74"/>
        <v>8268</v>
      </c>
      <c r="I91" s="48">
        <f t="shared" si="75"/>
        <v>6639.475065198526</v>
      </c>
      <c r="J91" s="69">
        <f>(References!$C$50*I91)</f>
        <v>23.935307610040688</v>
      </c>
      <c r="K91" s="69">
        <f>J91/References!$G$53</f>
        <v>24.398886452640866</v>
      </c>
      <c r="L91" s="69">
        <f t="shared" si="76"/>
        <v>2.0332405377200722</v>
      </c>
      <c r="M91" s="69">
        <v>45.5</v>
      </c>
      <c r="N91" s="149">
        <f t="shared" si="77"/>
        <v>47.533240537720076</v>
      </c>
      <c r="O91" s="69"/>
      <c r="P91" s="69"/>
      <c r="Q91" s="69"/>
    </row>
    <row r="92" spans="1:17" s="61" customFormat="1">
      <c r="A92" s="150"/>
      <c r="B92" s="49">
        <v>34</v>
      </c>
      <c r="C92" s="148" t="s">
        <v>170</v>
      </c>
      <c r="D92" s="58">
        <v>0</v>
      </c>
      <c r="E92" s="71">
        <f>References!$B$10</f>
        <v>1</v>
      </c>
      <c r="F92" s="70">
        <f t="shared" si="73"/>
        <v>12</v>
      </c>
      <c r="G92" s="70">
        <f>+References!B37</f>
        <v>892</v>
      </c>
      <c r="H92" s="109">
        <f t="shared" si="74"/>
        <v>10704</v>
      </c>
      <c r="I92" s="48">
        <f t="shared" si="75"/>
        <v>8595.6629291104291</v>
      </c>
      <c r="J92" s="69">
        <f>(References!$C$50*I92)</f>
        <v>30.987364859443101</v>
      </c>
      <c r="K92" s="69">
        <f>J92/References!$G$53</f>
        <v>31.587527889340574</v>
      </c>
      <c r="L92" s="69">
        <f t="shared" si="76"/>
        <v>2.6322939907783813</v>
      </c>
      <c r="M92" s="69">
        <v>42.5</v>
      </c>
      <c r="N92" s="149">
        <f t="shared" si="77"/>
        <v>45.132293990778379</v>
      </c>
      <c r="O92" s="69"/>
      <c r="P92" s="69"/>
      <c r="Q92" s="69"/>
    </row>
    <row r="93" spans="1:17" s="61" customFormat="1">
      <c r="A93" s="150"/>
      <c r="B93" s="49">
        <v>34</v>
      </c>
      <c r="C93" s="148" t="s">
        <v>171</v>
      </c>
      <c r="D93" s="58">
        <v>0</v>
      </c>
      <c r="E93" s="71">
        <f>References!$B$10</f>
        <v>1</v>
      </c>
      <c r="F93" s="70">
        <f t="shared" si="73"/>
        <v>12</v>
      </c>
      <c r="G93" s="70">
        <f>References!B37</f>
        <v>892</v>
      </c>
      <c r="H93" s="109">
        <f t="shared" si="74"/>
        <v>10704</v>
      </c>
      <c r="I93" s="48">
        <f t="shared" si="75"/>
        <v>8595.6629291104291</v>
      </c>
      <c r="J93" s="69">
        <f>(References!$C$50*I93)</f>
        <v>30.987364859443101</v>
      </c>
      <c r="K93" s="69">
        <f>J93/References!$G$53</f>
        <v>31.587527889340574</v>
      </c>
      <c r="L93" s="69">
        <f t="shared" si="76"/>
        <v>2.6322939907783813</v>
      </c>
      <c r="M93" s="69">
        <v>42.5</v>
      </c>
      <c r="N93" s="149">
        <f t="shared" si="77"/>
        <v>45.132293990778379</v>
      </c>
      <c r="O93" s="69"/>
      <c r="P93" s="69"/>
      <c r="Q93" s="69"/>
    </row>
    <row r="94" spans="1:17" s="61" customFormat="1">
      <c r="A94" s="150"/>
      <c r="B94" s="49">
        <v>34</v>
      </c>
      <c r="C94" s="148" t="s">
        <v>172</v>
      </c>
      <c r="D94" s="58">
        <v>0</v>
      </c>
      <c r="E94" s="71">
        <f>References!$B$10</f>
        <v>1</v>
      </c>
      <c r="F94" s="70">
        <f t="shared" si="73"/>
        <v>12</v>
      </c>
      <c r="G94" s="70">
        <f>References!B37</f>
        <v>892</v>
      </c>
      <c r="H94" s="109">
        <f t="shared" si="74"/>
        <v>10704</v>
      </c>
      <c r="I94" s="48">
        <f t="shared" si="75"/>
        <v>8595.6629291104291</v>
      </c>
      <c r="J94" s="69">
        <f>(References!$C$50*I94)</f>
        <v>30.987364859443101</v>
      </c>
      <c r="K94" s="69">
        <f>J94/References!$G$53</f>
        <v>31.587527889340574</v>
      </c>
      <c r="L94" s="69">
        <f t="shared" si="76"/>
        <v>2.6322939907783813</v>
      </c>
      <c r="M94" s="69">
        <v>62.5</v>
      </c>
      <c r="N94" s="149">
        <f t="shared" si="77"/>
        <v>65.132293990778379</v>
      </c>
      <c r="O94" s="69"/>
      <c r="P94" s="69"/>
      <c r="Q94" s="69"/>
    </row>
    <row r="95" spans="1:17" s="61" customFormat="1">
      <c r="A95" s="150"/>
      <c r="B95" s="49">
        <v>34</v>
      </c>
      <c r="C95" s="148" t="s">
        <v>173</v>
      </c>
      <c r="D95" s="58">
        <v>0</v>
      </c>
      <c r="E95" s="71">
        <f>References!$B$10</f>
        <v>1</v>
      </c>
      <c r="F95" s="70">
        <f t="shared" si="73"/>
        <v>12</v>
      </c>
      <c r="G95" s="70">
        <f>+References!B38</f>
        <v>1301</v>
      </c>
      <c r="H95" s="109">
        <f t="shared" si="74"/>
        <v>15612</v>
      </c>
      <c r="I95" s="48">
        <f t="shared" si="75"/>
        <v>12536.947837189089</v>
      </c>
      <c r="J95" s="69">
        <f>(References!$C$50*I95)</f>
        <v>45.195696953066673</v>
      </c>
      <c r="K95" s="69">
        <f>J95/References!$G$53</f>
        <v>46.071046843085291</v>
      </c>
      <c r="L95" s="69">
        <f t="shared" si="76"/>
        <v>3.8392539035904409</v>
      </c>
      <c r="M95" s="69">
        <v>59.5</v>
      </c>
      <c r="N95" s="149">
        <f t="shared" si="77"/>
        <v>63.339253903590439</v>
      </c>
      <c r="O95" s="69"/>
      <c r="P95" s="69"/>
      <c r="Q95" s="69"/>
    </row>
    <row r="96" spans="1:17" s="61" customFormat="1">
      <c r="A96" s="150"/>
      <c r="B96" s="49">
        <v>34</v>
      </c>
      <c r="C96" s="148" t="s">
        <v>174</v>
      </c>
      <c r="D96" s="58">
        <v>0</v>
      </c>
      <c r="E96" s="71">
        <f>References!$B$10</f>
        <v>1</v>
      </c>
      <c r="F96" s="70">
        <f t="shared" si="73"/>
        <v>12</v>
      </c>
      <c r="G96" s="70">
        <f>References!B38</f>
        <v>1301</v>
      </c>
      <c r="H96" s="109">
        <f t="shared" si="74"/>
        <v>15612</v>
      </c>
      <c r="I96" s="48">
        <f t="shared" si="75"/>
        <v>12536.947837189089</v>
      </c>
      <c r="J96" s="69">
        <f>(References!$C$50*I96)</f>
        <v>45.195696953066673</v>
      </c>
      <c r="K96" s="69">
        <f>J96/References!$G$53</f>
        <v>46.071046843085291</v>
      </c>
      <c r="L96" s="69">
        <f t="shared" si="76"/>
        <v>3.8392539035904409</v>
      </c>
      <c r="M96" s="69">
        <v>59.5</v>
      </c>
      <c r="N96" s="149">
        <f t="shared" si="77"/>
        <v>63.339253903590439</v>
      </c>
      <c r="O96" s="69"/>
      <c r="P96" s="69"/>
      <c r="Q96" s="69"/>
    </row>
    <row r="97" spans="1:17" s="61" customFormat="1">
      <c r="A97" s="150"/>
      <c r="B97" s="49">
        <v>34</v>
      </c>
      <c r="C97" s="148" t="s">
        <v>175</v>
      </c>
      <c r="D97" s="58">
        <v>0</v>
      </c>
      <c r="E97" s="71">
        <f>References!$B$10</f>
        <v>1</v>
      </c>
      <c r="F97" s="70">
        <f t="shared" si="73"/>
        <v>12</v>
      </c>
      <c r="G97" s="70">
        <f>References!B38</f>
        <v>1301</v>
      </c>
      <c r="H97" s="109">
        <f t="shared" si="74"/>
        <v>15612</v>
      </c>
      <c r="I97" s="48">
        <f t="shared" si="75"/>
        <v>12536.947837189089</v>
      </c>
      <c r="J97" s="69">
        <f>(References!$C$50*I97)</f>
        <v>45.195696953066673</v>
      </c>
      <c r="K97" s="69">
        <f>J97/References!$G$53</f>
        <v>46.071046843085291</v>
      </c>
      <c r="L97" s="69">
        <f t="shared" si="76"/>
        <v>3.8392539035904409</v>
      </c>
      <c r="M97" s="69">
        <v>79.5</v>
      </c>
      <c r="N97" s="149">
        <f t="shared" si="77"/>
        <v>83.339253903590446</v>
      </c>
      <c r="O97" s="69"/>
      <c r="P97" s="69"/>
      <c r="Q97" s="69"/>
    </row>
    <row r="98" spans="1:17" s="61" customFormat="1">
      <c r="A98" s="150"/>
      <c r="B98" s="49">
        <v>34</v>
      </c>
      <c r="C98" s="148" t="s">
        <v>176</v>
      </c>
      <c r="D98" s="58">
        <v>0</v>
      </c>
      <c r="E98" s="71">
        <f>References!$B$10</f>
        <v>1</v>
      </c>
      <c r="F98" s="70">
        <f t="shared" si="73"/>
        <v>12</v>
      </c>
      <c r="G98" s="70">
        <f>+References!B39</f>
        <v>1686</v>
      </c>
      <c r="H98" s="109">
        <f t="shared" si="74"/>
        <v>20232</v>
      </c>
      <c r="I98" s="48">
        <f t="shared" si="75"/>
        <v>16246.959303228905</v>
      </c>
      <c r="J98" s="69">
        <f>(References!$C$50*I98)</f>
        <v>58.570288288140212</v>
      </c>
      <c r="K98" s="69">
        <f>J98/References!$G$53</f>
        <v>59.704677154067497</v>
      </c>
      <c r="L98" s="69">
        <f t="shared" si="76"/>
        <v>4.9753897628389581</v>
      </c>
      <c r="M98" s="69">
        <v>82.5</v>
      </c>
      <c r="N98" s="149">
        <f t="shared" si="77"/>
        <v>87.475389762838958</v>
      </c>
      <c r="O98" s="69"/>
      <c r="P98" s="69"/>
      <c r="Q98" s="69"/>
    </row>
    <row r="99" spans="1:17" s="61" customFormat="1">
      <c r="A99" s="150"/>
      <c r="B99" s="49">
        <v>34</v>
      </c>
      <c r="C99" s="148" t="s">
        <v>177</v>
      </c>
      <c r="D99" s="58">
        <v>0</v>
      </c>
      <c r="E99" s="71">
        <f>References!$B$10</f>
        <v>1</v>
      </c>
      <c r="F99" s="70">
        <f t="shared" si="73"/>
        <v>12</v>
      </c>
      <c r="G99" s="70">
        <f>References!B39</f>
        <v>1686</v>
      </c>
      <c r="H99" s="109">
        <f t="shared" si="74"/>
        <v>20232</v>
      </c>
      <c r="I99" s="48">
        <f t="shared" si="75"/>
        <v>16246.959303228905</v>
      </c>
      <c r="J99" s="69">
        <f>(References!$C$50*I99)</f>
        <v>58.570288288140212</v>
      </c>
      <c r="K99" s="69">
        <f>J99/References!$G$53</f>
        <v>59.704677154067497</v>
      </c>
      <c r="L99" s="69">
        <f t="shared" si="76"/>
        <v>4.9753897628389581</v>
      </c>
      <c r="M99" s="69">
        <v>82.5</v>
      </c>
      <c r="N99" s="149">
        <f t="shared" si="77"/>
        <v>87.475389762838958</v>
      </c>
      <c r="O99" s="69"/>
      <c r="P99" s="69"/>
      <c r="Q99" s="69"/>
    </row>
    <row r="100" spans="1:17" s="61" customFormat="1">
      <c r="A100" s="150"/>
      <c r="B100" s="49">
        <v>34</v>
      </c>
      <c r="C100" s="148" t="s">
        <v>178</v>
      </c>
      <c r="D100" s="58">
        <v>0</v>
      </c>
      <c r="E100" s="71">
        <f>References!$B$10</f>
        <v>1</v>
      </c>
      <c r="F100" s="70">
        <f t="shared" si="73"/>
        <v>12</v>
      </c>
      <c r="G100" s="70">
        <f>References!B39</f>
        <v>1686</v>
      </c>
      <c r="H100" s="109">
        <f t="shared" si="74"/>
        <v>20232</v>
      </c>
      <c r="I100" s="48">
        <f t="shared" si="75"/>
        <v>16246.959303228905</v>
      </c>
      <c r="J100" s="69">
        <f>(References!$C$50*I100)</f>
        <v>58.570288288140212</v>
      </c>
      <c r="K100" s="69">
        <f>J100/References!$G$53</f>
        <v>59.704677154067497</v>
      </c>
      <c r="L100" s="69">
        <f t="shared" si="76"/>
        <v>4.9753897628389581</v>
      </c>
      <c r="M100" s="69">
        <v>102.5</v>
      </c>
      <c r="N100" s="149">
        <f t="shared" si="77"/>
        <v>107.47538976283896</v>
      </c>
      <c r="O100" s="69"/>
      <c r="P100" s="69"/>
      <c r="Q100" s="69"/>
    </row>
    <row r="101" spans="1:17" s="61" customFormat="1">
      <c r="A101" s="150"/>
      <c r="B101" s="49">
        <v>34</v>
      </c>
      <c r="C101" s="148" t="s">
        <v>179</v>
      </c>
      <c r="D101" s="58">
        <v>0</v>
      </c>
      <c r="E101" s="71">
        <f>References!$B$10</f>
        <v>1</v>
      </c>
      <c r="F101" s="70">
        <f t="shared" si="73"/>
        <v>12</v>
      </c>
      <c r="G101" s="70">
        <f>+References!B41</f>
        <v>2310</v>
      </c>
      <c r="H101" s="109">
        <f t="shared" si="74"/>
        <v>27720</v>
      </c>
      <c r="I101" s="48">
        <f t="shared" si="75"/>
        <v>22260.068796238891</v>
      </c>
      <c r="J101" s="69">
        <f>(References!$C$50*I101)</f>
        <v>80.247548010441221</v>
      </c>
      <c r="K101" s="69">
        <f>J101/References!$G$53</f>
        <v>81.80178186589319</v>
      </c>
      <c r="L101" s="69">
        <f t="shared" si="76"/>
        <v>6.8168151554910992</v>
      </c>
      <c r="M101" s="69">
        <v>105.5</v>
      </c>
      <c r="N101" s="149">
        <f t="shared" si="77"/>
        <v>112.3168151554911</v>
      </c>
      <c r="O101" s="69"/>
      <c r="P101" s="69"/>
      <c r="Q101" s="69"/>
    </row>
    <row r="102" spans="1:17" s="61" customFormat="1">
      <c r="A102" s="150"/>
      <c r="B102" s="49">
        <v>34</v>
      </c>
      <c r="C102" s="148" t="s">
        <v>180</v>
      </c>
      <c r="D102" s="58">
        <v>0</v>
      </c>
      <c r="E102" s="71">
        <f>References!$B$10</f>
        <v>1</v>
      </c>
      <c r="F102" s="70">
        <f t="shared" si="73"/>
        <v>12</v>
      </c>
      <c r="G102" s="70">
        <f>References!B41</f>
        <v>2310</v>
      </c>
      <c r="H102" s="109">
        <f t="shared" si="74"/>
        <v>27720</v>
      </c>
      <c r="I102" s="48">
        <f t="shared" si="75"/>
        <v>22260.068796238891</v>
      </c>
      <c r="J102" s="69">
        <f>(References!$C$50*I102)</f>
        <v>80.247548010441221</v>
      </c>
      <c r="K102" s="69">
        <f>J102/References!$G$53</f>
        <v>81.80178186589319</v>
      </c>
      <c r="L102" s="69">
        <f t="shared" si="76"/>
        <v>6.8168151554910992</v>
      </c>
      <c r="M102" s="69">
        <v>105.5</v>
      </c>
      <c r="N102" s="149">
        <f t="shared" si="77"/>
        <v>112.3168151554911</v>
      </c>
      <c r="O102" s="69"/>
      <c r="P102" s="69"/>
      <c r="Q102" s="69"/>
    </row>
    <row r="103" spans="1:17" s="61" customFormat="1">
      <c r="A103" s="150"/>
      <c r="B103" s="49">
        <v>34</v>
      </c>
      <c r="C103" s="148" t="s">
        <v>181</v>
      </c>
      <c r="D103" s="58">
        <v>0</v>
      </c>
      <c r="E103" s="71">
        <f>References!$B$10</f>
        <v>1</v>
      </c>
      <c r="F103" s="70">
        <f t="shared" si="73"/>
        <v>12</v>
      </c>
      <c r="G103" s="70">
        <f>References!B41</f>
        <v>2310</v>
      </c>
      <c r="H103" s="109">
        <f t="shared" si="74"/>
        <v>27720</v>
      </c>
      <c r="I103" s="48">
        <f t="shared" si="75"/>
        <v>22260.068796238891</v>
      </c>
      <c r="J103" s="69">
        <f>(References!$C$50*I103)</f>
        <v>80.247548010441221</v>
      </c>
      <c r="K103" s="69">
        <f>J103/References!$G$53</f>
        <v>81.80178186589319</v>
      </c>
      <c r="L103" s="69">
        <f t="shared" si="76"/>
        <v>6.8168151554910992</v>
      </c>
      <c r="M103" s="69">
        <v>125.5</v>
      </c>
      <c r="N103" s="149">
        <f t="shared" si="77"/>
        <v>132.3168151554911</v>
      </c>
      <c r="O103" s="69"/>
      <c r="P103" s="69"/>
      <c r="Q103" s="69"/>
    </row>
    <row r="104" spans="1:17" s="61" customFormat="1">
      <c r="A104" s="150"/>
      <c r="B104" s="49">
        <v>34</v>
      </c>
      <c r="C104" s="148" t="s">
        <v>182</v>
      </c>
      <c r="D104" s="58">
        <v>0</v>
      </c>
      <c r="E104" s="71">
        <f>References!$B$10</f>
        <v>1</v>
      </c>
      <c r="F104" s="70">
        <f t="shared" si="73"/>
        <v>12</v>
      </c>
      <c r="G104" s="70">
        <f>+References!B42</f>
        <v>2800</v>
      </c>
      <c r="H104" s="109">
        <f t="shared" si="74"/>
        <v>33600</v>
      </c>
      <c r="I104" s="48">
        <f t="shared" si="75"/>
        <v>26981.901571198654</v>
      </c>
      <c r="J104" s="69">
        <f>(References!$C$50*I104)</f>
        <v>97.269755164171158</v>
      </c>
      <c r="K104" s="69">
        <f>J104/References!$G$53</f>
        <v>99.153674988961427</v>
      </c>
      <c r="L104" s="69">
        <f t="shared" si="76"/>
        <v>8.2628062490801195</v>
      </c>
      <c r="M104" s="69">
        <v>125.5</v>
      </c>
      <c r="N104" s="149">
        <f t="shared" si="77"/>
        <v>133.76280624908011</v>
      </c>
      <c r="O104" s="69"/>
      <c r="P104" s="69"/>
      <c r="Q104" s="69"/>
    </row>
    <row r="105" spans="1:17" s="61" customFormat="1">
      <c r="A105" s="136"/>
      <c r="B105" s="49">
        <v>34</v>
      </c>
      <c r="C105" s="148" t="s">
        <v>183</v>
      </c>
      <c r="D105" s="58">
        <v>0</v>
      </c>
      <c r="E105" s="71">
        <f>References!$B$10</f>
        <v>1</v>
      </c>
      <c r="F105" s="70">
        <f t="shared" si="73"/>
        <v>12</v>
      </c>
      <c r="G105" s="70">
        <f>References!B42</f>
        <v>2800</v>
      </c>
      <c r="H105" s="109">
        <f t="shared" si="74"/>
        <v>33600</v>
      </c>
      <c r="I105" s="48">
        <f t="shared" si="75"/>
        <v>26981.901571198654</v>
      </c>
      <c r="J105" s="69">
        <f>(References!$C$50*I105)</f>
        <v>97.269755164171158</v>
      </c>
      <c r="K105" s="69">
        <f>J105/References!$G$53</f>
        <v>99.153674988961427</v>
      </c>
      <c r="L105" s="69">
        <f t="shared" si="76"/>
        <v>8.2628062490801195</v>
      </c>
      <c r="M105" s="69">
        <v>125.5</v>
      </c>
      <c r="N105" s="149">
        <f t="shared" si="77"/>
        <v>133.76280624908011</v>
      </c>
      <c r="O105" s="69"/>
      <c r="P105" s="69"/>
      <c r="Q105" s="69"/>
    </row>
    <row r="106" spans="1:17" s="61" customFormat="1">
      <c r="A106" s="136"/>
      <c r="B106" s="49">
        <v>34</v>
      </c>
      <c r="C106" s="148" t="s">
        <v>184</v>
      </c>
      <c r="D106" s="58">
        <v>0</v>
      </c>
      <c r="E106" s="71">
        <f>References!$B$10</f>
        <v>1</v>
      </c>
      <c r="F106" s="70">
        <f t="shared" si="73"/>
        <v>12</v>
      </c>
      <c r="G106" s="70">
        <f>References!B42</f>
        <v>2800</v>
      </c>
      <c r="H106" s="109">
        <f t="shared" si="74"/>
        <v>33600</v>
      </c>
      <c r="I106" s="48">
        <f t="shared" si="75"/>
        <v>26981.901571198654</v>
      </c>
      <c r="J106" s="69">
        <f>(References!$C$50*I106)</f>
        <v>97.269755164171158</v>
      </c>
      <c r="K106" s="69">
        <f>J106/References!$G$53</f>
        <v>99.153674988961427</v>
      </c>
      <c r="L106" s="69">
        <f t="shared" si="76"/>
        <v>8.2628062490801195</v>
      </c>
      <c r="M106" s="69">
        <v>145</v>
      </c>
      <c r="N106" s="149">
        <f t="shared" si="77"/>
        <v>153.26280624908011</v>
      </c>
      <c r="O106" s="69"/>
      <c r="P106" s="69"/>
      <c r="Q106" s="69"/>
    </row>
    <row r="107" spans="1:17" s="61" customFormat="1">
      <c r="A107" s="136"/>
      <c r="B107" s="49"/>
      <c r="C107" s="127"/>
      <c r="D107" s="58"/>
      <c r="E107" s="71"/>
      <c r="F107" s="70"/>
      <c r="G107" s="70"/>
      <c r="H107" s="109"/>
      <c r="I107" s="48"/>
      <c r="J107" s="69"/>
      <c r="K107" s="69"/>
      <c r="L107" s="69"/>
      <c r="M107" s="69"/>
      <c r="N107" s="69"/>
      <c r="O107" s="69"/>
      <c r="P107" s="69"/>
      <c r="Q107" s="69"/>
    </row>
    <row r="108" spans="1:17" s="61" customFormat="1">
      <c r="A108" s="136"/>
      <c r="B108" s="49"/>
      <c r="C108" s="127"/>
      <c r="D108" s="58"/>
      <c r="E108" s="71"/>
      <c r="F108" s="70"/>
      <c r="G108" s="70"/>
      <c r="H108" s="109"/>
      <c r="I108" s="48"/>
      <c r="J108" s="69"/>
      <c r="K108" s="69"/>
      <c r="L108" s="69"/>
      <c r="M108" s="69"/>
      <c r="N108" s="69"/>
      <c r="O108" s="69"/>
      <c r="P108" s="69"/>
      <c r="Q108" s="69"/>
    </row>
    <row r="109" spans="1:17" s="61" customFormat="1">
      <c r="A109" s="115"/>
      <c r="B109" s="108"/>
      <c r="C109" s="110"/>
      <c r="D109" s="14"/>
      <c r="E109" s="105"/>
      <c r="F109" s="82"/>
      <c r="G109" s="82"/>
      <c r="H109" s="82"/>
      <c r="I109" s="106"/>
      <c r="J109" s="91"/>
      <c r="K109" s="91"/>
      <c r="L109" s="91"/>
      <c r="M109" s="91"/>
      <c r="N109" s="91"/>
      <c r="O109" s="69"/>
      <c r="P109" s="69"/>
      <c r="Q109" s="69"/>
    </row>
    <row r="110" spans="1:17">
      <c r="A110" s="64"/>
      <c r="C110" s="87"/>
      <c r="D110" s="40"/>
      <c r="E110" s="33"/>
      <c r="F110" s="58"/>
      <c r="G110" s="70"/>
      <c r="H110" s="58"/>
      <c r="J110" s="69"/>
      <c r="K110" s="92"/>
      <c r="L110" s="92"/>
      <c r="M110" s="92"/>
      <c r="N110" s="92"/>
      <c r="P110" s="62"/>
    </row>
    <row r="111" spans="1:17">
      <c r="A111" s="64"/>
      <c r="C111" s="67"/>
      <c r="P111" s="62"/>
    </row>
    <row r="112" spans="1:17">
      <c r="A112" s="64"/>
      <c r="C112" s="67"/>
      <c r="P112" s="62"/>
    </row>
    <row r="113" spans="1:15">
      <c r="A113" s="64"/>
      <c r="C113" s="193" t="s">
        <v>86</v>
      </c>
      <c r="D113" s="193"/>
      <c r="E113" s="86"/>
      <c r="F113" s="86"/>
      <c r="H113" s="90" t="s">
        <v>94</v>
      </c>
    </row>
    <row r="114" spans="1:15">
      <c r="A114" s="64"/>
      <c r="D114" s="56" t="s">
        <v>16</v>
      </c>
      <c r="E114" s="39"/>
      <c r="F114" s="39"/>
      <c r="H114" s="88" t="s">
        <v>107</v>
      </c>
      <c r="J114" s="43"/>
      <c r="O114" s="60"/>
    </row>
    <row r="115" spans="1:15">
      <c r="A115" s="64"/>
      <c r="C115" s="59" t="s">
        <v>32</v>
      </c>
      <c r="D115" s="68">
        <f>7581.98+1894.93+4515.52</f>
        <v>13992.43</v>
      </c>
      <c r="E115" s="58"/>
      <c r="F115" s="58"/>
      <c r="G115" s="47"/>
      <c r="H115" s="89" t="s">
        <v>95</v>
      </c>
      <c r="J115" s="43"/>
      <c r="O115" s="60"/>
    </row>
    <row r="116" spans="1:15">
      <c r="A116" s="64"/>
      <c r="C116" s="59" t="s">
        <v>33</v>
      </c>
      <c r="D116" s="38">
        <f>D115*2000</f>
        <v>27984860</v>
      </c>
      <c r="E116" s="38"/>
      <c r="F116" s="38"/>
      <c r="G116" s="38"/>
      <c r="H116" s="113" t="s">
        <v>97</v>
      </c>
      <c r="J116" s="43"/>
    </row>
    <row r="117" spans="1:15">
      <c r="A117" s="64"/>
      <c r="C117" s="59" t="s">
        <v>4</v>
      </c>
      <c r="D117" s="38">
        <f>F9+F50</f>
        <v>356200.92000000004</v>
      </c>
      <c r="E117" s="58"/>
      <c r="F117" s="58"/>
      <c r="G117" s="58"/>
      <c r="H117" s="114" t="s">
        <v>98</v>
      </c>
      <c r="J117" s="43"/>
      <c r="O117" s="60"/>
    </row>
    <row r="118" spans="1:15">
      <c r="C118" s="44" t="s">
        <v>11</v>
      </c>
      <c r="D118" s="37">
        <f>D116/$H$51</f>
        <v>0.80303278485710283</v>
      </c>
      <c r="E118" s="37"/>
      <c r="F118" s="37"/>
      <c r="G118" s="37"/>
      <c r="H118" s="32"/>
      <c r="J118" s="43"/>
      <c r="M118" s="42"/>
      <c r="N118" s="42"/>
      <c r="O118" s="41"/>
    </row>
    <row r="119" spans="1:15">
      <c r="G119" s="46"/>
      <c r="H119" s="34"/>
      <c r="J119" s="43"/>
      <c r="M119" s="45"/>
      <c r="N119" s="31"/>
      <c r="O119" s="62"/>
    </row>
    <row r="120" spans="1:15">
      <c r="D120" s="36"/>
      <c r="E120" s="35"/>
      <c r="G120" s="46"/>
      <c r="H120" s="34"/>
      <c r="J120" s="43"/>
      <c r="M120" s="45"/>
      <c r="N120" s="31"/>
      <c r="O120" s="62"/>
    </row>
    <row r="121" spans="1:15">
      <c r="D121" s="36"/>
      <c r="E121" s="35"/>
      <c r="G121" s="46"/>
      <c r="H121" s="34"/>
      <c r="J121" s="43"/>
      <c r="M121" s="45"/>
      <c r="N121" s="31"/>
      <c r="O121" s="62"/>
    </row>
    <row r="122" spans="1:15">
      <c r="D122" s="59"/>
      <c r="I122" s="59"/>
    </row>
    <row r="123" spans="1:15">
      <c r="D123" s="59"/>
      <c r="E123" s="43"/>
      <c r="I123" s="59"/>
    </row>
    <row r="124" spans="1:15">
      <c r="D124" s="59"/>
      <c r="I124" s="59"/>
    </row>
    <row r="125" spans="1:15">
      <c r="D125" s="59"/>
      <c r="I125" s="59"/>
    </row>
    <row r="126" spans="1:15">
      <c r="D126" s="59"/>
    </row>
  </sheetData>
  <mergeCells count="5">
    <mergeCell ref="C113:D113"/>
    <mergeCell ref="A55:A65"/>
    <mergeCell ref="A3:A8"/>
    <mergeCell ref="A10:A49"/>
    <mergeCell ref="A70:A88"/>
  </mergeCells>
  <phoneticPr fontId="0" type="noConversion"/>
  <pageMargins left="0" right="0" top="0.63" bottom="0.34" header="0.19" footer="0.17"/>
  <pageSetup scale="50" fitToHeight="0" orientation="landscape" r:id="rId1"/>
  <headerFooter>
    <oddFooter>&amp;L&amp;Z&amp;F&amp;C  [Date]&amp;R&amp;P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sqref="A1:L23"/>
    </sheetView>
  </sheetViews>
  <sheetFormatPr defaultRowHeight="15"/>
  <cols>
    <col min="1" max="1" width="15.42578125" bestFit="1" customWidth="1"/>
    <col min="6" max="6" width="12.5703125" bestFit="1" customWidth="1"/>
    <col min="7" max="7" width="1.7109375" customWidth="1"/>
    <col min="8" max="8" width="12.5703125" bestFit="1" customWidth="1"/>
    <col min="9" max="9" width="1.7109375" customWidth="1"/>
    <col min="11" max="11" width="1.7109375" customWidth="1"/>
    <col min="12" max="12" width="11.7109375" customWidth="1"/>
  </cols>
  <sheetData>
    <row r="1" spans="1:12" ht="18.75">
      <c r="A1" s="187" t="s">
        <v>185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8.75">
      <c r="A2" s="187" t="s">
        <v>186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8.75">
      <c r="A3" s="188">
        <v>42767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ht="18.75">
      <c r="A4" s="187" t="s">
        <v>187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6" spans="1:12">
      <c r="F6" s="189" t="s">
        <v>189</v>
      </c>
      <c r="G6" s="189"/>
      <c r="H6" s="189" t="s">
        <v>191</v>
      </c>
      <c r="I6" s="189"/>
      <c r="J6" s="189" t="s">
        <v>9</v>
      </c>
      <c r="L6" s="189" t="s">
        <v>9</v>
      </c>
    </row>
    <row r="7" spans="1:12">
      <c r="F7" s="189" t="s">
        <v>190</v>
      </c>
      <c r="G7" s="189"/>
      <c r="H7" s="189" t="s">
        <v>190</v>
      </c>
      <c r="I7" s="189"/>
      <c r="J7" s="189" t="s">
        <v>196</v>
      </c>
      <c r="L7" s="189" t="s">
        <v>195</v>
      </c>
    </row>
    <row r="8" spans="1:12">
      <c r="A8" t="s">
        <v>188</v>
      </c>
      <c r="F8" s="177">
        <f>+Calculations!O9</f>
        <v>1457742</v>
      </c>
      <c r="H8" s="177">
        <f>+Calculations!P9</f>
        <v>1516356.6163550252</v>
      </c>
      <c r="J8" s="177">
        <f>+H8-F8</f>
        <v>58614.616355025209</v>
      </c>
      <c r="L8" s="184">
        <f>+H8/F8-1</f>
        <v>4.0209184036012591E-2</v>
      </c>
    </row>
    <row r="9" spans="1:12">
      <c r="A9" t="s">
        <v>192</v>
      </c>
      <c r="F9" s="177">
        <f>+Calculations!O50</f>
        <v>905761.41000000015</v>
      </c>
      <c r="H9" s="177">
        <f>+Calculations!P50</f>
        <v>950169.17129703867</v>
      </c>
      <c r="J9" s="177">
        <f t="shared" ref="J9:J10" si="0">+H9-F9</f>
        <v>44407.761297038523</v>
      </c>
      <c r="L9" s="184">
        <f t="shared" ref="L9:L11" si="1">+H9/F9-1</f>
        <v>4.9028100343818437E-2</v>
      </c>
    </row>
    <row r="10" spans="1:12">
      <c r="A10" t="s">
        <v>193</v>
      </c>
      <c r="F10" s="185">
        <f>20577.42*D20</f>
        <v>803342.47679999995</v>
      </c>
      <c r="G10" s="177"/>
      <c r="H10" s="185">
        <f>20577.42*D21</f>
        <v>951705.67499999993</v>
      </c>
      <c r="J10" s="185">
        <f t="shared" si="0"/>
        <v>148363.19819999998</v>
      </c>
      <c r="L10" s="186">
        <f t="shared" si="1"/>
        <v>0.18468237704918034</v>
      </c>
    </row>
    <row r="11" spans="1:12">
      <c r="F11" s="177">
        <f t="shared" ref="F11:J11" si="2">SUM(F8:F10)</f>
        <v>3166845.8868</v>
      </c>
      <c r="G11" s="177"/>
      <c r="H11" s="177">
        <f t="shared" si="2"/>
        <v>3418231.4626520639</v>
      </c>
      <c r="I11" s="177"/>
      <c r="J11" s="177">
        <f t="shared" si="2"/>
        <v>251385.57585206372</v>
      </c>
      <c r="L11" s="184">
        <f t="shared" si="1"/>
        <v>7.9380426088899947E-2</v>
      </c>
    </row>
    <row r="17" spans="1:4">
      <c r="A17" t="s">
        <v>194</v>
      </c>
    </row>
    <row r="19" spans="1:4">
      <c r="A19" s="178" t="s">
        <v>142</v>
      </c>
      <c r="D19" s="179" t="s">
        <v>5</v>
      </c>
    </row>
    <row r="20" spans="1:4">
      <c r="A20" s="180" t="s">
        <v>7</v>
      </c>
      <c r="D20" s="181">
        <v>39.04</v>
      </c>
    </row>
    <row r="21" spans="1:4">
      <c r="A21" s="180" t="s">
        <v>8</v>
      </c>
      <c r="D21" s="182">
        <v>46.25</v>
      </c>
    </row>
    <row r="22" spans="1:4">
      <c r="A22" s="183" t="s">
        <v>9</v>
      </c>
      <c r="D22" s="181">
        <f>D21-D20</f>
        <v>7.2100000000000009</v>
      </c>
    </row>
  </sheetData>
  <pageMargins left="0.2" right="0.2" top="0.75" bottom="0.75" header="0.3" footer="0.3"/>
  <pageSetup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2016-12-14T08:00:00+00:00</OpenedDate>
    <Date1 xmlns="dc463f71-b30c-4ab2-9473-d307f9d35888">2016-12-14T08:00:00+00:00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DocketNumber xmlns="dc463f71-b30c-4ab2-9473-d307f9d35888">161280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06EA3C42B1CC647A362F758C104DB6B" ma:contentTypeVersion="8" ma:contentTypeDescription="" ma:contentTypeScope="" ma:versionID="7e29f291bc07303afa0efe327216e243">
  <xsd:schema xmlns:xsd="http://www.w3.org/2001/XMLSchema" xmlns:xs="http://www.w3.org/2001/XMLSchema" xmlns:p="http://schemas.microsoft.com/office/2006/metadata/properties" xmlns:ns2="dc463f71-b30c-4ab2-9473-d307f9d35888" targetNamespace="http://schemas.microsoft.com/office/2006/metadata/properties" ma:root="true" ma:fieldsID="88e67c6e6dc9a4a746c04bd2fa79be8b" ns2:_=""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8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9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0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1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2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3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4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5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6" nillable="true" ma:displayName="Agenda Order" ma:default="0" ma:internalName="AgendaOrder" ma:readOnly="false">
      <xsd:simpleType>
        <xsd:restriction base="dms:Boolean"/>
      </xsd:simpleType>
    </xsd:element>
    <xsd:element name="DelegatedOrder" ma:index="17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B2341F73941E4E91CC8A65CC9B033E" ma:contentTypeVersion="104" ma:contentTypeDescription="" ma:contentTypeScope="" ma:versionID="60224f9e2b3023469058a9c4f949b6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38375-1189-4892-A6D2-BB556694395F}">
  <ds:schemaRefs>
    <ds:schemaRef ds:uri="dc463f71-b30c-4ab2-9473-d307f9d35888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789F02-3C33-4F93-8E8A-F92380C4A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3BC5F61-5422-4E7C-8E99-6F90DC0E2CA2}"/>
</file>

<file path=customXml/itemProps5.xml><?xml version="1.0" encoding="utf-8"?>
<ds:datastoreItem xmlns:ds="http://schemas.openxmlformats.org/officeDocument/2006/customXml" ds:itemID="{F6214A29-9DF9-40C2-BADA-2E2A8CC05E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References</vt:lpstr>
      <vt:lpstr>Calculations</vt:lpstr>
      <vt:lpstr>Revenue Increase</vt:lpstr>
      <vt:lpstr>Calculations!Print_Area</vt:lpstr>
      <vt:lpstr>References!Print_Area</vt:lpstr>
      <vt:lpstr>'Revenue Increase'!Print_Area</vt:lpstr>
      <vt:lpstr>Calculations!Print_Titles</vt:lpstr>
      <vt:lpstr>References!Print_Titles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Weldon</cp:lastModifiedBy>
  <cp:lastPrinted>2016-12-14T00:44:04Z</cp:lastPrinted>
  <dcterms:created xsi:type="dcterms:W3CDTF">2013-10-29T22:33:54Z</dcterms:created>
  <dcterms:modified xsi:type="dcterms:W3CDTF">2016-12-14T00:44:20Z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0x0101006E56B4D1795A2E4DB2F0B01679ED314A0076B2341F73941E4E91CC8A65CC9B033E</vt:lpwstr>
  </property>
  <property fmtid="{D5CDD505-2E9C-101B-9397-08002B2CF9AE}" pid="3" name="_docset_NoMedatataSyncRequired">
    <vt:lpwstr>False</vt:lpwstr>
  </property>
</Properties>
</file>