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240" yWindow="480" windowWidth="14100" windowHeight="4365" tabRatio="899"/>
  </bookViews>
  <sheets>
    <sheet name="COS" sheetId="1" r:id="rId1"/>
    <sheet name="Disposal" sheetId="10" r:id="rId2"/>
    <sheet name="Yardwaste Analysis" sheetId="11" r:id="rId3"/>
    <sheet name="Roll Off Average Cost" sheetId="12" r:id="rId4"/>
  </sheets>
  <externalReferences>
    <externalReference r:id="rId5"/>
  </externalReferences>
  <definedNames>
    <definedName name="_COS1">#REF!</definedName>
    <definedName name="_COS2">#REF!</definedName>
    <definedName name="CommlStaffPriceOut">'[1]Price Out-Reg EASTSIDE-Resi'!#REF!</definedName>
    <definedName name="DBxStaffPriceOut">'[1]Price Out-Reg EASTSIDE-Resi'!#REF!</definedName>
    <definedName name="EXT">#REF!</definedName>
    <definedName name="MATRIX">#REF!</definedName>
    <definedName name="MFStaffPriceOut">'[1]Price Out-Reg EASTSIDE-Resi'!#REF!</definedName>
    <definedName name="_xlnm.Print_Area" localSheetId="0">COS!$A$1:$AA$205</definedName>
    <definedName name="_xlnm.Print_Titles" localSheetId="0">COS!$1:$16</definedName>
    <definedName name="ReslStaffPriceOut">'[1]Price Out-Reg EASTSIDE-Resi'!#REF!</definedName>
  </definedNames>
  <calcPr calcId="145621"/>
</workbook>
</file>

<file path=xl/calcChain.xml><?xml version="1.0" encoding="utf-8"?>
<calcChain xmlns="http://schemas.openxmlformats.org/spreadsheetml/2006/main">
  <c r="F74" i="1" l="1"/>
  <c r="F25" i="1"/>
  <c r="C23" i="11" l="1"/>
  <c r="D23" i="11"/>
  <c r="E23" i="11"/>
  <c r="F23" i="11"/>
  <c r="G23" i="11"/>
  <c r="H23" i="11"/>
  <c r="I23" i="11"/>
  <c r="J23" i="11"/>
  <c r="K23" i="11"/>
  <c r="L23" i="11"/>
  <c r="M23" i="11"/>
  <c r="B23" i="11"/>
  <c r="C18" i="11"/>
  <c r="D18" i="11"/>
  <c r="E18" i="11"/>
  <c r="F18" i="11"/>
  <c r="G18" i="11"/>
  <c r="H18" i="11"/>
  <c r="I18" i="11"/>
  <c r="J18" i="11"/>
  <c r="K18" i="11"/>
  <c r="L18" i="11"/>
  <c r="M18" i="11"/>
  <c r="B18" i="11"/>
  <c r="N11" i="12"/>
  <c r="N12" i="12"/>
  <c r="N10" i="12"/>
  <c r="N13" i="12" s="1"/>
  <c r="C8" i="12"/>
  <c r="D8" i="12"/>
  <c r="E8" i="12"/>
  <c r="F8" i="12"/>
  <c r="G8" i="12"/>
  <c r="H8" i="12"/>
  <c r="I8" i="12"/>
  <c r="J8" i="12"/>
  <c r="K8" i="12"/>
  <c r="L8" i="12"/>
  <c r="M8" i="12"/>
  <c r="B8" i="12"/>
  <c r="N7" i="12"/>
  <c r="N6" i="12"/>
  <c r="N8" i="12" s="1"/>
  <c r="S32" i="10"/>
  <c r="R114" i="10"/>
  <c r="R115" i="10" s="1"/>
  <c r="R116" i="10" s="1"/>
  <c r="H114" i="10"/>
  <c r="H115" i="10" s="1"/>
  <c r="H116" i="10" s="1"/>
  <c r="L114" i="10"/>
  <c r="L115" i="10"/>
  <c r="L116" i="10" s="1"/>
  <c r="P114" i="10"/>
  <c r="P115" i="10"/>
  <c r="P116" i="10"/>
  <c r="G114" i="10"/>
  <c r="G115" i="10" s="1"/>
  <c r="G116" i="10" s="1"/>
  <c r="K114" i="10"/>
  <c r="K115" i="10" s="1"/>
  <c r="K116" i="10" s="1"/>
  <c r="O114" i="10"/>
  <c r="O115" i="10"/>
  <c r="O116" i="10" s="1"/>
  <c r="F114" i="10"/>
  <c r="F115" i="10"/>
  <c r="F116" i="10"/>
  <c r="J114" i="10"/>
  <c r="J115" i="10" s="1"/>
  <c r="J116" i="10" s="1"/>
  <c r="N114" i="10"/>
  <c r="N115" i="10" s="1"/>
  <c r="N116" i="10" s="1"/>
  <c r="I114" i="10"/>
  <c r="I115" i="10"/>
  <c r="I116" i="10" s="1"/>
  <c r="M114" i="10"/>
  <c r="M115" i="10"/>
  <c r="M116" i="10"/>
  <c r="Q114" i="10"/>
  <c r="Q115" i="10" s="1"/>
  <c r="Q116" i="10" s="1"/>
  <c r="M8" i="11"/>
  <c r="L8" i="11"/>
  <c r="K8" i="11"/>
  <c r="J8" i="11"/>
  <c r="I8" i="11"/>
  <c r="H8" i="11"/>
  <c r="G8" i="11"/>
  <c r="F8" i="11"/>
  <c r="E8" i="11"/>
  <c r="D8" i="11"/>
  <c r="C8" i="11"/>
  <c r="B8" i="11"/>
  <c r="G48" i="10"/>
  <c r="H48" i="10"/>
  <c r="I48" i="10"/>
  <c r="J48" i="10"/>
  <c r="K48" i="10"/>
  <c r="L48" i="10"/>
  <c r="M48" i="10"/>
  <c r="N48" i="10"/>
  <c r="O48" i="10"/>
  <c r="P48" i="10"/>
  <c r="Q48" i="10"/>
  <c r="F48" i="10"/>
  <c r="G42" i="10"/>
  <c r="H42" i="10"/>
  <c r="I42" i="10"/>
  <c r="J42" i="10"/>
  <c r="K42" i="10"/>
  <c r="L42" i="10"/>
  <c r="M42" i="10"/>
  <c r="N42" i="10"/>
  <c r="O42" i="10"/>
  <c r="P42" i="10"/>
  <c r="Q42" i="10"/>
  <c r="F42" i="10"/>
  <c r="G38" i="10"/>
  <c r="H38" i="10"/>
  <c r="I38" i="10"/>
  <c r="J38" i="10"/>
  <c r="K38" i="10"/>
  <c r="L38" i="10"/>
  <c r="M38" i="10"/>
  <c r="N38" i="10"/>
  <c r="O38" i="10"/>
  <c r="P38" i="10"/>
  <c r="Q38" i="10"/>
  <c r="F38" i="10"/>
  <c r="G34" i="10"/>
  <c r="H34" i="10"/>
  <c r="I34" i="10"/>
  <c r="J34" i="10"/>
  <c r="K34" i="10"/>
  <c r="L34" i="10"/>
  <c r="M34" i="10"/>
  <c r="N34" i="10"/>
  <c r="O34" i="10"/>
  <c r="P34" i="10"/>
  <c r="Q34" i="10"/>
  <c r="F34" i="10"/>
  <c r="G27" i="10"/>
  <c r="H27" i="10"/>
  <c r="I27" i="10"/>
  <c r="J27" i="10"/>
  <c r="K27" i="10"/>
  <c r="K52" i="10" s="1"/>
  <c r="L27" i="10"/>
  <c r="M27" i="10"/>
  <c r="N27" i="10"/>
  <c r="O27" i="10"/>
  <c r="O52" i="10" s="1"/>
  <c r="P27" i="10"/>
  <c r="Q27" i="10"/>
  <c r="F27" i="10"/>
  <c r="G23" i="10"/>
  <c r="G28" i="10" s="1"/>
  <c r="H23" i="10"/>
  <c r="I23" i="10"/>
  <c r="J23" i="10"/>
  <c r="K23" i="10"/>
  <c r="K28" i="10" s="1"/>
  <c r="L23" i="10"/>
  <c r="M23" i="10"/>
  <c r="N23" i="10"/>
  <c r="O23" i="10"/>
  <c r="O28" i="10" s="1"/>
  <c r="P23" i="10"/>
  <c r="Q23" i="10"/>
  <c r="F23" i="10"/>
  <c r="G15" i="10"/>
  <c r="H15" i="10"/>
  <c r="I15" i="10"/>
  <c r="I16" i="10" s="1"/>
  <c r="I17" i="10" s="1"/>
  <c r="J15" i="10"/>
  <c r="K15" i="10"/>
  <c r="L15" i="10"/>
  <c r="M15" i="10"/>
  <c r="M16" i="10" s="1"/>
  <c r="M17" i="10" s="1"/>
  <c r="N15" i="10"/>
  <c r="O15" i="10"/>
  <c r="P15" i="10"/>
  <c r="Q15" i="10"/>
  <c r="Q16" i="10" s="1"/>
  <c r="Q17" i="10" s="1"/>
  <c r="F15" i="10"/>
  <c r="B135" i="1"/>
  <c r="N65" i="1"/>
  <c r="N66" i="1"/>
  <c r="N67" i="1"/>
  <c r="J65" i="1"/>
  <c r="K65" i="1" s="1"/>
  <c r="J66" i="1"/>
  <c r="K66" i="1" s="1"/>
  <c r="J67" i="1"/>
  <c r="K67" i="1" s="1"/>
  <c r="I67" i="1"/>
  <c r="I66" i="1"/>
  <c r="I65" i="1"/>
  <c r="AB51" i="1"/>
  <c r="N64" i="1"/>
  <c r="J64" i="1"/>
  <c r="K64" i="1"/>
  <c r="O9" i="11"/>
  <c r="N36" i="1"/>
  <c r="B205" i="1"/>
  <c r="L32" i="1"/>
  <c r="L33" i="1"/>
  <c r="N33" i="1" s="1"/>
  <c r="L34" i="1"/>
  <c r="N34" i="1"/>
  <c r="L35" i="1"/>
  <c r="L59" i="1"/>
  <c r="N59" i="1" s="1"/>
  <c r="L58" i="1"/>
  <c r="N58" i="1" s="1"/>
  <c r="L57" i="1"/>
  <c r="N57" i="1" s="1"/>
  <c r="L56" i="1"/>
  <c r="L55" i="1"/>
  <c r="N55" i="1" s="1"/>
  <c r="L54" i="1"/>
  <c r="N54" i="1" s="1"/>
  <c r="L53" i="1"/>
  <c r="N53" i="1" s="1"/>
  <c r="L52" i="1"/>
  <c r="L51" i="1"/>
  <c r="N51" i="1" s="1"/>
  <c r="L50" i="1"/>
  <c r="N50" i="1" s="1"/>
  <c r="L49" i="1"/>
  <c r="N49" i="1" s="1"/>
  <c r="L48" i="1"/>
  <c r="N48" i="1" s="1"/>
  <c r="L47" i="1"/>
  <c r="L46" i="1"/>
  <c r="N46" i="1" s="1"/>
  <c r="L45" i="1"/>
  <c r="N45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J25" i="1"/>
  <c r="K25" i="1" s="1"/>
  <c r="N32" i="1"/>
  <c r="I146" i="1"/>
  <c r="AB27" i="1"/>
  <c r="N52" i="1"/>
  <c r="N56" i="1"/>
  <c r="N60" i="1"/>
  <c r="N61" i="1"/>
  <c r="N62" i="1"/>
  <c r="N63" i="1"/>
  <c r="N43" i="1"/>
  <c r="N37" i="1"/>
  <c r="N38" i="1"/>
  <c r="N39" i="1"/>
  <c r="N40" i="1"/>
  <c r="N41" i="1"/>
  <c r="N42" i="1"/>
  <c r="J63" i="1"/>
  <c r="K63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5" i="1"/>
  <c r="K45" i="1" s="1"/>
  <c r="J43" i="1"/>
  <c r="K43" i="1" s="1"/>
  <c r="I41" i="1"/>
  <c r="I43" i="1"/>
  <c r="I42" i="1"/>
  <c r="J42" i="1" s="1"/>
  <c r="K42" i="1" s="1"/>
  <c r="J62" i="1"/>
  <c r="K62" i="1"/>
  <c r="R32" i="10"/>
  <c r="R63" i="10"/>
  <c r="L21" i="1"/>
  <c r="N21" i="1" s="1"/>
  <c r="D111" i="1"/>
  <c r="L111" i="1" s="1"/>
  <c r="C111" i="1"/>
  <c r="D100" i="1"/>
  <c r="L100" i="1" s="1"/>
  <c r="D101" i="1"/>
  <c r="L101" i="1" s="1"/>
  <c r="D108" i="1"/>
  <c r="L108" i="1" s="1"/>
  <c r="D109" i="1"/>
  <c r="L109" i="1" s="1"/>
  <c r="D110" i="1"/>
  <c r="L110" i="1"/>
  <c r="D159" i="1"/>
  <c r="L159" i="1"/>
  <c r="N159" i="1" s="1"/>
  <c r="D160" i="1"/>
  <c r="L160" i="1"/>
  <c r="D166" i="1"/>
  <c r="L166" i="1"/>
  <c r="D167" i="1"/>
  <c r="L167" i="1"/>
  <c r="D174" i="1"/>
  <c r="L174" i="1"/>
  <c r="D175" i="1"/>
  <c r="D176" i="1"/>
  <c r="D177" i="1"/>
  <c r="L177" i="1"/>
  <c r="C186" i="1"/>
  <c r="C187" i="1"/>
  <c r="C188" i="1"/>
  <c r="D77" i="1"/>
  <c r="D143" i="1"/>
  <c r="L143" i="1"/>
  <c r="N143" i="1" s="1"/>
  <c r="F111" i="1"/>
  <c r="C109" i="1"/>
  <c r="J109" i="1" s="1"/>
  <c r="K109" i="1"/>
  <c r="F109" i="1"/>
  <c r="C101" i="1"/>
  <c r="N101" i="1" s="1"/>
  <c r="F101" i="1"/>
  <c r="D94" i="1"/>
  <c r="C94" i="1"/>
  <c r="J94" i="1" s="1"/>
  <c r="K94" i="1" s="1"/>
  <c r="C79" i="1"/>
  <c r="E79" i="1" s="1"/>
  <c r="J79" i="1"/>
  <c r="L79" i="1"/>
  <c r="N79" i="1" s="1"/>
  <c r="C80" i="1"/>
  <c r="E80" i="1"/>
  <c r="L80" i="1"/>
  <c r="C81" i="1"/>
  <c r="L81" i="1"/>
  <c r="C82" i="1"/>
  <c r="J82" i="1"/>
  <c r="K82" i="1" s="1"/>
  <c r="L82" i="1"/>
  <c r="N82" i="1" s="1"/>
  <c r="C83" i="1"/>
  <c r="E83" i="1"/>
  <c r="L83" i="1"/>
  <c r="C84" i="1"/>
  <c r="L84" i="1"/>
  <c r="C85" i="1"/>
  <c r="D85" i="1"/>
  <c r="L85" i="1" s="1"/>
  <c r="C86" i="1"/>
  <c r="J86" i="1"/>
  <c r="K86" i="1" s="1"/>
  <c r="L86" i="1"/>
  <c r="C87" i="1"/>
  <c r="N87" i="1"/>
  <c r="L87" i="1"/>
  <c r="C88" i="1"/>
  <c r="J88" i="1"/>
  <c r="K88" i="1" s="1"/>
  <c r="L88" i="1"/>
  <c r="C89" i="1"/>
  <c r="J89" i="1"/>
  <c r="K89" i="1" s="1"/>
  <c r="L89" i="1"/>
  <c r="C90" i="1"/>
  <c r="J90" i="1"/>
  <c r="K90" i="1" s="1"/>
  <c r="L90" i="1"/>
  <c r="C91" i="1"/>
  <c r="J91" i="1"/>
  <c r="K91" i="1" s="1"/>
  <c r="L91" i="1"/>
  <c r="N91" i="1" s="1"/>
  <c r="C92" i="1"/>
  <c r="L92" i="1"/>
  <c r="C93" i="1"/>
  <c r="J93" i="1"/>
  <c r="K93" i="1" s="1"/>
  <c r="D93" i="1"/>
  <c r="C95" i="1"/>
  <c r="J95" i="1"/>
  <c r="K95" i="1" s="1"/>
  <c r="L95" i="1"/>
  <c r="C96" i="1"/>
  <c r="E96" i="1"/>
  <c r="L96" i="1"/>
  <c r="C97" i="1"/>
  <c r="E97" i="1" s="1"/>
  <c r="L97" i="1"/>
  <c r="C98" i="1"/>
  <c r="N98" i="1"/>
  <c r="L98" i="1"/>
  <c r="C99" i="1"/>
  <c r="J99" i="1" s="1"/>
  <c r="K99" i="1"/>
  <c r="L99" i="1"/>
  <c r="C100" i="1"/>
  <c r="C102" i="1"/>
  <c r="L102" i="1"/>
  <c r="C103" i="1"/>
  <c r="E103" i="1"/>
  <c r="L103" i="1"/>
  <c r="C104" i="1"/>
  <c r="L104" i="1"/>
  <c r="C105" i="1"/>
  <c r="L105" i="1"/>
  <c r="C106" i="1"/>
  <c r="J106" i="1" s="1"/>
  <c r="K106" i="1" s="1"/>
  <c r="L106" i="1"/>
  <c r="C107" i="1"/>
  <c r="N107" i="1" s="1"/>
  <c r="L107" i="1"/>
  <c r="C108" i="1"/>
  <c r="J108" i="1"/>
  <c r="K108" i="1" s="1"/>
  <c r="C110" i="1"/>
  <c r="N110" i="1" s="1"/>
  <c r="C112" i="1"/>
  <c r="J112" i="1" s="1"/>
  <c r="K112" i="1" s="1"/>
  <c r="L112" i="1"/>
  <c r="C113" i="1"/>
  <c r="L113" i="1"/>
  <c r="C114" i="1"/>
  <c r="J114" i="1" s="1"/>
  <c r="K114" i="1"/>
  <c r="L114" i="1"/>
  <c r="C115" i="1"/>
  <c r="E115" i="1" s="1"/>
  <c r="L115" i="1"/>
  <c r="C116" i="1"/>
  <c r="J116" i="1"/>
  <c r="K116" i="1" s="1"/>
  <c r="L116" i="1"/>
  <c r="C117" i="1"/>
  <c r="J117" i="1"/>
  <c r="K117" i="1" s="1"/>
  <c r="L117" i="1"/>
  <c r="C118" i="1"/>
  <c r="E118" i="1"/>
  <c r="L118" i="1"/>
  <c r="C119" i="1"/>
  <c r="E119" i="1" s="1"/>
  <c r="L119" i="1"/>
  <c r="C120" i="1"/>
  <c r="N120" i="1"/>
  <c r="L120" i="1"/>
  <c r="C121" i="1"/>
  <c r="J121" i="1" s="1"/>
  <c r="K121" i="1"/>
  <c r="L121" i="1"/>
  <c r="C122" i="1"/>
  <c r="E122" i="1" s="1"/>
  <c r="L122" i="1"/>
  <c r="F123" i="1"/>
  <c r="J123" i="1"/>
  <c r="K123" i="1" s="1"/>
  <c r="L123" i="1"/>
  <c r="C144" i="1"/>
  <c r="N144" i="1"/>
  <c r="L144" i="1"/>
  <c r="C145" i="1"/>
  <c r="L145" i="1"/>
  <c r="C146" i="1"/>
  <c r="E146" i="1" s="1"/>
  <c r="L146" i="1"/>
  <c r="N146" i="1" s="1"/>
  <c r="C147" i="1"/>
  <c r="E147" i="1"/>
  <c r="L147" i="1"/>
  <c r="C148" i="1"/>
  <c r="L148" i="1"/>
  <c r="C149" i="1"/>
  <c r="E149" i="1"/>
  <c r="L149" i="1"/>
  <c r="C150" i="1"/>
  <c r="J150" i="1" s="1"/>
  <c r="K150" i="1" s="1"/>
  <c r="L150" i="1"/>
  <c r="C151" i="1"/>
  <c r="D151" i="1"/>
  <c r="L151" i="1"/>
  <c r="C152" i="1"/>
  <c r="E152" i="1" s="1"/>
  <c r="N152" i="1"/>
  <c r="L152" i="1"/>
  <c r="C153" i="1"/>
  <c r="E153" i="1"/>
  <c r="L153" i="1"/>
  <c r="N153" i="1"/>
  <c r="C154" i="1"/>
  <c r="J154" i="1"/>
  <c r="K154" i="1" s="1"/>
  <c r="L154" i="1"/>
  <c r="C155" i="1"/>
  <c r="E155" i="1"/>
  <c r="L155" i="1"/>
  <c r="N155" i="1"/>
  <c r="C156" i="1"/>
  <c r="L156" i="1"/>
  <c r="C157" i="1"/>
  <c r="J157" i="1"/>
  <c r="K157" i="1" s="1"/>
  <c r="L157" i="1"/>
  <c r="C158" i="1"/>
  <c r="E158" i="1"/>
  <c r="L158" i="1"/>
  <c r="C159" i="1"/>
  <c r="E159" i="1" s="1"/>
  <c r="J159" i="1"/>
  <c r="K159" i="1" s="1"/>
  <c r="C160" i="1"/>
  <c r="C161" i="1"/>
  <c r="J161" i="1"/>
  <c r="K161" i="1" s="1"/>
  <c r="L161" i="1"/>
  <c r="N161" i="1" s="1"/>
  <c r="C162" i="1"/>
  <c r="J162" i="1" s="1"/>
  <c r="K162" i="1" s="1"/>
  <c r="N162" i="1"/>
  <c r="L162" i="1"/>
  <c r="C163" i="1"/>
  <c r="N163" i="1" s="1"/>
  <c r="L163" i="1"/>
  <c r="C164" i="1"/>
  <c r="E164" i="1"/>
  <c r="L164" i="1"/>
  <c r="C165" i="1"/>
  <c r="E165" i="1" s="1"/>
  <c r="L165" i="1"/>
  <c r="C166" i="1"/>
  <c r="J166" i="1"/>
  <c r="K166" i="1" s="1"/>
  <c r="C167" i="1"/>
  <c r="C168" i="1"/>
  <c r="L168" i="1"/>
  <c r="C169" i="1"/>
  <c r="J169" i="1" s="1"/>
  <c r="K169" i="1"/>
  <c r="L169" i="1"/>
  <c r="C170" i="1"/>
  <c r="L170" i="1"/>
  <c r="N170" i="1" s="1"/>
  <c r="C171" i="1"/>
  <c r="N171" i="1"/>
  <c r="L171" i="1"/>
  <c r="C172" i="1"/>
  <c r="L172" i="1"/>
  <c r="C173" i="1"/>
  <c r="J173" i="1"/>
  <c r="K173" i="1" s="1"/>
  <c r="L173" i="1"/>
  <c r="C174" i="1"/>
  <c r="N174" i="1"/>
  <c r="C175" i="1"/>
  <c r="E175" i="1"/>
  <c r="C176" i="1"/>
  <c r="J176" i="1"/>
  <c r="K176" i="1" s="1"/>
  <c r="C177" i="1"/>
  <c r="C178" i="1"/>
  <c r="E178" i="1"/>
  <c r="L178" i="1"/>
  <c r="N178" i="1"/>
  <c r="C179" i="1"/>
  <c r="E179" i="1"/>
  <c r="L179" i="1"/>
  <c r="C180" i="1"/>
  <c r="N180" i="1" s="1"/>
  <c r="L180" i="1"/>
  <c r="C181" i="1"/>
  <c r="E181" i="1"/>
  <c r="L181" i="1"/>
  <c r="N181" i="1"/>
  <c r="C182" i="1"/>
  <c r="E182" i="1"/>
  <c r="J182" i="1"/>
  <c r="K182" i="1"/>
  <c r="L182" i="1"/>
  <c r="C183" i="1"/>
  <c r="L183" i="1"/>
  <c r="C184" i="1"/>
  <c r="J184" i="1"/>
  <c r="K184" i="1" s="1"/>
  <c r="L184" i="1"/>
  <c r="N184" i="1" s="1"/>
  <c r="C185" i="1"/>
  <c r="J185" i="1"/>
  <c r="K185" i="1" s="1"/>
  <c r="L185" i="1"/>
  <c r="L186" i="1"/>
  <c r="L187" i="1"/>
  <c r="L188" i="1"/>
  <c r="L189" i="1"/>
  <c r="N35" i="1"/>
  <c r="L74" i="1"/>
  <c r="C75" i="1"/>
  <c r="E75" i="1"/>
  <c r="L75" i="1"/>
  <c r="C76" i="1"/>
  <c r="N76" i="1" s="1"/>
  <c r="L76" i="1"/>
  <c r="C139" i="1"/>
  <c r="N139" i="1"/>
  <c r="L139" i="1"/>
  <c r="C140" i="1"/>
  <c r="E140" i="1" s="1"/>
  <c r="L140" i="1"/>
  <c r="N140" i="1" s="1"/>
  <c r="C141" i="1"/>
  <c r="N141" i="1"/>
  <c r="L141" i="1"/>
  <c r="C142" i="1"/>
  <c r="L142" i="1"/>
  <c r="C77" i="1"/>
  <c r="J77" i="1"/>
  <c r="K77" i="1" s="1"/>
  <c r="C78" i="1"/>
  <c r="E114" i="1"/>
  <c r="C124" i="1"/>
  <c r="E124" i="1"/>
  <c r="C125" i="1"/>
  <c r="J125" i="1"/>
  <c r="C126" i="1"/>
  <c r="E126" i="1" s="1"/>
  <c r="C127" i="1"/>
  <c r="J127" i="1" s="1"/>
  <c r="C128" i="1"/>
  <c r="E128" i="1"/>
  <c r="C129" i="1"/>
  <c r="N129" i="1"/>
  <c r="C130" i="1"/>
  <c r="E130" i="1"/>
  <c r="C131" i="1"/>
  <c r="N131" i="1"/>
  <c r="C132" i="1"/>
  <c r="E132" i="1"/>
  <c r="C133" i="1"/>
  <c r="E133" i="1"/>
  <c r="C143" i="1"/>
  <c r="J143" i="1"/>
  <c r="K143" i="1" s="1"/>
  <c r="C190" i="1"/>
  <c r="E190" i="1" s="1"/>
  <c r="C191" i="1"/>
  <c r="E191" i="1"/>
  <c r="C192" i="1"/>
  <c r="E192" i="1"/>
  <c r="C193" i="1"/>
  <c r="J193" i="1" s="1"/>
  <c r="E193" i="1"/>
  <c r="K193" i="1"/>
  <c r="C194" i="1"/>
  <c r="E194" i="1"/>
  <c r="C195" i="1"/>
  <c r="E195" i="1"/>
  <c r="C196" i="1"/>
  <c r="E196" i="1"/>
  <c r="C197" i="1"/>
  <c r="J197" i="1"/>
  <c r="K197" i="1" s="1"/>
  <c r="C198" i="1"/>
  <c r="E198" i="1" s="1"/>
  <c r="J198" i="1"/>
  <c r="K198" i="1" s="1"/>
  <c r="R11" i="1"/>
  <c r="R12" i="1"/>
  <c r="U11" i="1"/>
  <c r="F94" i="1"/>
  <c r="F85" i="1"/>
  <c r="F77" i="1"/>
  <c r="L78" i="1"/>
  <c r="J177" i="1"/>
  <c r="K177" i="1" s="1"/>
  <c r="F177" i="1"/>
  <c r="F175" i="1"/>
  <c r="F167" i="1"/>
  <c r="F160" i="1"/>
  <c r="F151" i="1"/>
  <c r="F143" i="1"/>
  <c r="F174" i="1"/>
  <c r="F140" i="1"/>
  <c r="F108" i="1"/>
  <c r="H17" i="12"/>
  <c r="I127" i="10"/>
  <c r="J127" i="10"/>
  <c r="J156" i="10" s="1"/>
  <c r="K127" i="10"/>
  <c r="L127" i="10"/>
  <c r="L156" i="10" s="1"/>
  <c r="M127" i="10"/>
  <c r="M156" i="10" s="1"/>
  <c r="N127" i="10"/>
  <c r="F127" i="10"/>
  <c r="F156" i="10"/>
  <c r="G127" i="10"/>
  <c r="G156" i="10"/>
  <c r="H127" i="10"/>
  <c r="H156" i="10"/>
  <c r="J15" i="12"/>
  <c r="F144" i="10"/>
  <c r="G144" i="10"/>
  <c r="H144" i="10"/>
  <c r="I144" i="10"/>
  <c r="J144" i="10"/>
  <c r="J162" i="10" s="1"/>
  <c r="J163" i="10"/>
  <c r="L144" i="10"/>
  <c r="L162" i="10"/>
  <c r="L163" i="10" s="1"/>
  <c r="M144" i="10"/>
  <c r="M162" i="10" s="1"/>
  <c r="M163" i="10"/>
  <c r="N144" i="10"/>
  <c r="N162" i="10"/>
  <c r="N163" i="10" s="1"/>
  <c r="P144" i="10"/>
  <c r="P162" i="10" s="1"/>
  <c r="P163" i="10"/>
  <c r="Q144" i="10"/>
  <c r="F173" i="1"/>
  <c r="F106" i="1"/>
  <c r="F165" i="1"/>
  <c r="F98" i="1"/>
  <c r="J158" i="1"/>
  <c r="K158" i="1" s="1"/>
  <c r="F158" i="1"/>
  <c r="F157" i="1"/>
  <c r="F92" i="1"/>
  <c r="F91" i="1"/>
  <c r="F90" i="1"/>
  <c r="F93" i="1"/>
  <c r="F150" i="1"/>
  <c r="F149" i="1"/>
  <c r="F148" i="1"/>
  <c r="F147" i="1"/>
  <c r="F84" i="1"/>
  <c r="F83" i="1"/>
  <c r="F82" i="1"/>
  <c r="F81" i="1"/>
  <c r="F146" i="1"/>
  <c r="F80" i="1"/>
  <c r="Q43" i="10"/>
  <c r="P52" i="10"/>
  <c r="I128" i="10"/>
  <c r="H43" i="10"/>
  <c r="J133" i="1"/>
  <c r="K133" i="1" s="1"/>
  <c r="J23" i="1"/>
  <c r="K23" i="1" s="1"/>
  <c r="J24" i="1"/>
  <c r="J26" i="1"/>
  <c r="K26" i="1" s="1"/>
  <c r="J27" i="1"/>
  <c r="K27" i="1" s="1"/>
  <c r="J28" i="1"/>
  <c r="K28" i="1" s="1"/>
  <c r="J29" i="1"/>
  <c r="K29" i="1" s="1"/>
  <c r="J31" i="1"/>
  <c r="K31" i="1" s="1"/>
  <c r="J37" i="1"/>
  <c r="K37" i="1"/>
  <c r="J38" i="1"/>
  <c r="K38" i="1" s="1"/>
  <c r="J39" i="1"/>
  <c r="K39" i="1" s="1"/>
  <c r="J40" i="1"/>
  <c r="K40" i="1" s="1"/>
  <c r="R21" i="10"/>
  <c r="R58" i="10" s="1"/>
  <c r="R60" i="10" s="1"/>
  <c r="L190" i="1"/>
  <c r="L191" i="1"/>
  <c r="L192" i="1"/>
  <c r="N192" i="1" s="1"/>
  <c r="L193" i="1"/>
  <c r="L194" i="1"/>
  <c r="L195" i="1"/>
  <c r="L196" i="1"/>
  <c r="L197" i="1"/>
  <c r="N197" i="1" s="1"/>
  <c r="L133" i="1"/>
  <c r="L132" i="1"/>
  <c r="L131" i="1"/>
  <c r="L130" i="1"/>
  <c r="L129" i="1"/>
  <c r="L128" i="1"/>
  <c r="L127" i="1"/>
  <c r="L126" i="1"/>
  <c r="L125" i="1"/>
  <c r="L124" i="1"/>
  <c r="F75" i="1"/>
  <c r="F76" i="1"/>
  <c r="F9" i="1" s="1"/>
  <c r="F139" i="1"/>
  <c r="F141" i="1"/>
  <c r="F142" i="1"/>
  <c r="F79" i="1"/>
  <c r="F86" i="1"/>
  <c r="F87" i="1"/>
  <c r="F88" i="1"/>
  <c r="F89" i="1"/>
  <c r="F95" i="1"/>
  <c r="F96" i="1"/>
  <c r="F97" i="1"/>
  <c r="F99" i="1"/>
  <c r="F100" i="1"/>
  <c r="F102" i="1"/>
  <c r="F103" i="1"/>
  <c r="F104" i="1"/>
  <c r="F105" i="1"/>
  <c r="F107" i="1"/>
  <c r="F110" i="1"/>
  <c r="F112" i="1"/>
  <c r="F113" i="1"/>
  <c r="F114" i="1"/>
  <c r="F115" i="1"/>
  <c r="F144" i="1"/>
  <c r="F145" i="1"/>
  <c r="F152" i="1"/>
  <c r="F153" i="1"/>
  <c r="F154" i="1"/>
  <c r="F155" i="1"/>
  <c r="F156" i="1"/>
  <c r="F159" i="1"/>
  <c r="F161" i="1"/>
  <c r="F162" i="1"/>
  <c r="F163" i="1"/>
  <c r="F164" i="1"/>
  <c r="F166" i="1"/>
  <c r="F168" i="1"/>
  <c r="F169" i="1"/>
  <c r="F170" i="1"/>
  <c r="F171" i="1"/>
  <c r="F172" i="1"/>
  <c r="F176" i="1"/>
  <c r="F178" i="1"/>
  <c r="F78" i="1"/>
  <c r="F116" i="1"/>
  <c r="F117" i="1"/>
  <c r="F118" i="1"/>
  <c r="F119" i="1"/>
  <c r="F120" i="1"/>
  <c r="F121" i="1"/>
  <c r="F122" i="1"/>
  <c r="F124" i="1"/>
  <c r="F125" i="1"/>
  <c r="F126" i="1"/>
  <c r="F127" i="1"/>
  <c r="F128" i="1"/>
  <c r="F129" i="1"/>
  <c r="F130" i="1"/>
  <c r="F131" i="1"/>
  <c r="F132" i="1"/>
  <c r="F133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7" i="1"/>
  <c r="R46" i="10"/>
  <c r="G151" i="10"/>
  <c r="K151" i="10"/>
  <c r="M151" i="10"/>
  <c r="N151" i="10"/>
  <c r="O151" i="10"/>
  <c r="P151" i="10"/>
  <c r="Q151" i="10"/>
  <c r="O127" i="10"/>
  <c r="O156" i="10"/>
  <c r="P127" i="10"/>
  <c r="Q127" i="10"/>
  <c r="J138" i="10"/>
  <c r="F132" i="10"/>
  <c r="F157" i="10" s="1"/>
  <c r="G132" i="10"/>
  <c r="H132" i="10"/>
  <c r="I132" i="10"/>
  <c r="I134" i="10" s="1"/>
  <c r="J132" i="10"/>
  <c r="J157" i="10"/>
  <c r="K132" i="10"/>
  <c r="L132" i="10"/>
  <c r="M132" i="10"/>
  <c r="N132" i="10"/>
  <c r="O132" i="10"/>
  <c r="O157" i="10"/>
  <c r="P132" i="10"/>
  <c r="Q132" i="10"/>
  <c r="G152" i="10"/>
  <c r="G153" i="10"/>
  <c r="H152" i="10"/>
  <c r="I152" i="10"/>
  <c r="K152" i="10"/>
  <c r="L152" i="10"/>
  <c r="M152" i="10"/>
  <c r="N152" i="10"/>
  <c r="R41" i="10"/>
  <c r="S41" i="10" s="1"/>
  <c r="R33" i="10"/>
  <c r="F128" i="10"/>
  <c r="F129" i="10"/>
  <c r="G128" i="10"/>
  <c r="G129" i="10"/>
  <c r="H128" i="10"/>
  <c r="H129" i="10"/>
  <c r="J128" i="10"/>
  <c r="J129" i="10"/>
  <c r="K128" i="10"/>
  <c r="L128" i="10"/>
  <c r="M128" i="10"/>
  <c r="N128" i="10"/>
  <c r="O128" i="10"/>
  <c r="O129" i="10" s="1"/>
  <c r="P128" i="10"/>
  <c r="R128" i="10" s="1"/>
  <c r="Q128" i="10"/>
  <c r="F133" i="10"/>
  <c r="G133" i="10"/>
  <c r="G134" i="10"/>
  <c r="G141" i="10" s="1"/>
  <c r="H133" i="10"/>
  <c r="I133" i="10"/>
  <c r="J133" i="10"/>
  <c r="K133" i="10"/>
  <c r="L133" i="10"/>
  <c r="M133" i="10"/>
  <c r="N133" i="10"/>
  <c r="O133" i="10"/>
  <c r="O134" i="10" s="1"/>
  <c r="O141" i="10" s="1"/>
  <c r="P133" i="10"/>
  <c r="P134" i="10" s="1"/>
  <c r="Q133" i="10"/>
  <c r="M51" i="10"/>
  <c r="F123" i="10"/>
  <c r="H123" i="10"/>
  <c r="R108" i="10"/>
  <c r="G7" i="10"/>
  <c r="C4" i="12" s="1"/>
  <c r="H7" i="10"/>
  <c r="R12" i="10"/>
  <c r="R13" i="10"/>
  <c r="R14" i="10"/>
  <c r="F52" i="10"/>
  <c r="F53" i="10"/>
  <c r="G53" i="10"/>
  <c r="H52" i="10"/>
  <c r="H53" i="10"/>
  <c r="H54" i="10" s="1"/>
  <c r="I52" i="10"/>
  <c r="I53" i="10"/>
  <c r="J52" i="10"/>
  <c r="J53" i="10"/>
  <c r="J54" i="10" s="1"/>
  <c r="J16" i="10" s="1"/>
  <c r="J17" i="10" s="1"/>
  <c r="K53" i="10"/>
  <c r="L52" i="10"/>
  <c r="L53" i="10"/>
  <c r="M52" i="10"/>
  <c r="M53" i="10"/>
  <c r="N52" i="10"/>
  <c r="N53" i="10"/>
  <c r="O53" i="10"/>
  <c r="O54" i="10" s="1"/>
  <c r="P53" i="10"/>
  <c r="Q52" i="10"/>
  <c r="Q53" i="10"/>
  <c r="R23" i="10"/>
  <c r="R25" i="10"/>
  <c r="R59" i="10"/>
  <c r="F28" i="10"/>
  <c r="H28" i="10"/>
  <c r="I28" i="10"/>
  <c r="J28" i="10"/>
  <c r="L28" i="10"/>
  <c r="M28" i="10"/>
  <c r="N28" i="10"/>
  <c r="P28" i="10"/>
  <c r="Q28" i="10"/>
  <c r="R36" i="10"/>
  <c r="R40" i="10"/>
  <c r="R65" i="10"/>
  <c r="F43" i="10"/>
  <c r="J43" i="10"/>
  <c r="K43" i="10"/>
  <c r="L43" i="10"/>
  <c r="M43" i="10"/>
  <c r="N43" i="10"/>
  <c r="O43" i="10"/>
  <c r="F58" i="10"/>
  <c r="F60" i="10" s="1"/>
  <c r="G58" i="10"/>
  <c r="H58" i="10"/>
  <c r="H60" i="10" s="1"/>
  <c r="H72" i="10" s="1"/>
  <c r="I58" i="10"/>
  <c r="J58" i="10"/>
  <c r="K58" i="10"/>
  <c r="K60" i="10" s="1"/>
  <c r="K72" i="10" s="1"/>
  <c r="L58" i="10"/>
  <c r="M58" i="10"/>
  <c r="N58" i="10"/>
  <c r="O58" i="10"/>
  <c r="O60" i="10" s="1"/>
  <c r="P58" i="10"/>
  <c r="P60" i="10" s="1"/>
  <c r="Q58" i="10"/>
  <c r="F59" i="10"/>
  <c r="G59" i="10"/>
  <c r="H59" i="10"/>
  <c r="I59" i="10"/>
  <c r="I60" i="10"/>
  <c r="J59" i="10"/>
  <c r="K59" i="10"/>
  <c r="L59" i="10"/>
  <c r="L60" i="10"/>
  <c r="M59" i="10"/>
  <c r="M60" i="10" s="1"/>
  <c r="N59" i="10"/>
  <c r="O59" i="10"/>
  <c r="P59" i="10"/>
  <c r="Q59" i="10"/>
  <c r="F63" i="10"/>
  <c r="G63" i="10"/>
  <c r="H63" i="10"/>
  <c r="I63" i="10"/>
  <c r="J63" i="10"/>
  <c r="J66" i="10" s="1"/>
  <c r="J72" i="10" s="1"/>
  <c r="K63" i="10"/>
  <c r="L63" i="10"/>
  <c r="M63" i="10"/>
  <c r="N63" i="10"/>
  <c r="O63" i="10"/>
  <c r="P63" i="10"/>
  <c r="Q63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F69" i="10"/>
  <c r="F70" i="10" s="1"/>
  <c r="G69" i="10"/>
  <c r="I69" i="10"/>
  <c r="I70" i="10"/>
  <c r="J69" i="10"/>
  <c r="J70" i="10" s="1"/>
  <c r="K69" i="10"/>
  <c r="K70" i="10"/>
  <c r="L69" i="10"/>
  <c r="L70" i="10" s="1"/>
  <c r="M69" i="10"/>
  <c r="M70" i="10" s="1"/>
  <c r="N69" i="10"/>
  <c r="N70" i="10"/>
  <c r="O69" i="10"/>
  <c r="O70" i="10" s="1"/>
  <c r="P69" i="10"/>
  <c r="P70" i="10"/>
  <c r="Q69" i="10"/>
  <c r="Q70" i="10" s="1"/>
  <c r="G70" i="10"/>
  <c r="R78" i="10"/>
  <c r="R79" i="10"/>
  <c r="R80" i="10"/>
  <c r="R81" i="10"/>
  <c r="R82" i="10"/>
  <c r="R87" i="10"/>
  <c r="R88" i="10"/>
  <c r="R91" i="10"/>
  <c r="R92" i="10"/>
  <c r="R101" i="10"/>
  <c r="I151" i="10"/>
  <c r="L151" i="10"/>
  <c r="F152" i="10"/>
  <c r="F153" i="10" s="1"/>
  <c r="J152" i="10"/>
  <c r="O152" i="10"/>
  <c r="P152" i="10"/>
  <c r="Q152" i="10"/>
  <c r="N156" i="10"/>
  <c r="I157" i="10"/>
  <c r="K157" i="10"/>
  <c r="N157" i="10"/>
  <c r="I162" i="10"/>
  <c r="I163" i="10"/>
  <c r="Q162" i="10"/>
  <c r="Q163" i="10" s="1"/>
  <c r="B5" i="11"/>
  <c r="O7" i="11"/>
  <c r="O8" i="11" s="1"/>
  <c r="B4" i="12"/>
  <c r="L175" i="1"/>
  <c r="N175" i="1" s="1"/>
  <c r="I43" i="10"/>
  <c r="J151" i="10"/>
  <c r="J153" i="10" s="1"/>
  <c r="F151" i="10"/>
  <c r="P43" i="10"/>
  <c r="K144" i="10"/>
  <c r="K162" i="10" s="1"/>
  <c r="K163" i="10" s="1"/>
  <c r="G17" i="12"/>
  <c r="K15" i="12"/>
  <c r="O144" i="10"/>
  <c r="H69" i="10"/>
  <c r="H70" i="10"/>
  <c r="H51" i="10"/>
  <c r="L93" i="1"/>
  <c r="J85" i="1"/>
  <c r="K85" i="1" s="1"/>
  <c r="E171" i="1"/>
  <c r="I15" i="12"/>
  <c r="I18" i="12" s="1"/>
  <c r="O162" i="10"/>
  <c r="O163" i="10"/>
  <c r="Q51" i="10"/>
  <c r="O51" i="10"/>
  <c r="N51" i="10"/>
  <c r="F51" i="10"/>
  <c r="Q60" i="10"/>
  <c r="P51" i="10"/>
  <c r="N60" i="10"/>
  <c r="L153" i="10"/>
  <c r="R132" i="10"/>
  <c r="L51" i="10"/>
  <c r="J60" i="10"/>
  <c r="H162" i="10"/>
  <c r="H163" i="10" s="1"/>
  <c r="F162" i="10"/>
  <c r="F163" i="10" s="1"/>
  <c r="L66" i="10"/>
  <c r="P66" i="10"/>
  <c r="H66" i="10"/>
  <c r="R37" i="10"/>
  <c r="P157" i="10"/>
  <c r="G157" i="10"/>
  <c r="M129" i="10"/>
  <c r="R26" i="10"/>
  <c r="H151" i="10"/>
  <c r="R119" i="10"/>
  <c r="R151" i="10" s="1"/>
  <c r="I51" i="10"/>
  <c r="R15" i="10"/>
  <c r="E185" i="1"/>
  <c r="N173" i="1"/>
  <c r="E173" i="1"/>
  <c r="J181" i="1"/>
  <c r="K181" i="1" s="1"/>
  <c r="E176" i="1"/>
  <c r="E184" i="1"/>
  <c r="N186" i="1"/>
  <c r="J186" i="1"/>
  <c r="K186" i="1"/>
  <c r="J122" i="1"/>
  <c r="K122" i="1" s="1"/>
  <c r="J41" i="1"/>
  <c r="K41" i="1"/>
  <c r="E76" i="1"/>
  <c r="J149" i="1"/>
  <c r="K149" i="1"/>
  <c r="C123" i="1"/>
  <c r="E123" i="1" s="1"/>
  <c r="L176" i="1"/>
  <c r="N176" i="1"/>
  <c r="N75" i="1"/>
  <c r="N156" i="1"/>
  <c r="E88" i="1"/>
  <c r="N114" i="1"/>
  <c r="E186" i="1"/>
  <c r="E156" i="1"/>
  <c r="N124" i="1"/>
  <c r="J194" i="1"/>
  <c r="K194" i="1"/>
  <c r="J128" i="1"/>
  <c r="K128" i="1" s="1"/>
  <c r="J124" i="1"/>
  <c r="K124" i="1" s="1"/>
  <c r="J178" i="1"/>
  <c r="K178" i="1"/>
  <c r="J156" i="1"/>
  <c r="K156" i="1"/>
  <c r="N158" i="1"/>
  <c r="N194" i="1"/>
  <c r="J153" i="1"/>
  <c r="K153" i="1" s="1"/>
  <c r="N128" i="1"/>
  <c r="E131" i="1"/>
  <c r="E166" i="1"/>
  <c r="N105" i="1"/>
  <c r="J144" i="1"/>
  <c r="K144" i="1"/>
  <c r="N103" i="1"/>
  <c r="N96" i="1"/>
  <c r="J96" i="1"/>
  <c r="K96" i="1"/>
  <c r="E180" i="1"/>
  <c r="L94" i="1"/>
  <c r="J35" i="1"/>
  <c r="K35" i="1"/>
  <c r="F189" i="1"/>
  <c r="J189" i="1"/>
  <c r="K189" i="1"/>
  <c r="C189" i="1"/>
  <c r="J163" i="1"/>
  <c r="K163" i="1"/>
  <c r="J147" i="1"/>
  <c r="K147" i="1" s="1"/>
  <c r="N147" i="1"/>
  <c r="J155" i="1"/>
  <c r="K155" i="1"/>
  <c r="E169" i="1"/>
  <c r="E170" i="1"/>
  <c r="J170" i="1"/>
  <c r="K170" i="1" s="1"/>
  <c r="J192" i="1"/>
  <c r="K192" i="1" s="1"/>
  <c r="E187" i="1"/>
  <c r="J146" i="1"/>
  <c r="K146" i="1"/>
  <c r="N165" i="1"/>
  <c r="AB85" i="1"/>
  <c r="AB108" i="1"/>
  <c r="AB160" i="1"/>
  <c r="AB177" i="1"/>
  <c r="AB94" i="1"/>
  <c r="AB151" i="1"/>
  <c r="AB109" i="1"/>
  <c r="AB167" i="1"/>
  <c r="AB139" i="1"/>
  <c r="AB174" i="1"/>
  <c r="AB143" i="1"/>
  <c r="AB175" i="1"/>
  <c r="AB111" i="1"/>
  <c r="AB77" i="1"/>
  <c r="AB101" i="1"/>
  <c r="N149" i="1"/>
  <c r="J164" i="1"/>
  <c r="K164" i="1" s="1"/>
  <c r="F8" i="1"/>
  <c r="J54" i="1"/>
  <c r="K54" i="1"/>
  <c r="J80" i="1"/>
  <c r="K80" i="1"/>
  <c r="N182" i="1"/>
  <c r="N164" i="1"/>
  <c r="N154" i="1"/>
  <c r="E177" i="1"/>
  <c r="J21" i="1"/>
  <c r="K21" i="1"/>
  <c r="E154" i="1"/>
  <c r="J46" i="1"/>
  <c r="K46" i="1" s="1"/>
  <c r="F70" i="1"/>
  <c r="N80" i="1"/>
  <c r="J174" i="1"/>
  <c r="K174" i="1"/>
  <c r="E167" i="1"/>
  <c r="E116" i="1"/>
  <c r="E174" i="1"/>
  <c r="J36" i="1"/>
  <c r="K36" i="1" s="1"/>
  <c r="N177" i="1"/>
  <c r="J145" i="1"/>
  <c r="K145" i="1"/>
  <c r="E145" i="1"/>
  <c r="N99" i="1"/>
  <c r="E143" i="1"/>
  <c r="E106" i="1"/>
  <c r="E78" i="1"/>
  <c r="N179" i="1"/>
  <c r="N117" i="1"/>
  <c r="L77" i="1"/>
  <c r="J22" i="1"/>
  <c r="K22" i="1" s="1"/>
  <c r="F5" i="1"/>
  <c r="F6" i="1" s="1"/>
  <c r="J30" i="1"/>
  <c r="K30" i="1" s="1"/>
  <c r="N47" i="1"/>
  <c r="J47" i="1"/>
  <c r="K47" i="1" s="1"/>
  <c r="J55" i="1"/>
  <c r="K55" i="1"/>
  <c r="J165" i="1"/>
  <c r="K165" i="1" s="1"/>
  <c r="N145" i="1"/>
  <c r="E99" i="1"/>
  <c r="J105" i="1"/>
  <c r="K105" i="1" s="1"/>
  <c r="E105" i="1"/>
  <c r="N83" i="1"/>
  <c r="E81" i="1"/>
  <c r="C74" i="1"/>
  <c r="N74" i="1"/>
  <c r="K17" i="12"/>
  <c r="J17" i="12"/>
  <c r="H153" i="10"/>
  <c r="O153" i="10"/>
  <c r="M153" i="10"/>
  <c r="I17" i="12"/>
  <c r="H15" i="12"/>
  <c r="M137" i="10"/>
  <c r="M158" i="10"/>
  <c r="M138" i="10"/>
  <c r="F138" i="10"/>
  <c r="F137" i="10"/>
  <c r="P137" i="10"/>
  <c r="P138" i="10"/>
  <c r="O137" i="10"/>
  <c r="O158" i="10"/>
  <c r="O159" i="10" s="1"/>
  <c r="O165" i="10" s="1"/>
  <c r="O138" i="10"/>
  <c r="G137" i="10"/>
  <c r="G158" i="10"/>
  <c r="G159" i="10" s="1"/>
  <c r="G138" i="10"/>
  <c r="K137" i="10"/>
  <c r="K158" i="10"/>
  <c r="K138" i="10"/>
  <c r="Q138" i="10"/>
  <c r="Q137" i="10"/>
  <c r="I138" i="10"/>
  <c r="I137" i="10"/>
  <c r="H137" i="10"/>
  <c r="H158" i="10" s="1"/>
  <c r="H159" i="10" s="1"/>
  <c r="H165" i="10" s="1"/>
  <c r="H138" i="10"/>
  <c r="N138" i="10"/>
  <c r="N137" i="10"/>
  <c r="N158" i="10"/>
  <c r="N159" i="10" s="1"/>
  <c r="J137" i="10"/>
  <c r="J158" i="10"/>
  <c r="J159" i="10"/>
  <c r="R47" i="10"/>
  <c r="B17" i="12"/>
  <c r="B15" i="12"/>
  <c r="B18" i="12" s="1"/>
  <c r="F145" i="10"/>
  <c r="F146" i="10"/>
  <c r="H18" i="12"/>
  <c r="L145" i="10"/>
  <c r="L146" i="10"/>
  <c r="M15" i="12"/>
  <c r="M18" i="12"/>
  <c r="Q145" i="10"/>
  <c r="Q146" i="10"/>
  <c r="M17" i="12"/>
  <c r="E15" i="12"/>
  <c r="E18" i="12" s="1"/>
  <c r="I145" i="10"/>
  <c r="I146" i="10"/>
  <c r="E17" i="12"/>
  <c r="G162" i="10"/>
  <c r="G163" i="10"/>
  <c r="K18" i="12"/>
  <c r="O145" i="10"/>
  <c r="O146" i="10" s="1"/>
  <c r="M145" i="10"/>
  <c r="M146" i="10"/>
  <c r="D15" i="12"/>
  <c r="D18" i="12"/>
  <c r="H145" i="10"/>
  <c r="H146" i="10"/>
  <c r="D17" i="12"/>
  <c r="R144" i="10"/>
  <c r="J18" i="12"/>
  <c r="N145" i="10"/>
  <c r="N146" i="10"/>
  <c r="C15" i="12"/>
  <c r="C18" i="12"/>
  <c r="G145" i="10"/>
  <c r="G146" i="10"/>
  <c r="C17" i="12"/>
  <c r="L17" i="12"/>
  <c r="L15" i="12"/>
  <c r="L18" i="12"/>
  <c r="P145" i="10"/>
  <c r="P146" i="10"/>
  <c r="G15" i="12"/>
  <c r="G18" i="12"/>
  <c r="K145" i="10"/>
  <c r="K146" i="10"/>
  <c r="J51" i="10"/>
  <c r="L54" i="10"/>
  <c r="N54" i="10"/>
  <c r="N16" i="10" s="1"/>
  <c r="N17" i="10" s="1"/>
  <c r="R42" i="10"/>
  <c r="S40" i="10" s="1"/>
  <c r="R53" i="10"/>
  <c r="M66" i="10"/>
  <c r="I66" i="10"/>
  <c r="I54" i="10"/>
  <c r="P54" i="10"/>
  <c r="F54" i="10"/>
  <c r="F16" i="10" s="1"/>
  <c r="H134" i="10"/>
  <c r="K134" i="10"/>
  <c r="F134" i="10"/>
  <c r="Q134" i="10"/>
  <c r="Q157" i="10"/>
  <c r="H157" i="10"/>
  <c r="O66" i="10"/>
  <c r="K66" i="10"/>
  <c r="G66" i="10"/>
  <c r="Q66" i="10"/>
  <c r="J134" i="10"/>
  <c r="P129" i="10"/>
  <c r="R34" i="10"/>
  <c r="N129" i="10"/>
  <c r="P156" i="10"/>
  <c r="P72" i="10"/>
  <c r="L129" i="10"/>
  <c r="Q72" i="10"/>
  <c r="Q54" i="10"/>
  <c r="M54" i="10"/>
  <c r="J123" i="10"/>
  <c r="P123" i="10"/>
  <c r="N123" i="10"/>
  <c r="R122" i="10"/>
  <c r="I153" i="10"/>
  <c r="R121" i="10"/>
  <c r="R152" i="10" s="1"/>
  <c r="I123" i="10"/>
  <c r="L123" i="10"/>
  <c r="Q153" i="10"/>
  <c r="N153" i="10"/>
  <c r="K153" i="10"/>
  <c r="O123" i="10"/>
  <c r="L5" i="1"/>
  <c r="R22" i="10"/>
  <c r="Q123" i="10"/>
  <c r="K51" i="10"/>
  <c r="K54" i="10"/>
  <c r="M123" i="10"/>
  <c r="K123" i="10"/>
  <c r="C5" i="11"/>
  <c r="D4" i="12"/>
  <c r="N196" i="1"/>
  <c r="J196" i="1"/>
  <c r="K196" i="1" s="1"/>
  <c r="N185" i="1"/>
  <c r="J183" i="1"/>
  <c r="K183" i="1" s="1"/>
  <c r="J179" i="1"/>
  <c r="K179" i="1"/>
  <c r="E162" i="1"/>
  <c r="J140" i="1"/>
  <c r="K140" i="1" s="1"/>
  <c r="N150" i="1"/>
  <c r="J180" i="1"/>
  <c r="K180" i="1"/>
  <c r="N195" i="1"/>
  <c r="E157" i="1"/>
  <c r="N157" i="1"/>
  <c r="E150" i="1"/>
  <c r="E161" i="1"/>
  <c r="J152" i="1"/>
  <c r="K152" i="1"/>
  <c r="J175" i="1"/>
  <c r="K175" i="1"/>
  <c r="E144" i="1"/>
  <c r="N193" i="1"/>
  <c r="J171" i="1"/>
  <c r="K171" i="1"/>
  <c r="J195" i="1"/>
  <c r="K195" i="1" s="1"/>
  <c r="E197" i="1"/>
  <c r="E163" i="1"/>
  <c r="N166" i="1"/>
  <c r="J75" i="1"/>
  <c r="K75" i="1" s="1"/>
  <c r="E82" i="1"/>
  <c r="N104" i="1"/>
  <c r="J131" i="1"/>
  <c r="K131" i="1" s="1"/>
  <c r="J126" i="1"/>
  <c r="K126" i="1" s="1"/>
  <c r="N122" i="1"/>
  <c r="J120" i="1"/>
  <c r="K120" i="1"/>
  <c r="N116" i="1"/>
  <c r="N115" i="1"/>
  <c r="J115" i="1"/>
  <c r="K115" i="1"/>
  <c r="E108" i="1"/>
  <c r="N108" i="1"/>
  <c r="N106" i="1"/>
  <c r="E77" i="1"/>
  <c r="N77" i="1"/>
  <c r="N132" i="1"/>
  <c r="J132" i="1"/>
  <c r="K132" i="1" s="1"/>
  <c r="J129" i="1"/>
  <c r="K129" i="1" s="1"/>
  <c r="N125" i="1"/>
  <c r="J119" i="1"/>
  <c r="K119" i="1" s="1"/>
  <c r="E117" i="1"/>
  <c r="J110" i="1"/>
  <c r="K110" i="1" s="1"/>
  <c r="E102" i="1"/>
  <c r="J102" i="1"/>
  <c r="K102" i="1"/>
  <c r="E85" i="1"/>
  <c r="E95" i="1"/>
  <c r="E92" i="1"/>
  <c r="N121" i="1"/>
  <c r="J130" i="1"/>
  <c r="K130" i="1" s="1"/>
  <c r="J141" i="1"/>
  <c r="K141" i="1" s="1"/>
  <c r="E98" i="1"/>
  <c r="N112" i="1"/>
  <c r="E129" i="1"/>
  <c r="E141" i="1"/>
  <c r="E121" i="1"/>
  <c r="E112" i="1"/>
  <c r="E107" i="1"/>
  <c r="N97" i="1"/>
  <c r="N95" i="1"/>
  <c r="J107" i="1"/>
  <c r="K107" i="1"/>
  <c r="J92" i="1"/>
  <c r="K92" i="1" s="1"/>
  <c r="F10" i="1"/>
  <c r="F7" i="1" s="1"/>
  <c r="N130" i="1"/>
  <c r="E125" i="1"/>
  <c r="E139" i="1"/>
  <c r="E110" i="1"/>
  <c r="K79" i="1"/>
  <c r="N86" i="1"/>
  <c r="E101" i="1"/>
  <c r="E94" i="1"/>
  <c r="E87" i="1"/>
  <c r="N123" i="1"/>
  <c r="N118" i="1"/>
  <c r="J74" i="1"/>
  <c r="J83" i="1"/>
  <c r="K83" i="1"/>
  <c r="N89" i="1"/>
  <c r="E90" i="1"/>
  <c r="J101" i="1"/>
  <c r="K101" i="1"/>
  <c r="N94" i="1"/>
  <c r="J100" i="1"/>
  <c r="K100" i="1" s="1"/>
  <c r="J103" i="1"/>
  <c r="K103" i="1"/>
  <c r="E91" i="1"/>
  <c r="E86" i="1"/>
  <c r="E93" i="1"/>
  <c r="N93" i="1"/>
  <c r="J139" i="1"/>
  <c r="E74" i="1"/>
  <c r="J87" i="1"/>
  <c r="K87" i="1"/>
  <c r="N119" i="1"/>
  <c r="N111" i="1"/>
  <c r="J97" i="1"/>
  <c r="K97" i="1" s="1"/>
  <c r="E120" i="1"/>
  <c r="N133" i="1"/>
  <c r="E89" i="1"/>
  <c r="N90" i="1"/>
  <c r="N109" i="1"/>
  <c r="J98" i="1"/>
  <c r="K98" i="1"/>
  <c r="N100" i="1"/>
  <c r="E109" i="1"/>
  <c r="J118" i="1"/>
  <c r="K118" i="1"/>
  <c r="G165" i="10"/>
  <c r="J139" i="10"/>
  <c r="N165" i="10"/>
  <c r="K139" i="10"/>
  <c r="M139" i="10"/>
  <c r="L138" i="10"/>
  <c r="R138" i="10" s="1"/>
  <c r="L137" i="10"/>
  <c r="H139" i="10"/>
  <c r="H141" i="10"/>
  <c r="G139" i="10"/>
  <c r="I139" i="10"/>
  <c r="I158" i="10"/>
  <c r="N139" i="10"/>
  <c r="O139" i="10"/>
  <c r="F158" i="10"/>
  <c r="F159" i="10"/>
  <c r="F165" i="10"/>
  <c r="F139" i="10"/>
  <c r="F141" i="10" s="1"/>
  <c r="R51" i="10"/>
  <c r="R162" i="10"/>
  <c r="R163" i="10" s="1"/>
  <c r="R102" i="10"/>
  <c r="F15" i="12"/>
  <c r="F18" i="12"/>
  <c r="J145" i="10"/>
  <c r="J146" i="10" s="1"/>
  <c r="F17" i="12"/>
  <c r="J141" i="10"/>
  <c r="J165" i="10"/>
  <c r="G123" i="10"/>
  <c r="R120" i="10"/>
  <c r="K139" i="1"/>
  <c r="K74" i="1"/>
  <c r="L158" i="10"/>
  <c r="R137" i="10"/>
  <c r="R139" i="10" l="1"/>
  <c r="Q158" i="10"/>
  <c r="Q139" i="10"/>
  <c r="L139" i="10"/>
  <c r="S47" i="10"/>
  <c r="O72" i="10"/>
  <c r="G60" i="10"/>
  <c r="G72" i="10" s="1"/>
  <c r="J168" i="1"/>
  <c r="K168" i="1" s="1"/>
  <c r="E168" i="1"/>
  <c r="N168" i="1"/>
  <c r="R158" i="10"/>
  <c r="F17" i="10"/>
  <c r="L72" i="10"/>
  <c r="I72" i="10"/>
  <c r="S46" i="10"/>
  <c r="R69" i="10"/>
  <c r="R48" i="10"/>
  <c r="K156" i="10"/>
  <c r="K159" i="10" s="1"/>
  <c r="K165" i="10" s="1"/>
  <c r="R127" i="10"/>
  <c r="K129" i="10"/>
  <c r="K141" i="10" s="1"/>
  <c r="N78" i="1"/>
  <c r="J78" i="1"/>
  <c r="K78" i="1" s="1"/>
  <c r="E142" i="1"/>
  <c r="E200" i="1" s="1"/>
  <c r="J142" i="1"/>
  <c r="K142" i="1" s="1"/>
  <c r="N142" i="1"/>
  <c r="J160" i="1"/>
  <c r="K160" i="1" s="1"/>
  <c r="E160" i="1"/>
  <c r="N160" i="1"/>
  <c r="P158" i="10"/>
  <c r="P159" i="10" s="1"/>
  <c r="P139" i="10"/>
  <c r="P141" i="10" s="1"/>
  <c r="R153" i="10"/>
  <c r="M72" i="10"/>
  <c r="N183" i="1"/>
  <c r="E183" i="1"/>
  <c r="J151" i="1"/>
  <c r="K151" i="1" s="1"/>
  <c r="E151" i="1"/>
  <c r="N151" i="1"/>
  <c r="E188" i="1"/>
  <c r="J188" i="1"/>
  <c r="K188" i="1" s="1"/>
  <c r="N188" i="1"/>
  <c r="R145" i="10"/>
  <c r="R146" i="10" s="1"/>
  <c r="R123" i="10"/>
  <c r="R133" i="10"/>
  <c r="R134" i="10" s="1"/>
  <c r="R157" i="10"/>
  <c r="Q156" i="10"/>
  <c r="Q159" i="10" s="1"/>
  <c r="Q165" i="10" s="1"/>
  <c r="Q129" i="10"/>
  <c r="Q141" i="10" s="1"/>
  <c r="J172" i="1"/>
  <c r="K172" i="1" s="1"/>
  <c r="N172" i="1"/>
  <c r="E172" i="1"/>
  <c r="J113" i="1"/>
  <c r="K113" i="1" s="1"/>
  <c r="N113" i="1"/>
  <c r="E113" i="1"/>
  <c r="J84" i="1"/>
  <c r="K84" i="1" s="1"/>
  <c r="N84" i="1"/>
  <c r="E84" i="1"/>
  <c r="N81" i="1"/>
  <c r="J81" i="1"/>
  <c r="K81" i="1" s="1"/>
  <c r="E189" i="1"/>
  <c r="N189" i="1"/>
  <c r="N9" i="1"/>
  <c r="N66" i="10"/>
  <c r="N72" i="10" s="1"/>
  <c r="F66" i="10"/>
  <c r="F72" i="10" s="1"/>
  <c r="S36" i="10"/>
  <c r="R64" i="10"/>
  <c r="R66" i="10" s="1"/>
  <c r="R38" i="10"/>
  <c r="R43" i="10" s="1"/>
  <c r="D5" i="11"/>
  <c r="I7" i="10"/>
  <c r="E148" i="1"/>
  <c r="J148" i="1"/>
  <c r="K148" i="1" s="1"/>
  <c r="N148" i="1"/>
  <c r="J104" i="1"/>
  <c r="K104" i="1" s="1"/>
  <c r="E104" i="1"/>
  <c r="E111" i="1"/>
  <c r="J111" i="1"/>
  <c r="K111" i="1" s="1"/>
  <c r="S43" i="10"/>
  <c r="N134" i="10"/>
  <c r="N141" i="10" s="1"/>
  <c r="P153" i="10"/>
  <c r="N102" i="1"/>
  <c r="N92" i="1"/>
  <c r="N88" i="1"/>
  <c r="N85" i="1"/>
  <c r="P16" i="10"/>
  <c r="P17" i="10" s="1"/>
  <c r="L16" i="10"/>
  <c r="L17" i="10" s="1"/>
  <c r="H16" i="10"/>
  <c r="H17" i="10" s="1"/>
  <c r="S37" i="10"/>
  <c r="M157" i="10"/>
  <c r="M159" i="10" s="1"/>
  <c r="M165" i="10" s="1"/>
  <c r="M134" i="10"/>
  <c r="M141" i="10" s="1"/>
  <c r="I129" i="10"/>
  <c r="I141" i="10" s="1"/>
  <c r="I156" i="10"/>
  <c r="I159" i="10" s="1"/>
  <c r="I165" i="10" s="1"/>
  <c r="J76" i="1"/>
  <c r="N169" i="1"/>
  <c r="N167" i="1"/>
  <c r="J167" i="1"/>
  <c r="K167" i="1" s="1"/>
  <c r="E100" i="1"/>
  <c r="N187" i="1"/>
  <c r="J187" i="1"/>
  <c r="K187" i="1" s="1"/>
  <c r="O16" i="10"/>
  <c r="O17" i="10" s="1"/>
  <c r="K16" i="10"/>
  <c r="K17" i="10" s="1"/>
  <c r="G16" i="10"/>
  <c r="G17" i="10" s="1"/>
  <c r="G52" i="10"/>
  <c r="R27" i="10"/>
  <c r="G51" i="10"/>
  <c r="G54" i="10" s="1"/>
  <c r="G43" i="10"/>
  <c r="S33" i="10"/>
  <c r="L157" i="10"/>
  <c r="L159" i="10" s="1"/>
  <c r="L165" i="10" s="1"/>
  <c r="L134" i="10"/>
  <c r="L141" i="10" s="1"/>
  <c r="N191" i="1"/>
  <c r="J191" i="1"/>
  <c r="K191" i="1" s="1"/>
  <c r="J190" i="1"/>
  <c r="N190" i="1"/>
  <c r="J135" i="1"/>
  <c r="J205" i="1" s="1"/>
  <c r="K127" i="1"/>
  <c r="N127" i="1"/>
  <c r="E127" i="1"/>
  <c r="K125" i="1"/>
  <c r="N126" i="1"/>
  <c r="N70" i="1"/>
  <c r="L70" i="1"/>
  <c r="N8" i="1"/>
  <c r="K24" i="1"/>
  <c r="K8" i="1" s="1"/>
  <c r="J8" i="1"/>
  <c r="J70" i="1"/>
  <c r="E135" i="1" l="1"/>
  <c r="E205" i="1" s="1"/>
  <c r="K76" i="1"/>
  <c r="K9" i="1" s="1"/>
  <c r="J9" i="1"/>
  <c r="R16" i="10"/>
  <c r="R17" i="10" s="1"/>
  <c r="R129" i="10"/>
  <c r="R141" i="10" s="1"/>
  <c r="R156" i="10"/>
  <c r="R159" i="10" s="1"/>
  <c r="N200" i="1"/>
  <c r="R52" i="10"/>
  <c r="R54" i="10" s="1"/>
  <c r="R28" i="10"/>
  <c r="L6" i="1"/>
  <c r="L7" i="1" s="1"/>
  <c r="R70" i="10"/>
  <c r="R72" i="10" s="1"/>
  <c r="E4" i="12"/>
  <c r="E5" i="11"/>
  <c r="J7" i="10"/>
  <c r="N10" i="1"/>
  <c r="O4" i="1" s="1"/>
  <c r="N135" i="1"/>
  <c r="N205" i="1" s="1"/>
  <c r="P165" i="10"/>
  <c r="R165" i="10"/>
  <c r="J200" i="1"/>
  <c r="K190" i="1"/>
  <c r="K200" i="1" s="1"/>
  <c r="J10" i="1"/>
  <c r="K135" i="1"/>
  <c r="K205" i="1" s="1"/>
  <c r="N7" i="1"/>
  <c r="K70" i="1"/>
  <c r="M42" i="1" l="1"/>
  <c r="Q42" i="1" s="1"/>
  <c r="R42" i="1" s="1"/>
  <c r="M43" i="1"/>
  <c r="Q43" i="1" s="1"/>
  <c r="R43" i="1" s="1"/>
  <c r="O57" i="1"/>
  <c r="AA57" i="1" s="1"/>
  <c r="O41" i="1"/>
  <c r="AA41" i="1" s="1"/>
  <c r="M24" i="1"/>
  <c r="Q24" i="1" s="1"/>
  <c r="R24" i="1" s="1"/>
  <c r="O49" i="1"/>
  <c r="AA49" i="1" s="1"/>
  <c r="O24" i="1"/>
  <c r="AA24" i="1" s="1"/>
  <c r="M52" i="1"/>
  <c r="Q52" i="1" s="1"/>
  <c r="R52" i="1" s="1"/>
  <c r="S52" i="1" s="1"/>
  <c r="T52" i="1" s="1"/>
  <c r="V52" i="1" s="1"/>
  <c r="K10" i="1"/>
  <c r="K7" i="1" s="1"/>
  <c r="K7" i="10"/>
  <c r="F5" i="11"/>
  <c r="F4" i="12"/>
  <c r="J7" i="1"/>
  <c r="M41" i="1"/>
  <c r="Q41" i="1" s="1"/>
  <c r="R41" i="1" s="1"/>
  <c r="O43" i="1"/>
  <c r="AA43" i="1" s="1"/>
  <c r="O51" i="1"/>
  <c r="AA51" i="1" s="1"/>
  <c r="M32" i="1"/>
  <c r="Q32" i="1" s="1"/>
  <c r="R32" i="1" s="1"/>
  <c r="S32" i="1" s="1"/>
  <c r="T32" i="1" s="1"/>
  <c r="V32" i="1" s="1"/>
  <c r="O48" i="1"/>
  <c r="AA48" i="1" s="1"/>
  <c r="M63" i="1"/>
  <c r="Q63" i="1" s="1"/>
  <c r="R63" i="1" s="1"/>
  <c r="M64" i="1"/>
  <c r="Q64" i="1" s="1"/>
  <c r="R64" i="1" s="1"/>
  <c r="S64" i="1" s="1"/>
  <c r="T64" i="1" s="1"/>
  <c r="V64" i="1" s="1"/>
  <c r="M49" i="1"/>
  <c r="Q49" i="1" s="1"/>
  <c r="R49" i="1" s="1"/>
  <c r="M54" i="1"/>
  <c r="Q54" i="1" s="1"/>
  <c r="R54" i="1" s="1"/>
  <c r="M35" i="1"/>
  <c r="Q35" i="1" s="1"/>
  <c r="R35" i="1" s="1"/>
  <c r="O31" i="1"/>
  <c r="AA31" i="1" s="1"/>
  <c r="M30" i="1"/>
  <c r="Q30" i="1" s="1"/>
  <c r="R30" i="1" s="1"/>
  <c r="O22" i="1"/>
  <c r="AA22" i="1" s="1"/>
  <c r="O38" i="1"/>
  <c r="AA38" i="1" s="1"/>
  <c r="O64" i="1"/>
  <c r="AA64" i="1" s="1"/>
  <c r="M58" i="1"/>
  <c r="Q58" i="1" s="1"/>
  <c r="R58" i="1" s="1"/>
  <c r="S58" i="1" s="1"/>
  <c r="T58" i="1" s="1"/>
  <c r="V58" i="1" s="1"/>
  <c r="M34" i="1"/>
  <c r="Q34" i="1" s="1"/>
  <c r="R34" i="1" s="1"/>
  <c r="S34" i="1" s="1"/>
  <c r="T34" i="1" s="1"/>
  <c r="V34" i="1" s="1"/>
  <c r="O21" i="1"/>
  <c r="M60" i="1"/>
  <c r="Q60" i="1" s="1"/>
  <c r="R60" i="1" s="1"/>
  <c r="S60" i="1" s="1"/>
  <c r="T60" i="1" s="1"/>
  <c r="V60" i="1" s="1"/>
  <c r="M56" i="1"/>
  <c r="Q56" i="1" s="1"/>
  <c r="R56" i="1" s="1"/>
  <c r="O25" i="1"/>
  <c r="AA25" i="1" s="1"/>
  <c r="M67" i="1"/>
  <c r="Q67" i="1" s="1"/>
  <c r="R67" i="1" s="1"/>
  <c r="M25" i="1"/>
  <c r="Q25" i="1" s="1"/>
  <c r="R25" i="1" s="1"/>
  <c r="S25" i="1" s="1"/>
  <c r="T25" i="1" s="1"/>
  <c r="V25" i="1" s="1"/>
  <c r="O54" i="1"/>
  <c r="AA54" i="1" s="1"/>
  <c r="O55" i="1"/>
  <c r="AA55" i="1" s="1"/>
  <c r="O42" i="1"/>
  <c r="AA42" i="1" s="1"/>
  <c r="M36" i="1"/>
  <c r="Q36" i="1" s="1"/>
  <c r="R36" i="1" s="1"/>
  <c r="S36" i="1" s="1"/>
  <c r="T36" i="1" s="1"/>
  <c r="V36" i="1" s="1"/>
  <c r="M26" i="1"/>
  <c r="Q26" i="1" s="1"/>
  <c r="R26" i="1" s="1"/>
  <c r="S26" i="1" s="1"/>
  <c r="T26" i="1" s="1"/>
  <c r="V26" i="1" s="1"/>
  <c r="O39" i="1"/>
  <c r="AA39" i="1" s="1"/>
  <c r="O46" i="1"/>
  <c r="AA46" i="1" s="1"/>
  <c r="M38" i="1"/>
  <c r="Q38" i="1" s="1"/>
  <c r="R38" i="1" s="1"/>
  <c r="S38" i="1" s="1"/>
  <c r="T38" i="1" s="1"/>
  <c r="V38" i="1" s="1"/>
  <c r="O26" i="1"/>
  <c r="AA26" i="1" s="1"/>
  <c r="O47" i="1"/>
  <c r="AA47" i="1" s="1"/>
  <c r="M65" i="1"/>
  <c r="Q65" i="1" s="1"/>
  <c r="R65" i="1" s="1"/>
  <c r="M62" i="1"/>
  <c r="Q62" i="1" s="1"/>
  <c r="R62" i="1" s="1"/>
  <c r="S62" i="1" s="1"/>
  <c r="T62" i="1" s="1"/>
  <c r="V62" i="1" s="1"/>
  <c r="O35" i="1"/>
  <c r="AA35" i="1" s="1"/>
  <c r="O28" i="1"/>
  <c r="AA28" i="1" s="1"/>
  <c r="O59" i="1"/>
  <c r="AA59" i="1" s="1"/>
  <c r="M55" i="1"/>
  <c r="Q55" i="1" s="1"/>
  <c r="R55" i="1" s="1"/>
  <c r="O65" i="1"/>
  <c r="AA65" i="1" s="1"/>
  <c r="O32" i="1"/>
  <c r="AA32" i="1" s="1"/>
  <c r="M66" i="1"/>
  <c r="Q66" i="1" s="1"/>
  <c r="R66" i="1" s="1"/>
  <c r="S66" i="1" s="1"/>
  <c r="T66" i="1" s="1"/>
  <c r="V66" i="1" s="1"/>
  <c r="M33" i="1"/>
  <c r="Q33" i="1" s="1"/>
  <c r="R33" i="1" s="1"/>
  <c r="S33" i="1" s="1"/>
  <c r="T33" i="1" s="1"/>
  <c r="V33" i="1" s="1"/>
  <c r="O27" i="1"/>
  <c r="AA27" i="1" s="1"/>
  <c r="M40" i="1"/>
  <c r="Q40" i="1" s="1"/>
  <c r="R40" i="1" s="1"/>
  <c r="M53" i="1"/>
  <c r="Q53" i="1" s="1"/>
  <c r="R53" i="1" s="1"/>
  <c r="S53" i="1" s="1"/>
  <c r="T53" i="1" s="1"/>
  <c r="V53" i="1" s="1"/>
  <c r="M47" i="1"/>
  <c r="Q47" i="1" s="1"/>
  <c r="R47" i="1" s="1"/>
  <c r="S47" i="1" s="1"/>
  <c r="T47" i="1" s="1"/>
  <c r="V47" i="1" s="1"/>
  <c r="O56" i="1"/>
  <c r="AA56" i="1" s="1"/>
  <c r="O30" i="1"/>
  <c r="AA30" i="1" s="1"/>
  <c r="O33" i="1"/>
  <c r="AA33" i="1" s="1"/>
  <c r="M48" i="1"/>
  <c r="Q48" i="1" s="1"/>
  <c r="R48" i="1" s="1"/>
  <c r="S48" i="1" s="1"/>
  <c r="T48" i="1" s="1"/>
  <c r="V48" i="1" s="1"/>
  <c r="M29" i="1"/>
  <c r="Q29" i="1" s="1"/>
  <c r="R29" i="1" s="1"/>
  <c r="S29" i="1" s="1"/>
  <c r="T29" i="1" s="1"/>
  <c r="V29" i="1" s="1"/>
  <c r="M21" i="1"/>
  <c r="Q21" i="1" s="1"/>
  <c r="R21" i="1" s="1"/>
  <c r="S21" i="1" s="1"/>
  <c r="T21" i="1" s="1"/>
  <c r="V21" i="1" s="1"/>
  <c r="M46" i="1"/>
  <c r="Q46" i="1" s="1"/>
  <c r="R46" i="1" s="1"/>
  <c r="O37" i="1"/>
  <c r="AA37" i="1" s="1"/>
  <c r="O67" i="1"/>
  <c r="AA67" i="1" s="1"/>
  <c r="O61" i="1"/>
  <c r="AA61" i="1" s="1"/>
  <c r="O58" i="1"/>
  <c r="AA58" i="1" s="1"/>
  <c r="O63" i="1"/>
  <c r="AA63" i="1" s="1"/>
  <c r="O23" i="1"/>
  <c r="AA23" i="1" s="1"/>
  <c r="M51" i="1"/>
  <c r="Q51" i="1" s="1"/>
  <c r="R51" i="1" s="1"/>
  <c r="S51" i="1" s="1"/>
  <c r="T51" i="1" s="1"/>
  <c r="V51" i="1" s="1"/>
  <c r="W51" i="1" s="1"/>
  <c r="X51" i="1" s="1"/>
  <c r="Y51" i="1" s="1"/>
  <c r="M27" i="1"/>
  <c r="Q27" i="1" s="1"/>
  <c r="R27" i="1" s="1"/>
  <c r="S27" i="1" s="1"/>
  <c r="T27" i="1" s="1"/>
  <c r="V27" i="1" s="1"/>
  <c r="W27" i="1" s="1"/>
  <c r="X27" i="1" s="1"/>
  <c r="Y27" i="1" s="1"/>
  <c r="M57" i="1"/>
  <c r="Q57" i="1" s="1"/>
  <c r="R57" i="1" s="1"/>
  <c r="S57" i="1" s="1"/>
  <c r="T57" i="1" s="1"/>
  <c r="V57" i="1" s="1"/>
  <c r="O40" i="1"/>
  <c r="AA40" i="1" s="1"/>
  <c r="O60" i="1"/>
  <c r="AA60" i="1" s="1"/>
  <c r="O29" i="1"/>
  <c r="AA29" i="1" s="1"/>
  <c r="O45" i="1"/>
  <c r="AA45" i="1" s="1"/>
  <c r="O5" i="1"/>
  <c r="M146" i="1" s="1"/>
  <c r="Q146" i="1" s="1"/>
  <c r="M23" i="1"/>
  <c r="Q23" i="1" s="1"/>
  <c r="R23" i="1" s="1"/>
  <c r="M28" i="1"/>
  <c r="Q28" i="1" s="1"/>
  <c r="R28" i="1" s="1"/>
  <c r="S28" i="1" s="1"/>
  <c r="T28" i="1" s="1"/>
  <c r="V28" i="1" s="1"/>
  <c r="M22" i="1"/>
  <c r="Q22" i="1" s="1"/>
  <c r="R22" i="1" s="1"/>
  <c r="S22" i="1" s="1"/>
  <c r="T22" i="1" s="1"/>
  <c r="V22" i="1" s="1"/>
  <c r="O36" i="1"/>
  <c r="AA36" i="1" s="1"/>
  <c r="O52" i="1"/>
  <c r="AA52" i="1" s="1"/>
  <c r="M37" i="1"/>
  <c r="Q37" i="1" s="1"/>
  <c r="R37" i="1" s="1"/>
  <c r="M50" i="1"/>
  <c r="Q50" i="1" s="1"/>
  <c r="R50" i="1" s="1"/>
  <c r="S50" i="1" s="1"/>
  <c r="T50" i="1" s="1"/>
  <c r="V50" i="1" s="1"/>
  <c r="M59" i="1"/>
  <c r="Q59" i="1" s="1"/>
  <c r="R59" i="1" s="1"/>
  <c r="S59" i="1" s="1"/>
  <c r="T59" i="1" s="1"/>
  <c r="V59" i="1" s="1"/>
  <c r="M31" i="1"/>
  <c r="Q31" i="1" s="1"/>
  <c r="R31" i="1" s="1"/>
  <c r="S31" i="1" s="1"/>
  <c r="T31" i="1" s="1"/>
  <c r="V31" i="1" s="1"/>
  <c r="M61" i="1"/>
  <c r="Q61" i="1" s="1"/>
  <c r="R61" i="1" s="1"/>
  <c r="S61" i="1" s="1"/>
  <c r="T61" i="1" s="1"/>
  <c r="V61" i="1" s="1"/>
  <c r="O34" i="1"/>
  <c r="AA34" i="1" s="1"/>
  <c r="O50" i="1"/>
  <c r="AA50" i="1" s="1"/>
  <c r="O66" i="1"/>
  <c r="AA66" i="1" s="1"/>
  <c r="O62" i="1"/>
  <c r="AA62" i="1" s="1"/>
  <c r="O53" i="1"/>
  <c r="AA53" i="1" s="1"/>
  <c r="M45" i="1"/>
  <c r="Q45" i="1" s="1"/>
  <c r="R45" i="1" s="1"/>
  <c r="S45" i="1" s="1"/>
  <c r="T45" i="1" s="1"/>
  <c r="V45" i="1" s="1"/>
  <c r="M39" i="1"/>
  <c r="Q39" i="1" s="1"/>
  <c r="R39" i="1" s="1"/>
  <c r="S39" i="1" s="1"/>
  <c r="T39" i="1" s="1"/>
  <c r="V39" i="1" s="1"/>
  <c r="M188" i="1"/>
  <c r="Q188" i="1" s="1"/>
  <c r="M124" i="1"/>
  <c r="M132" i="1"/>
  <c r="M103" i="1"/>
  <c r="Q103" i="1" s="1"/>
  <c r="M106" i="1"/>
  <c r="Q106" i="1" s="1"/>
  <c r="M81" i="1"/>
  <c r="Q81" i="1" s="1"/>
  <c r="O81" i="1"/>
  <c r="AA81" i="1" s="1"/>
  <c r="M91" i="1"/>
  <c r="Q91" i="1" s="1"/>
  <c r="O87" i="1"/>
  <c r="AA87" i="1" s="1"/>
  <c r="O88" i="1"/>
  <c r="AA88" i="1" s="1"/>
  <c r="O157" i="1"/>
  <c r="AA157" i="1" s="1"/>
  <c r="O79" i="1"/>
  <c r="AA79" i="1" s="1"/>
  <c r="O154" i="1"/>
  <c r="AA154" i="1" s="1"/>
  <c r="O77" i="1"/>
  <c r="AA77" i="1" s="1"/>
  <c r="S49" i="1"/>
  <c r="T49" i="1" s="1"/>
  <c r="V49" i="1" s="1"/>
  <c r="S24" i="1"/>
  <c r="T24" i="1" s="1"/>
  <c r="V24" i="1" s="1"/>
  <c r="S43" i="1"/>
  <c r="T43" i="1" s="1"/>
  <c r="V43" i="1" s="1"/>
  <c r="S54" i="1"/>
  <c r="T54" i="1" s="1"/>
  <c r="V54" i="1" s="1"/>
  <c r="S35" i="1"/>
  <c r="T35" i="1" s="1"/>
  <c r="V35" i="1" s="1"/>
  <c r="S41" i="1"/>
  <c r="T41" i="1" s="1"/>
  <c r="V41" i="1" s="1"/>
  <c r="S63" i="1"/>
  <c r="T63" i="1" s="1"/>
  <c r="V63" i="1" s="1"/>
  <c r="S30" i="1"/>
  <c r="T30" i="1" s="1"/>
  <c r="V30" i="1" s="1"/>
  <c r="S37" i="1"/>
  <c r="T37" i="1" s="1"/>
  <c r="V37" i="1" s="1"/>
  <c r="S42" i="1"/>
  <c r="T42" i="1" s="1"/>
  <c r="V42" i="1" s="1"/>
  <c r="AA21" i="1"/>
  <c r="S56" i="1"/>
  <c r="T56" i="1" s="1"/>
  <c r="V56" i="1" s="1"/>
  <c r="S67" i="1"/>
  <c r="T67" i="1" s="1"/>
  <c r="V67" i="1" s="1"/>
  <c r="S65" i="1"/>
  <c r="T65" i="1" s="1"/>
  <c r="V65" i="1" s="1"/>
  <c r="S55" i="1"/>
  <c r="T55" i="1" s="1"/>
  <c r="V55" i="1" s="1"/>
  <c r="S23" i="1"/>
  <c r="T23" i="1" s="1"/>
  <c r="V23" i="1" s="1"/>
  <c r="S40" i="1"/>
  <c r="T40" i="1" s="1"/>
  <c r="V40" i="1" s="1"/>
  <c r="S46" i="1"/>
  <c r="T46" i="1" s="1"/>
  <c r="V46" i="1" s="1"/>
  <c r="O153" i="1" l="1"/>
  <c r="AA153" i="1" s="1"/>
  <c r="O169" i="1"/>
  <c r="AA169" i="1" s="1"/>
  <c r="O110" i="1"/>
  <c r="AA110" i="1" s="1"/>
  <c r="O127" i="1"/>
  <c r="O98" i="1"/>
  <c r="AA98" i="1" s="1"/>
  <c r="M196" i="1"/>
  <c r="M110" i="1"/>
  <c r="Q110" i="1" s="1"/>
  <c r="M119" i="1"/>
  <c r="Q119" i="1" s="1"/>
  <c r="S119" i="1" s="1"/>
  <c r="T119" i="1" s="1"/>
  <c r="V119" i="1" s="1"/>
  <c r="M176" i="1"/>
  <c r="Q176" i="1" s="1"/>
  <c r="O149" i="1"/>
  <c r="AA149" i="1" s="1"/>
  <c r="M185" i="1"/>
  <c r="Q185" i="1" s="1"/>
  <c r="O148" i="1"/>
  <c r="AA148" i="1" s="1"/>
  <c r="O174" i="1"/>
  <c r="AA174" i="1" s="1"/>
  <c r="M114" i="1"/>
  <c r="Q114" i="1" s="1"/>
  <c r="L7" i="10"/>
  <c r="G5" i="11"/>
  <c r="G4" i="12"/>
  <c r="O116" i="1"/>
  <c r="AA116" i="1" s="1"/>
  <c r="M155" i="1"/>
  <c r="Q155" i="1" s="1"/>
  <c r="O173" i="1"/>
  <c r="AA173" i="1" s="1"/>
  <c r="O195" i="1"/>
  <c r="O78" i="1"/>
  <c r="O152" i="1"/>
  <c r="AA152" i="1" s="1"/>
  <c r="M184" i="1"/>
  <c r="Q184" i="1" s="1"/>
  <c r="S184" i="1" s="1"/>
  <c r="T184" i="1" s="1"/>
  <c r="V184" i="1" s="1"/>
  <c r="O175" i="1"/>
  <c r="AA175" i="1" s="1"/>
  <c r="O76" i="1"/>
  <c r="AA76" i="1" s="1"/>
  <c r="M174" i="1"/>
  <c r="Q174" i="1" s="1"/>
  <c r="M74" i="1"/>
  <c r="Q74" i="1" s="1"/>
  <c r="S74" i="1" s="1"/>
  <c r="T74" i="1" s="1"/>
  <c r="V74" i="1" s="1"/>
  <c r="M115" i="1"/>
  <c r="Q115" i="1" s="1"/>
  <c r="M192" i="1"/>
  <c r="M194" i="1"/>
  <c r="M109" i="1"/>
  <c r="Q109" i="1" s="1"/>
  <c r="O112" i="1"/>
  <c r="AA112" i="1" s="1"/>
  <c r="O185" i="1"/>
  <c r="AA185" i="1" s="1"/>
  <c r="O145" i="1"/>
  <c r="AA145" i="1" s="1"/>
  <c r="O192" i="1"/>
  <c r="O142" i="1"/>
  <c r="AA142" i="1" s="1"/>
  <c r="O108" i="1"/>
  <c r="AA108" i="1" s="1"/>
  <c r="M177" i="1"/>
  <c r="Q177" i="1" s="1"/>
  <c r="O103" i="1"/>
  <c r="AA103" i="1" s="1"/>
  <c r="M186" i="1"/>
  <c r="Q186" i="1" s="1"/>
  <c r="S186" i="1" s="1"/>
  <c r="T186" i="1" s="1"/>
  <c r="V186" i="1" s="1"/>
  <c r="O144" i="1"/>
  <c r="AA144" i="1" s="1"/>
  <c r="O102" i="1"/>
  <c r="AA102" i="1" s="1"/>
  <c r="M181" i="1"/>
  <c r="Q181" i="1" s="1"/>
  <c r="S181" i="1" s="1"/>
  <c r="T181" i="1" s="1"/>
  <c r="V181" i="1" s="1"/>
  <c r="M90" i="1"/>
  <c r="Q90" i="1" s="1"/>
  <c r="S90" i="1" s="1"/>
  <c r="T90" i="1" s="1"/>
  <c r="V90" i="1" s="1"/>
  <c r="O96" i="1"/>
  <c r="AA96" i="1" s="1"/>
  <c r="O126" i="1"/>
  <c r="M85" i="1"/>
  <c r="Q85" i="1" s="1"/>
  <c r="M107" i="1"/>
  <c r="Q107" i="1" s="1"/>
  <c r="S107" i="1" s="1"/>
  <c r="T107" i="1" s="1"/>
  <c r="V107" i="1" s="1"/>
  <c r="O141" i="1"/>
  <c r="AA141" i="1" s="1"/>
  <c r="O193" i="1"/>
  <c r="M144" i="1"/>
  <c r="Q144" i="1" s="1"/>
  <c r="M202" i="1"/>
  <c r="M97" i="1"/>
  <c r="Q97" i="1" s="1"/>
  <c r="M199" i="1"/>
  <c r="M166" i="1"/>
  <c r="Q166" i="1" s="1"/>
  <c r="S166" i="1" s="1"/>
  <c r="T166" i="1" s="1"/>
  <c r="V166" i="1" s="1"/>
  <c r="M89" i="1"/>
  <c r="Q89" i="1" s="1"/>
  <c r="S89" i="1" s="1"/>
  <c r="T89" i="1" s="1"/>
  <c r="V89" i="1" s="1"/>
  <c r="M195" i="1"/>
  <c r="M162" i="1"/>
  <c r="Q162" i="1" s="1"/>
  <c r="O147" i="1"/>
  <c r="AA147" i="1" s="1"/>
  <c r="O158" i="1"/>
  <c r="AA158" i="1" s="1"/>
  <c r="O197" i="1"/>
  <c r="O118" i="1"/>
  <c r="AA118" i="1" s="1"/>
  <c r="M104" i="1"/>
  <c r="Q104" i="1" s="1"/>
  <c r="S104" i="1" s="1"/>
  <c r="T104" i="1" s="1"/>
  <c r="V104" i="1" s="1"/>
  <c r="O198" i="1"/>
  <c r="M159" i="1"/>
  <c r="Q159" i="1" s="1"/>
  <c r="O179" i="1"/>
  <c r="AA179" i="1" s="1"/>
  <c r="M80" i="1"/>
  <c r="Q80" i="1" s="1"/>
  <c r="S80" i="1" s="1"/>
  <c r="T80" i="1" s="1"/>
  <c r="V80" i="1" s="1"/>
  <c r="O167" i="1"/>
  <c r="AA167" i="1" s="1"/>
  <c r="M77" i="1"/>
  <c r="Q77" i="1" s="1"/>
  <c r="M200" i="1"/>
  <c r="M198" i="1"/>
  <c r="M111" i="1"/>
  <c r="Q111" i="1" s="1"/>
  <c r="S111" i="1" s="1"/>
  <c r="T111" i="1" s="1"/>
  <c r="V111" i="1" s="1"/>
  <c r="W111" i="1" s="1"/>
  <c r="X111" i="1" s="1"/>
  <c r="Y111" i="1" s="1"/>
  <c r="O70" i="1"/>
  <c r="M118" i="1"/>
  <c r="Q118" i="1" s="1"/>
  <c r="M105" i="1"/>
  <c r="Q105" i="1" s="1"/>
  <c r="O130" i="1"/>
  <c r="O196" i="1"/>
  <c r="O168" i="1"/>
  <c r="AA168" i="1" s="1"/>
  <c r="O105" i="1"/>
  <c r="AA105" i="1" s="1"/>
  <c r="O106" i="1"/>
  <c r="AA106" i="1" s="1"/>
  <c r="O80" i="1"/>
  <c r="AA80" i="1" s="1"/>
  <c r="M87" i="1"/>
  <c r="Q87" i="1" s="1"/>
  <c r="S87" i="1" s="1"/>
  <c r="T87" i="1" s="1"/>
  <c r="V87" i="1" s="1"/>
  <c r="O159" i="1"/>
  <c r="AA159" i="1" s="1"/>
  <c r="O164" i="1"/>
  <c r="AA164" i="1" s="1"/>
  <c r="O156" i="1"/>
  <c r="AA156" i="1" s="1"/>
  <c r="O117" i="1"/>
  <c r="AA117" i="1" s="1"/>
  <c r="M180" i="1"/>
  <c r="Q180" i="1" s="1"/>
  <c r="S180" i="1" s="1"/>
  <c r="T180" i="1" s="1"/>
  <c r="V180" i="1" s="1"/>
  <c r="M158" i="1"/>
  <c r="Q158" i="1" s="1"/>
  <c r="O171" i="1"/>
  <c r="AA171" i="1" s="1"/>
  <c r="O83" i="1"/>
  <c r="AA83" i="1" s="1"/>
  <c r="M84" i="1"/>
  <c r="Q84" i="1" s="1"/>
  <c r="S84" i="1" s="1"/>
  <c r="T84" i="1" s="1"/>
  <c r="V84" i="1" s="1"/>
  <c r="M175" i="1"/>
  <c r="Q175" i="1" s="1"/>
  <c r="S175" i="1" s="1"/>
  <c r="T175" i="1" s="1"/>
  <c r="V175" i="1" s="1"/>
  <c r="W175" i="1" s="1"/>
  <c r="X175" i="1" s="1"/>
  <c r="Y175" i="1" s="1"/>
  <c r="O82" i="1"/>
  <c r="AA82" i="1" s="1"/>
  <c r="O75" i="1"/>
  <c r="AA75" i="1" s="1"/>
  <c r="M141" i="1"/>
  <c r="Q141" i="1" s="1"/>
  <c r="S141" i="1" s="1"/>
  <c r="T141" i="1" s="1"/>
  <c r="V141" i="1" s="1"/>
  <c r="M101" i="1"/>
  <c r="Q101" i="1" s="1"/>
  <c r="S101" i="1" s="1"/>
  <c r="T101" i="1" s="1"/>
  <c r="V101" i="1" s="1"/>
  <c r="W101" i="1" s="1"/>
  <c r="X101" i="1" s="1"/>
  <c r="Y101" i="1" s="1"/>
  <c r="M128" i="1"/>
  <c r="M167" i="1"/>
  <c r="Q167" i="1" s="1"/>
  <c r="M93" i="1"/>
  <c r="Q93" i="1" s="1"/>
  <c r="S93" i="1" s="1"/>
  <c r="T93" i="1" s="1"/>
  <c r="V93" i="1" s="1"/>
  <c r="M120" i="1"/>
  <c r="Q120" i="1" s="1"/>
  <c r="S120" i="1" s="1"/>
  <c r="T120" i="1" s="1"/>
  <c r="V120" i="1" s="1"/>
  <c r="M163" i="1"/>
  <c r="Q163" i="1" s="1"/>
  <c r="AA70" i="1"/>
  <c r="O114" i="1"/>
  <c r="AA114" i="1" s="1"/>
  <c r="O128" i="1"/>
  <c r="O120" i="1"/>
  <c r="AA120" i="1" s="1"/>
  <c r="O182" i="1"/>
  <c r="AA182" i="1" s="1"/>
  <c r="O104" i="1"/>
  <c r="AA104" i="1" s="1"/>
  <c r="O99" i="1"/>
  <c r="AA99" i="1" s="1"/>
  <c r="O131" i="1"/>
  <c r="O181" i="1"/>
  <c r="AA181" i="1" s="1"/>
  <c r="M172" i="1"/>
  <c r="Q172" i="1" s="1"/>
  <c r="S172" i="1" s="1"/>
  <c r="T172" i="1" s="1"/>
  <c r="V172" i="1" s="1"/>
  <c r="O86" i="1"/>
  <c r="AA86" i="1" s="1"/>
  <c r="O90" i="1"/>
  <c r="AA90" i="1" s="1"/>
  <c r="O109" i="1"/>
  <c r="AA109" i="1" s="1"/>
  <c r="O187" i="1"/>
  <c r="AA187" i="1" s="1"/>
  <c r="O92" i="1"/>
  <c r="AA92" i="1" s="1"/>
  <c r="O93" i="1"/>
  <c r="AA93" i="1" s="1"/>
  <c r="M173" i="1"/>
  <c r="Q173" i="1" s="1"/>
  <c r="O194" i="1"/>
  <c r="O160" i="1"/>
  <c r="AA160" i="1" s="1"/>
  <c r="M108" i="1"/>
  <c r="Q108" i="1" s="1"/>
  <c r="S108" i="1" s="1"/>
  <c r="T108" i="1" s="1"/>
  <c r="V108" i="1" s="1"/>
  <c r="W108" i="1" s="1"/>
  <c r="X108" i="1" s="1"/>
  <c r="Y108" i="1" s="1"/>
  <c r="O161" i="1"/>
  <c r="AA161" i="1" s="1"/>
  <c r="O162" i="1"/>
  <c r="AA162" i="1" s="1"/>
  <c r="O95" i="1"/>
  <c r="AA95" i="1" s="1"/>
  <c r="O115" i="1"/>
  <c r="AA115" i="1" s="1"/>
  <c r="O143" i="1"/>
  <c r="AA143" i="1" s="1"/>
  <c r="M116" i="1"/>
  <c r="Q116" i="1" s="1"/>
  <c r="M112" i="1"/>
  <c r="Q112" i="1" s="1"/>
  <c r="M191" i="1"/>
  <c r="M190" i="1"/>
  <c r="O163" i="1"/>
  <c r="AA163" i="1" s="1"/>
  <c r="O91" i="1"/>
  <c r="AA91" i="1" s="1"/>
  <c r="O188" i="1"/>
  <c r="AA188" i="1" s="1"/>
  <c r="O94" i="1"/>
  <c r="AA94" i="1" s="1"/>
  <c r="O151" i="1"/>
  <c r="AA151" i="1" s="1"/>
  <c r="M153" i="1"/>
  <c r="Q153" i="1" s="1"/>
  <c r="S153" i="1" s="1"/>
  <c r="T153" i="1" s="1"/>
  <c r="V153" i="1" s="1"/>
  <c r="M149" i="1"/>
  <c r="Q149" i="1" s="1"/>
  <c r="S149" i="1" s="1"/>
  <c r="T149" i="1" s="1"/>
  <c r="V149" i="1" s="1"/>
  <c r="M75" i="1"/>
  <c r="Q75" i="1" s="1"/>
  <c r="S75" i="1" s="1"/>
  <c r="T75" i="1" s="1"/>
  <c r="V75" i="1" s="1"/>
  <c r="M139" i="1"/>
  <c r="Q139" i="1" s="1"/>
  <c r="S139" i="1" s="1"/>
  <c r="T139" i="1" s="1"/>
  <c r="V139" i="1" s="1"/>
  <c r="W139" i="1" s="1"/>
  <c r="O150" i="1"/>
  <c r="AA150" i="1" s="1"/>
  <c r="O111" i="1"/>
  <c r="AA111" i="1" s="1"/>
  <c r="O189" i="1"/>
  <c r="AA189" i="1" s="1"/>
  <c r="O139" i="1"/>
  <c r="AA139" i="1" s="1"/>
  <c r="M205" i="1"/>
  <c r="M203" i="1"/>
  <c r="M133" i="1"/>
  <c r="M100" i="1"/>
  <c r="Q100" i="1" s="1"/>
  <c r="M197" i="1"/>
  <c r="M131" i="1"/>
  <c r="M183" i="1"/>
  <c r="Q183" i="1" s="1"/>
  <c r="M98" i="1"/>
  <c r="Q98" i="1" s="1"/>
  <c r="M125" i="1"/>
  <c r="M92" i="1"/>
  <c r="Q92" i="1" s="1"/>
  <c r="S92" i="1" s="1"/>
  <c r="T92" i="1" s="1"/>
  <c r="V92" i="1" s="1"/>
  <c r="M189" i="1"/>
  <c r="Q189" i="1" s="1"/>
  <c r="M127" i="1"/>
  <c r="M179" i="1"/>
  <c r="Q179" i="1" s="1"/>
  <c r="S179" i="1" s="1"/>
  <c r="T179" i="1" s="1"/>
  <c r="V179" i="1" s="1"/>
  <c r="M94" i="1"/>
  <c r="Q94" i="1" s="1"/>
  <c r="S94" i="1" s="1"/>
  <c r="T94" i="1" s="1"/>
  <c r="V94" i="1" s="1"/>
  <c r="W94" i="1" s="1"/>
  <c r="X94" i="1" s="1"/>
  <c r="Y94" i="1" s="1"/>
  <c r="O172" i="1"/>
  <c r="AA172" i="1" s="1"/>
  <c r="O89" i="1"/>
  <c r="AA89" i="1" s="1"/>
  <c r="O124" i="1"/>
  <c r="O155" i="1"/>
  <c r="AA155" i="1" s="1"/>
  <c r="O122" i="1"/>
  <c r="AA122" i="1" s="1"/>
  <c r="O123" i="1"/>
  <c r="AA123" i="1" s="1"/>
  <c r="O101" i="1"/>
  <c r="AA101" i="1" s="1"/>
  <c r="O177" i="1"/>
  <c r="AA177" i="1" s="1"/>
  <c r="O180" i="1"/>
  <c r="AA180" i="1" s="1"/>
  <c r="M154" i="1"/>
  <c r="Q154" i="1" s="1"/>
  <c r="S154" i="1" s="1"/>
  <c r="T154" i="1" s="1"/>
  <c r="V154" i="1" s="1"/>
  <c r="O184" i="1"/>
  <c r="AA184" i="1" s="1"/>
  <c r="O97" i="1"/>
  <c r="AA97" i="1" s="1"/>
  <c r="O140" i="1"/>
  <c r="AA140" i="1" s="1"/>
  <c r="O113" i="1"/>
  <c r="AA113" i="1" s="1"/>
  <c r="O100" i="1"/>
  <c r="AA100" i="1" s="1"/>
  <c r="O178" i="1"/>
  <c r="AA178" i="1" s="1"/>
  <c r="M86" i="1"/>
  <c r="Q86" i="1" s="1"/>
  <c r="O132" i="1"/>
  <c r="O107" i="1"/>
  <c r="AA107" i="1" s="1"/>
  <c r="M187" i="1"/>
  <c r="Q187" i="1" s="1"/>
  <c r="S187" i="1" s="1"/>
  <c r="T187" i="1" s="1"/>
  <c r="V187" i="1" s="1"/>
  <c r="O183" i="1"/>
  <c r="AA183" i="1" s="1"/>
  <c r="O170" i="1"/>
  <c r="AA170" i="1" s="1"/>
  <c r="O119" i="1"/>
  <c r="AA119" i="1" s="1"/>
  <c r="O129" i="1"/>
  <c r="M117" i="1"/>
  <c r="Q117" i="1" s="1"/>
  <c r="M113" i="1"/>
  <c r="Q113" i="1" s="1"/>
  <c r="S113" i="1" s="1"/>
  <c r="T113" i="1" s="1"/>
  <c r="V113" i="1" s="1"/>
  <c r="M123" i="1"/>
  <c r="Q123" i="1" s="1"/>
  <c r="S123" i="1" s="1"/>
  <c r="T123" i="1" s="1"/>
  <c r="V123" i="1" s="1"/>
  <c r="W123" i="1" s="1"/>
  <c r="X123" i="1" s="1"/>
  <c r="Y123" i="1" s="1"/>
  <c r="M122" i="1"/>
  <c r="Q122" i="1" s="1"/>
  <c r="S122" i="1" s="1"/>
  <c r="T122" i="1" s="1"/>
  <c r="V122" i="1" s="1"/>
  <c r="O133" i="1"/>
  <c r="O191" i="1"/>
  <c r="O176" i="1"/>
  <c r="AA176" i="1" s="1"/>
  <c r="O190" i="1"/>
  <c r="O166" i="1"/>
  <c r="AA166" i="1" s="1"/>
  <c r="O85" i="1"/>
  <c r="AA85" i="1" s="1"/>
  <c r="M152" i="1"/>
  <c r="Q152" i="1" s="1"/>
  <c r="S152" i="1" s="1"/>
  <c r="T152" i="1" s="1"/>
  <c r="V152" i="1" s="1"/>
  <c r="M148" i="1"/>
  <c r="Q148" i="1" s="1"/>
  <c r="S148" i="1" s="1"/>
  <c r="T148" i="1" s="1"/>
  <c r="V148" i="1" s="1"/>
  <c r="M143" i="1"/>
  <c r="Q143" i="1" s="1"/>
  <c r="S143" i="1" s="1"/>
  <c r="T143" i="1" s="1"/>
  <c r="V143" i="1" s="1"/>
  <c r="W143" i="1" s="1"/>
  <c r="X143" i="1" s="1"/>
  <c r="Y143" i="1" s="1"/>
  <c r="M142" i="1"/>
  <c r="Q142" i="1" s="1"/>
  <c r="S142" i="1" s="1"/>
  <c r="T142" i="1" s="1"/>
  <c r="V142" i="1" s="1"/>
  <c r="O125" i="1"/>
  <c r="O121" i="1"/>
  <c r="AA121" i="1" s="1"/>
  <c r="O74" i="1"/>
  <c r="M145" i="1"/>
  <c r="Q145" i="1" s="1"/>
  <c r="S145" i="1" s="1"/>
  <c r="T145" i="1" s="1"/>
  <c r="V145" i="1" s="1"/>
  <c r="M140" i="1"/>
  <c r="Q140" i="1" s="1"/>
  <c r="S140" i="1" s="1"/>
  <c r="T140" i="1" s="1"/>
  <c r="V140" i="1" s="1"/>
  <c r="M102" i="1"/>
  <c r="Q102" i="1" s="1"/>
  <c r="S102" i="1" s="1"/>
  <c r="T102" i="1" s="1"/>
  <c r="V102" i="1" s="1"/>
  <c r="M201" i="1"/>
  <c r="M129" i="1"/>
  <c r="M96" i="1"/>
  <c r="Q96" i="1" s="1"/>
  <c r="S96" i="1" s="1"/>
  <c r="T96" i="1" s="1"/>
  <c r="V96" i="1" s="1"/>
  <c r="M99" i="1"/>
  <c r="Q99" i="1" s="1"/>
  <c r="S99" i="1" s="1"/>
  <c r="T99" i="1" s="1"/>
  <c r="V99" i="1" s="1"/>
  <c r="M130" i="1"/>
  <c r="M182" i="1"/>
  <c r="Q182" i="1" s="1"/>
  <c r="S182" i="1" s="1"/>
  <c r="T182" i="1" s="1"/>
  <c r="V182" i="1" s="1"/>
  <c r="M193" i="1"/>
  <c r="M121" i="1"/>
  <c r="Q121" i="1" s="1"/>
  <c r="S121" i="1" s="1"/>
  <c r="T121" i="1" s="1"/>
  <c r="V121" i="1" s="1"/>
  <c r="M88" i="1"/>
  <c r="Q88" i="1" s="1"/>
  <c r="M95" i="1"/>
  <c r="Q95" i="1" s="1"/>
  <c r="S95" i="1" s="1"/>
  <c r="T95" i="1" s="1"/>
  <c r="V95" i="1" s="1"/>
  <c r="M126" i="1"/>
  <c r="M178" i="1"/>
  <c r="Q178" i="1" s="1"/>
  <c r="S178" i="1" s="1"/>
  <c r="T178" i="1" s="1"/>
  <c r="V178" i="1" s="1"/>
  <c r="O8" i="1"/>
  <c r="O186" i="1"/>
  <c r="AA186" i="1" s="1"/>
  <c r="O84" i="1"/>
  <c r="AA84" i="1" s="1"/>
  <c r="O146" i="1"/>
  <c r="AA146" i="1" s="1"/>
  <c r="O165" i="1"/>
  <c r="AA165" i="1" s="1"/>
  <c r="M76" i="1"/>
  <c r="Q76" i="1" s="1"/>
  <c r="M204" i="1"/>
  <c r="M171" i="1"/>
  <c r="Q171" i="1" s="1"/>
  <c r="S171" i="1" s="1"/>
  <c r="T171" i="1" s="1"/>
  <c r="V171" i="1" s="1"/>
  <c r="M170" i="1"/>
  <c r="Q170" i="1" s="1"/>
  <c r="S170" i="1" s="1"/>
  <c r="T170" i="1" s="1"/>
  <c r="V170" i="1" s="1"/>
  <c r="M169" i="1"/>
  <c r="Q169" i="1" s="1"/>
  <c r="S169" i="1" s="1"/>
  <c r="T169" i="1" s="1"/>
  <c r="V169" i="1" s="1"/>
  <c r="M168" i="1"/>
  <c r="Q168" i="1" s="1"/>
  <c r="S168" i="1" s="1"/>
  <c r="T168" i="1" s="1"/>
  <c r="V168" i="1" s="1"/>
  <c r="M165" i="1"/>
  <c r="Q165" i="1" s="1"/>
  <c r="S165" i="1" s="1"/>
  <c r="T165" i="1" s="1"/>
  <c r="V165" i="1" s="1"/>
  <c r="M164" i="1"/>
  <c r="Q164" i="1" s="1"/>
  <c r="M83" i="1"/>
  <c r="Q83" i="1" s="1"/>
  <c r="S83" i="1" s="1"/>
  <c r="T83" i="1" s="1"/>
  <c r="V83" i="1" s="1"/>
  <c r="M151" i="1"/>
  <c r="Q151" i="1" s="1"/>
  <c r="S151" i="1" s="1"/>
  <c r="T151" i="1" s="1"/>
  <c r="V151" i="1" s="1"/>
  <c r="W151" i="1" s="1"/>
  <c r="X151" i="1" s="1"/>
  <c r="Y151" i="1" s="1"/>
  <c r="M82" i="1"/>
  <c r="Q82" i="1" s="1"/>
  <c r="S82" i="1" s="1"/>
  <c r="T82" i="1" s="1"/>
  <c r="V82" i="1" s="1"/>
  <c r="M150" i="1"/>
  <c r="Q150" i="1" s="1"/>
  <c r="S150" i="1" s="1"/>
  <c r="T150" i="1" s="1"/>
  <c r="V150" i="1" s="1"/>
  <c r="M161" i="1"/>
  <c r="Q161" i="1" s="1"/>
  <c r="S161" i="1" s="1"/>
  <c r="T161" i="1" s="1"/>
  <c r="V161" i="1" s="1"/>
  <c r="M160" i="1"/>
  <c r="Q160" i="1" s="1"/>
  <c r="S160" i="1" s="1"/>
  <c r="T160" i="1" s="1"/>
  <c r="V160" i="1" s="1"/>
  <c r="W160" i="1" s="1"/>
  <c r="X160" i="1" s="1"/>
  <c r="Y160" i="1" s="1"/>
  <c r="M157" i="1"/>
  <c r="Q157" i="1" s="1"/>
  <c r="S157" i="1" s="1"/>
  <c r="T157" i="1" s="1"/>
  <c r="V157" i="1" s="1"/>
  <c r="M156" i="1"/>
  <c r="Q156" i="1" s="1"/>
  <c r="M79" i="1"/>
  <c r="Q79" i="1" s="1"/>
  <c r="M147" i="1"/>
  <c r="Q147" i="1" s="1"/>
  <c r="S147" i="1" s="1"/>
  <c r="T147" i="1" s="1"/>
  <c r="V147" i="1" s="1"/>
  <c r="M78" i="1"/>
  <c r="Q78" i="1" s="1"/>
  <c r="S78" i="1" s="1"/>
  <c r="T78" i="1" s="1"/>
  <c r="V78" i="1" s="1"/>
  <c r="W42" i="1"/>
  <c r="X42" i="1" s="1"/>
  <c r="Y42" i="1" s="1"/>
  <c r="AB42" i="1"/>
  <c r="AB52" i="1"/>
  <c r="W52" i="1"/>
  <c r="X52" i="1" s="1"/>
  <c r="Y52" i="1" s="1"/>
  <c r="AB36" i="1"/>
  <c r="W36" i="1"/>
  <c r="X36" i="1" s="1"/>
  <c r="Y36" i="1" s="1"/>
  <c r="W21" i="1"/>
  <c r="AB21" i="1"/>
  <c r="AB45" i="1"/>
  <c r="W45" i="1"/>
  <c r="X45" i="1" s="1"/>
  <c r="Y45" i="1" s="1"/>
  <c r="W62" i="1"/>
  <c r="X62" i="1" s="1"/>
  <c r="Y62" i="1" s="1"/>
  <c r="AB62" i="1"/>
  <c r="W67" i="1"/>
  <c r="X67" i="1" s="1"/>
  <c r="Y67" i="1" s="1"/>
  <c r="AB67" i="1"/>
  <c r="W60" i="1"/>
  <c r="X60" i="1" s="1"/>
  <c r="Y60" i="1" s="1"/>
  <c r="AB60" i="1"/>
  <c r="W58" i="1"/>
  <c r="X58" i="1" s="1"/>
  <c r="Y58" i="1" s="1"/>
  <c r="AB58" i="1"/>
  <c r="W24" i="1"/>
  <c r="X24" i="1" s="1"/>
  <c r="Y24" i="1" s="1"/>
  <c r="AB24" i="1"/>
  <c r="AB59" i="1"/>
  <c r="W59" i="1"/>
  <c r="X59" i="1" s="1"/>
  <c r="Y59" i="1" s="1"/>
  <c r="AB64" i="1"/>
  <c r="W64" i="1"/>
  <c r="X64" i="1" s="1"/>
  <c r="Y64" i="1" s="1"/>
  <c r="AB41" i="1"/>
  <c r="W41" i="1"/>
  <c r="X41" i="1" s="1"/>
  <c r="Y41" i="1" s="1"/>
  <c r="W49" i="1"/>
  <c r="X49" i="1" s="1"/>
  <c r="Y49" i="1" s="1"/>
  <c r="AB49" i="1"/>
  <c r="AB28" i="1"/>
  <c r="W28" i="1"/>
  <c r="X28" i="1" s="1"/>
  <c r="Y28" i="1" s="1"/>
  <c r="W30" i="1"/>
  <c r="X30" i="1" s="1"/>
  <c r="Y30" i="1" s="1"/>
  <c r="AB30" i="1"/>
  <c r="AB48" i="1"/>
  <c r="W48" i="1"/>
  <c r="X48" i="1" s="1"/>
  <c r="Y48" i="1" s="1"/>
  <c r="W65" i="1"/>
  <c r="X65" i="1" s="1"/>
  <c r="Y65" i="1" s="1"/>
  <c r="AB65" i="1"/>
  <c r="AB38" i="1"/>
  <c r="W38" i="1"/>
  <c r="X38" i="1" s="1"/>
  <c r="Y38" i="1" s="1"/>
  <c r="AB61" i="1"/>
  <c r="W61" i="1"/>
  <c r="X61" i="1" s="1"/>
  <c r="Y61" i="1" s="1"/>
  <c r="W32" i="1"/>
  <c r="X32" i="1" s="1"/>
  <c r="Y32" i="1" s="1"/>
  <c r="AB32" i="1"/>
  <c r="W33" i="1"/>
  <c r="X33" i="1" s="1"/>
  <c r="Y33" i="1" s="1"/>
  <c r="AB33" i="1"/>
  <c r="W55" i="1"/>
  <c r="X55" i="1" s="1"/>
  <c r="Y55" i="1" s="1"/>
  <c r="AB55" i="1"/>
  <c r="W35" i="1"/>
  <c r="X35" i="1" s="1"/>
  <c r="Y35" i="1" s="1"/>
  <c r="AB35" i="1"/>
  <c r="W46" i="1"/>
  <c r="X46" i="1" s="1"/>
  <c r="Y46" i="1" s="1"/>
  <c r="AB46" i="1"/>
  <c r="AB39" i="1"/>
  <c r="W39" i="1"/>
  <c r="X39" i="1" s="1"/>
  <c r="Y39" i="1" s="1"/>
  <c r="W40" i="1"/>
  <c r="X40" i="1" s="1"/>
  <c r="Y40" i="1" s="1"/>
  <c r="AB40" i="1"/>
  <c r="AB34" i="1"/>
  <c r="W34" i="1"/>
  <c r="X34" i="1" s="1"/>
  <c r="Y34" i="1" s="1"/>
  <c r="AA74" i="1"/>
  <c r="S114" i="1"/>
  <c r="T114" i="1" s="1"/>
  <c r="V114" i="1" s="1"/>
  <c r="S88" i="1"/>
  <c r="T88" i="1" s="1"/>
  <c r="V88" i="1" s="1"/>
  <c r="W25" i="1"/>
  <c r="X25" i="1" s="1"/>
  <c r="Y25" i="1" s="1"/>
  <c r="AB25" i="1"/>
  <c r="W37" i="1"/>
  <c r="X37" i="1" s="1"/>
  <c r="Y37" i="1" s="1"/>
  <c r="AB37" i="1"/>
  <c r="W54" i="1"/>
  <c r="X54" i="1" s="1"/>
  <c r="Y54" i="1" s="1"/>
  <c r="AB54" i="1"/>
  <c r="W31" i="1"/>
  <c r="X31" i="1" s="1"/>
  <c r="Y31" i="1" s="1"/>
  <c r="AB31" i="1"/>
  <c r="S173" i="1"/>
  <c r="T173" i="1" s="1"/>
  <c r="V173" i="1" s="1"/>
  <c r="S116" i="1"/>
  <c r="T116" i="1" s="1"/>
  <c r="V116" i="1" s="1"/>
  <c r="S112" i="1"/>
  <c r="T112" i="1" s="1"/>
  <c r="V112" i="1" s="1"/>
  <c r="S144" i="1"/>
  <c r="T144" i="1" s="1"/>
  <c r="V144" i="1" s="1"/>
  <c r="AB29" i="1"/>
  <c r="W29" i="1"/>
  <c r="X29" i="1" s="1"/>
  <c r="Y29" i="1" s="1"/>
  <c r="AB23" i="1"/>
  <c r="W23" i="1"/>
  <c r="X23" i="1" s="1"/>
  <c r="Y23" i="1" s="1"/>
  <c r="AB56" i="1"/>
  <c r="W56" i="1"/>
  <c r="X56" i="1" s="1"/>
  <c r="Y56" i="1" s="1"/>
  <c r="AB43" i="1"/>
  <c r="W43" i="1"/>
  <c r="X43" i="1" s="1"/>
  <c r="Y43" i="1" s="1"/>
  <c r="S105" i="1"/>
  <c r="T105" i="1" s="1"/>
  <c r="V105" i="1" s="1"/>
  <c r="S174" i="1"/>
  <c r="T174" i="1" s="1"/>
  <c r="V174" i="1" s="1"/>
  <c r="W174" i="1" s="1"/>
  <c r="X174" i="1" s="1"/>
  <c r="Y174" i="1" s="1"/>
  <c r="S100" i="1"/>
  <c r="T100" i="1" s="1"/>
  <c r="V100" i="1" s="1"/>
  <c r="S115" i="1"/>
  <c r="T115" i="1" s="1"/>
  <c r="V115" i="1" s="1"/>
  <c r="AB53" i="1"/>
  <c r="W53" i="1"/>
  <c r="X53" i="1" s="1"/>
  <c r="Y53" i="1" s="1"/>
  <c r="AB26" i="1"/>
  <c r="W26" i="1"/>
  <c r="X26" i="1" s="1"/>
  <c r="Y26" i="1" s="1"/>
  <c r="S117" i="1"/>
  <c r="T117" i="1" s="1"/>
  <c r="V117" i="1" s="1"/>
  <c r="S167" i="1"/>
  <c r="T167" i="1" s="1"/>
  <c r="V167" i="1" s="1"/>
  <c r="W167" i="1" s="1"/>
  <c r="X167" i="1" s="1"/>
  <c r="Y167" i="1" s="1"/>
  <c r="S98" i="1"/>
  <c r="T98" i="1" s="1"/>
  <c r="V98" i="1" s="1"/>
  <c r="S189" i="1"/>
  <c r="T189" i="1" s="1"/>
  <c r="V189" i="1" s="1"/>
  <c r="W189" i="1" s="1"/>
  <c r="X189" i="1" s="1"/>
  <c r="Y189" i="1" s="1"/>
  <c r="S188" i="1"/>
  <c r="T188" i="1" s="1"/>
  <c r="V188" i="1" s="1"/>
  <c r="S163" i="1"/>
  <c r="T163" i="1" s="1"/>
  <c r="V163" i="1" s="1"/>
  <c r="S162" i="1"/>
  <c r="T162" i="1" s="1"/>
  <c r="V162" i="1" s="1"/>
  <c r="W47" i="1"/>
  <c r="X47" i="1" s="1"/>
  <c r="Y47" i="1" s="1"/>
  <c r="AB47" i="1"/>
  <c r="W22" i="1"/>
  <c r="X22" i="1" s="1"/>
  <c r="Y22" i="1" s="1"/>
  <c r="AB22" i="1"/>
  <c r="AB63" i="1"/>
  <c r="W63" i="1"/>
  <c r="X63" i="1" s="1"/>
  <c r="Y63" i="1" s="1"/>
  <c r="AB50" i="1"/>
  <c r="W50" i="1"/>
  <c r="X50" i="1" s="1"/>
  <c r="Y50" i="1" s="1"/>
  <c r="S118" i="1"/>
  <c r="T118" i="1" s="1"/>
  <c r="V118" i="1" s="1"/>
  <c r="S155" i="1"/>
  <c r="T155" i="1" s="1"/>
  <c r="V155" i="1" s="1"/>
  <c r="AA78" i="1"/>
  <c r="S159" i="1"/>
  <c r="T159" i="1" s="1"/>
  <c r="V159" i="1" s="1"/>
  <c r="S158" i="1"/>
  <c r="T158" i="1" s="1"/>
  <c r="V158" i="1" s="1"/>
  <c r="S77" i="1"/>
  <c r="T77" i="1" s="1"/>
  <c r="V77" i="1" s="1"/>
  <c r="W77" i="1" s="1"/>
  <c r="X77" i="1" s="1"/>
  <c r="Y77" i="1" s="1"/>
  <c r="S103" i="1"/>
  <c r="T103" i="1" s="1"/>
  <c r="V103" i="1" s="1"/>
  <c r="S97" i="1"/>
  <c r="T97" i="1" s="1"/>
  <c r="V97" i="1" s="1"/>
  <c r="S183" i="1"/>
  <c r="T183" i="1" s="1"/>
  <c r="V183" i="1" s="1"/>
  <c r="S110" i="1"/>
  <c r="T110" i="1" s="1"/>
  <c r="V110" i="1" s="1"/>
  <c r="AB57" i="1"/>
  <c r="W57" i="1"/>
  <c r="X57" i="1" s="1"/>
  <c r="Y57" i="1" s="1"/>
  <c r="AB66" i="1"/>
  <c r="W66" i="1"/>
  <c r="X66" i="1" s="1"/>
  <c r="Y66" i="1" s="1"/>
  <c r="S86" i="1"/>
  <c r="T86" i="1" s="1"/>
  <c r="V86" i="1" s="1"/>
  <c r="S109" i="1"/>
  <c r="T109" i="1" s="1"/>
  <c r="V109" i="1" s="1"/>
  <c r="W109" i="1" s="1"/>
  <c r="X109" i="1" s="1"/>
  <c r="Y109" i="1" s="1"/>
  <c r="S176" i="1"/>
  <c r="T176" i="1" s="1"/>
  <c r="V176" i="1" s="1"/>
  <c r="S177" i="1"/>
  <c r="T177" i="1" s="1"/>
  <c r="V177" i="1" s="1"/>
  <c r="W177" i="1" s="1"/>
  <c r="X177" i="1" s="1"/>
  <c r="Y177" i="1" s="1"/>
  <c r="S185" i="1"/>
  <c r="T185" i="1" s="1"/>
  <c r="V185" i="1" s="1"/>
  <c r="S91" i="1"/>
  <c r="T91" i="1" s="1"/>
  <c r="V91" i="1" s="1"/>
  <c r="S85" i="1"/>
  <c r="T85" i="1" s="1"/>
  <c r="V85" i="1" s="1"/>
  <c r="W85" i="1" s="1"/>
  <c r="X85" i="1" s="1"/>
  <c r="Y85" i="1" s="1"/>
  <c r="S81" i="1"/>
  <c r="T81" i="1" s="1"/>
  <c r="V81" i="1" s="1"/>
  <c r="S106" i="1"/>
  <c r="T106" i="1" s="1"/>
  <c r="V106" i="1" s="1"/>
  <c r="S76" i="1"/>
  <c r="T76" i="1" s="1"/>
  <c r="V76" i="1" s="1"/>
  <c r="S164" i="1"/>
  <c r="T164" i="1" s="1"/>
  <c r="V164" i="1" s="1"/>
  <c r="S156" i="1"/>
  <c r="T156" i="1" s="1"/>
  <c r="V156" i="1" s="1"/>
  <c r="S79" i="1"/>
  <c r="T79" i="1" s="1"/>
  <c r="V79" i="1" s="1"/>
  <c r="S146" i="1"/>
  <c r="T146" i="1" s="1"/>
  <c r="V146" i="1" s="1"/>
  <c r="O9" i="1" l="1"/>
  <c r="H5" i="11"/>
  <c r="M7" i="10"/>
  <c r="H4" i="12"/>
  <c r="O200" i="1"/>
  <c r="O10" i="1"/>
  <c r="AA200" i="1"/>
  <c r="O135" i="1"/>
  <c r="O205" i="1" s="1"/>
  <c r="O7" i="1"/>
  <c r="AB82" i="1"/>
  <c r="W82" i="1"/>
  <c r="X82" i="1" s="1"/>
  <c r="Y82" i="1" s="1"/>
  <c r="AB122" i="1"/>
  <c r="W122" i="1"/>
  <c r="X122" i="1" s="1"/>
  <c r="Y122" i="1" s="1"/>
  <c r="AB121" i="1"/>
  <c r="W121" i="1"/>
  <c r="X121" i="1" s="1"/>
  <c r="Y121" i="1" s="1"/>
  <c r="AB153" i="1"/>
  <c r="W153" i="1"/>
  <c r="X153" i="1" s="1"/>
  <c r="Y153" i="1" s="1"/>
  <c r="AB156" i="1"/>
  <c r="W156" i="1"/>
  <c r="X156" i="1" s="1"/>
  <c r="Y156" i="1" s="1"/>
  <c r="AB165" i="1"/>
  <c r="W165" i="1"/>
  <c r="X165" i="1" s="1"/>
  <c r="Y165" i="1" s="1"/>
  <c r="AB110" i="1"/>
  <c r="W110" i="1"/>
  <c r="X110" i="1" s="1"/>
  <c r="Y110" i="1" s="1"/>
  <c r="W80" i="1"/>
  <c r="X80" i="1" s="1"/>
  <c r="Y80" i="1" s="1"/>
  <c r="AB80" i="1"/>
  <c r="AB161" i="1"/>
  <c r="W161" i="1"/>
  <c r="X161" i="1" s="1"/>
  <c r="Y161" i="1" s="1"/>
  <c r="AB168" i="1"/>
  <c r="W168" i="1"/>
  <c r="X168" i="1" s="1"/>
  <c r="Y168" i="1" s="1"/>
  <c r="W106" i="1"/>
  <c r="X106" i="1" s="1"/>
  <c r="Y106" i="1" s="1"/>
  <c r="AB106" i="1"/>
  <c r="W86" i="1"/>
  <c r="X86" i="1" s="1"/>
  <c r="Y86" i="1" s="1"/>
  <c r="AB86" i="1"/>
  <c r="AB155" i="1"/>
  <c r="W155" i="1"/>
  <c r="X155" i="1" s="1"/>
  <c r="Y155" i="1" s="1"/>
  <c r="W187" i="1"/>
  <c r="X187" i="1" s="1"/>
  <c r="Y187" i="1" s="1"/>
  <c r="AB187" i="1"/>
  <c r="W184" i="1"/>
  <c r="X184" i="1" s="1"/>
  <c r="Y184" i="1" s="1"/>
  <c r="AB184" i="1"/>
  <c r="AB146" i="1"/>
  <c r="W146" i="1"/>
  <c r="X146" i="1" s="1"/>
  <c r="Y146" i="1" s="1"/>
  <c r="AB150" i="1"/>
  <c r="W150" i="1"/>
  <c r="X150" i="1" s="1"/>
  <c r="Y150" i="1" s="1"/>
  <c r="W169" i="1"/>
  <c r="X169" i="1" s="1"/>
  <c r="Y169" i="1" s="1"/>
  <c r="AB169" i="1"/>
  <c r="AB107" i="1"/>
  <c r="W107" i="1"/>
  <c r="X107" i="1" s="1"/>
  <c r="Y107" i="1" s="1"/>
  <c r="AB186" i="1"/>
  <c r="W186" i="1"/>
  <c r="X186" i="1" s="1"/>
  <c r="Y186" i="1" s="1"/>
  <c r="AB118" i="1"/>
  <c r="W118" i="1"/>
  <c r="X118" i="1" s="1"/>
  <c r="Y118" i="1" s="1"/>
  <c r="AB163" i="1"/>
  <c r="W163" i="1"/>
  <c r="X163" i="1" s="1"/>
  <c r="Y163" i="1" s="1"/>
  <c r="W178" i="1"/>
  <c r="X178" i="1" s="1"/>
  <c r="Y178" i="1" s="1"/>
  <c r="AB178" i="1"/>
  <c r="AB100" i="1"/>
  <c r="W100" i="1"/>
  <c r="X100" i="1" s="1"/>
  <c r="Y100" i="1" s="1"/>
  <c r="AB120" i="1"/>
  <c r="W120" i="1"/>
  <c r="X120" i="1" s="1"/>
  <c r="Y120" i="1" s="1"/>
  <c r="W78" i="1"/>
  <c r="X78" i="1" s="1"/>
  <c r="Y78" i="1" s="1"/>
  <c r="AB78" i="1"/>
  <c r="X139" i="1"/>
  <c r="W103" i="1"/>
  <c r="X103" i="1" s="1"/>
  <c r="Y103" i="1" s="1"/>
  <c r="AB103" i="1"/>
  <c r="W142" i="1"/>
  <c r="X142" i="1" s="1"/>
  <c r="Y142" i="1" s="1"/>
  <c r="AB142" i="1"/>
  <c r="AB117" i="1"/>
  <c r="W117" i="1"/>
  <c r="X117" i="1" s="1"/>
  <c r="Y117" i="1" s="1"/>
  <c r="AB74" i="1"/>
  <c r="W74" i="1"/>
  <c r="W75" i="1"/>
  <c r="X75" i="1" s="1"/>
  <c r="Y75" i="1" s="1"/>
  <c r="AB75" i="1"/>
  <c r="AB112" i="1"/>
  <c r="W112" i="1"/>
  <c r="X112" i="1" s="1"/>
  <c r="Y112" i="1" s="1"/>
  <c r="AB179" i="1"/>
  <c r="W179" i="1"/>
  <c r="X179" i="1" s="1"/>
  <c r="Y179" i="1" s="1"/>
  <c r="AB114" i="1"/>
  <c r="W114" i="1"/>
  <c r="X114" i="1" s="1"/>
  <c r="Y114" i="1" s="1"/>
  <c r="W164" i="1"/>
  <c r="X164" i="1" s="1"/>
  <c r="Y164" i="1" s="1"/>
  <c r="AB164" i="1"/>
  <c r="W90" i="1"/>
  <c r="X90" i="1" s="1"/>
  <c r="Y90" i="1" s="1"/>
  <c r="AB90" i="1"/>
  <c r="W119" i="1"/>
  <c r="X119" i="1" s="1"/>
  <c r="Y119" i="1" s="1"/>
  <c r="AB119" i="1"/>
  <c r="W145" i="1"/>
  <c r="X145" i="1" s="1"/>
  <c r="Y145" i="1" s="1"/>
  <c r="AB145" i="1"/>
  <c r="AB84" i="1"/>
  <c r="W84" i="1"/>
  <c r="X84" i="1" s="1"/>
  <c r="Y84" i="1" s="1"/>
  <c r="AB113" i="1"/>
  <c r="W113" i="1"/>
  <c r="X113" i="1" s="1"/>
  <c r="Y113" i="1" s="1"/>
  <c r="W97" i="1"/>
  <c r="X97" i="1" s="1"/>
  <c r="Y97" i="1" s="1"/>
  <c r="AB97" i="1"/>
  <c r="W115" i="1"/>
  <c r="X115" i="1" s="1"/>
  <c r="Y115" i="1" s="1"/>
  <c r="AB115" i="1"/>
  <c r="W116" i="1"/>
  <c r="X116" i="1" s="1"/>
  <c r="Y116" i="1" s="1"/>
  <c r="AB116" i="1"/>
  <c r="AB88" i="1"/>
  <c r="W88" i="1"/>
  <c r="X88" i="1" s="1"/>
  <c r="Y88" i="1" s="1"/>
  <c r="AB96" i="1"/>
  <c r="W96" i="1"/>
  <c r="X96" i="1" s="1"/>
  <c r="Y96" i="1" s="1"/>
  <c r="AB147" i="1"/>
  <c r="W147" i="1"/>
  <c r="X147" i="1" s="1"/>
  <c r="Y147" i="1" s="1"/>
  <c r="AB170" i="1"/>
  <c r="W170" i="1"/>
  <c r="X170" i="1" s="1"/>
  <c r="Y170" i="1" s="1"/>
  <c r="AB87" i="1"/>
  <c r="W87" i="1"/>
  <c r="X87" i="1" s="1"/>
  <c r="Y87" i="1" s="1"/>
  <c r="AB79" i="1"/>
  <c r="W79" i="1"/>
  <c r="X79" i="1" s="1"/>
  <c r="Y79" i="1" s="1"/>
  <c r="AB157" i="1"/>
  <c r="W157" i="1"/>
  <c r="X157" i="1" s="1"/>
  <c r="Y157" i="1" s="1"/>
  <c r="W83" i="1"/>
  <c r="X83" i="1" s="1"/>
  <c r="Y83" i="1" s="1"/>
  <c r="AB83" i="1"/>
  <c r="AB171" i="1"/>
  <c r="W171" i="1"/>
  <c r="X171" i="1" s="1"/>
  <c r="Y171" i="1" s="1"/>
  <c r="W81" i="1"/>
  <c r="X81" i="1" s="1"/>
  <c r="Y81" i="1" s="1"/>
  <c r="AB81" i="1"/>
  <c r="AB181" i="1"/>
  <c r="W181" i="1"/>
  <c r="X181" i="1" s="1"/>
  <c r="Y181" i="1" s="1"/>
  <c r="AB176" i="1"/>
  <c r="W176" i="1"/>
  <c r="X176" i="1" s="1"/>
  <c r="Y176" i="1" s="1"/>
  <c r="AB93" i="1"/>
  <c r="W93" i="1"/>
  <c r="X93" i="1" s="1"/>
  <c r="Y93" i="1" s="1"/>
  <c r="AB158" i="1"/>
  <c r="W158" i="1"/>
  <c r="X158" i="1" s="1"/>
  <c r="Y158" i="1" s="1"/>
  <c r="AB162" i="1"/>
  <c r="W162" i="1"/>
  <c r="X162" i="1" s="1"/>
  <c r="Y162" i="1" s="1"/>
  <c r="AB188" i="1"/>
  <c r="W188" i="1"/>
  <c r="X188" i="1" s="1"/>
  <c r="Y188" i="1" s="1"/>
  <c r="AB166" i="1"/>
  <c r="W166" i="1"/>
  <c r="X166" i="1" s="1"/>
  <c r="Y166" i="1" s="1"/>
  <c r="AB148" i="1"/>
  <c r="W148" i="1"/>
  <c r="X148" i="1" s="1"/>
  <c r="Y148" i="1" s="1"/>
  <c r="W89" i="1"/>
  <c r="X89" i="1" s="1"/>
  <c r="Y89" i="1" s="1"/>
  <c r="AB89" i="1"/>
  <c r="W104" i="1"/>
  <c r="X104" i="1" s="1"/>
  <c r="Y104" i="1" s="1"/>
  <c r="AB104" i="1"/>
  <c r="W144" i="1"/>
  <c r="X144" i="1" s="1"/>
  <c r="Y144" i="1" s="1"/>
  <c r="AB144" i="1"/>
  <c r="AB149" i="1"/>
  <c r="W149" i="1"/>
  <c r="X149" i="1" s="1"/>
  <c r="Y149" i="1" s="1"/>
  <c r="AB172" i="1"/>
  <c r="W172" i="1"/>
  <c r="X172" i="1" s="1"/>
  <c r="Y172" i="1" s="1"/>
  <c r="AB102" i="1"/>
  <c r="W102" i="1"/>
  <c r="X102" i="1" s="1"/>
  <c r="Y102" i="1" s="1"/>
  <c r="W76" i="1"/>
  <c r="X76" i="1" s="1"/>
  <c r="Y76" i="1" s="1"/>
  <c r="AB76" i="1"/>
  <c r="AB91" i="1"/>
  <c r="W91" i="1"/>
  <c r="X91" i="1" s="1"/>
  <c r="Y91" i="1" s="1"/>
  <c r="W183" i="1"/>
  <c r="X183" i="1" s="1"/>
  <c r="Y183" i="1" s="1"/>
  <c r="AB183" i="1"/>
  <c r="AB98" i="1"/>
  <c r="W98" i="1"/>
  <c r="X98" i="1" s="1"/>
  <c r="Y98" i="1" s="1"/>
  <c r="W182" i="1"/>
  <c r="X182" i="1" s="1"/>
  <c r="Y182" i="1" s="1"/>
  <c r="AB182" i="1"/>
  <c r="AB105" i="1"/>
  <c r="W105" i="1"/>
  <c r="X105" i="1" s="1"/>
  <c r="Y105" i="1" s="1"/>
  <c r="W92" i="1"/>
  <c r="X92" i="1" s="1"/>
  <c r="Y92" i="1" s="1"/>
  <c r="AB92" i="1"/>
  <c r="X21" i="1"/>
  <c r="W70" i="1"/>
  <c r="AB180" i="1"/>
  <c r="W180" i="1"/>
  <c r="X180" i="1" s="1"/>
  <c r="Y180" i="1" s="1"/>
  <c r="W185" i="1"/>
  <c r="X185" i="1" s="1"/>
  <c r="Y185" i="1" s="1"/>
  <c r="AB185" i="1"/>
  <c r="W159" i="1"/>
  <c r="X159" i="1" s="1"/>
  <c r="Y159" i="1" s="1"/>
  <c r="AB159" i="1"/>
  <c r="AB95" i="1"/>
  <c r="W95" i="1"/>
  <c r="X95" i="1" s="1"/>
  <c r="Y95" i="1" s="1"/>
  <c r="AB99" i="1"/>
  <c r="W99" i="1"/>
  <c r="X99" i="1" s="1"/>
  <c r="Y99" i="1" s="1"/>
  <c r="AB140" i="1"/>
  <c r="W140" i="1"/>
  <c r="X140" i="1" s="1"/>
  <c r="Y140" i="1" s="1"/>
  <c r="W173" i="1"/>
  <c r="X173" i="1" s="1"/>
  <c r="Y173" i="1" s="1"/>
  <c r="AB173" i="1"/>
  <c r="AB141" i="1"/>
  <c r="W141" i="1"/>
  <c r="X141" i="1" s="1"/>
  <c r="Y141" i="1" s="1"/>
  <c r="W152" i="1"/>
  <c r="X152" i="1" s="1"/>
  <c r="Y152" i="1" s="1"/>
  <c r="AB152" i="1"/>
  <c r="AB154" i="1"/>
  <c r="W154" i="1"/>
  <c r="X154" i="1" s="1"/>
  <c r="Y154" i="1" s="1"/>
  <c r="AA135" i="1"/>
  <c r="AA205" i="1" s="1"/>
  <c r="I5" i="11" l="1"/>
  <c r="I4" i="12"/>
  <c r="N7" i="10"/>
  <c r="Y21" i="1"/>
  <c r="Y70" i="1" s="1"/>
  <c r="X70" i="1"/>
  <c r="W135" i="1"/>
  <c r="X74" i="1"/>
  <c r="W200" i="1"/>
  <c r="X200" i="1"/>
  <c r="Y139" i="1"/>
  <c r="Y200" i="1" s="1"/>
  <c r="J4" i="12" l="1"/>
  <c r="J5" i="11"/>
  <c r="O7" i="10"/>
  <c r="W205" i="1"/>
  <c r="Y74" i="1"/>
  <c r="Y135" i="1" s="1"/>
  <c r="AA136" i="1" s="1"/>
  <c r="X135" i="1"/>
  <c r="X205" i="1" s="1"/>
  <c r="P7" i="10" l="1"/>
  <c r="K4" i="12"/>
  <c r="K5" i="11"/>
  <c r="Y205" i="1"/>
  <c r="L5" i="11" l="1"/>
  <c r="Q7" i="10"/>
  <c r="L4" i="12"/>
  <c r="M5" i="11" l="1"/>
  <c r="A3" i="10"/>
  <c r="M4" i="12"/>
</calcChain>
</file>

<file path=xl/comments1.xml><?xml version="1.0" encoding="utf-8"?>
<comments xmlns="http://schemas.openxmlformats.org/spreadsheetml/2006/main">
  <authors>
    <author>Allied Waste</author>
  </authors>
  <commentList>
    <comment ref="L5" authorId="0">
      <text>
        <r>
          <rPr>
            <b/>
            <sz val="8"/>
            <color indexed="81"/>
            <rFont val="Tahoma"/>
            <family val="2"/>
          </rPr>
          <t>Allied Waste: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These are regulated garbage disposal tons
</t>
        </r>
      </text>
    </comment>
  </commentList>
</comments>
</file>

<file path=xl/comments2.xml><?xml version="1.0" encoding="utf-8"?>
<comments xmlns="http://schemas.openxmlformats.org/spreadsheetml/2006/main">
  <authors>
    <author>Alex Brenner</author>
    <author>joannewright</author>
  </authors>
  <commentList>
    <comment ref="B12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'Commercial Op Stat Trend Report' - Total Disposal Tons + SOM (Sale of Material) Tons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'Residential Op Stat Trend Report' - Total Disposal Tons + SOM (Sale of Material) Tons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'Industrial Op Stat Trend Report' - Total Disposal Tons + SOM (Sale of Material) Tons</t>
        </r>
      </text>
    </comment>
    <comment ref="D21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2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D26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R28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</t>
        </r>
      </text>
    </comment>
    <comment ref="D32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3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34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7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38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report.</t>
        </r>
      </text>
    </comment>
    <comment ref="D40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41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42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report.</t>
        </r>
      </text>
    </comment>
    <comment ref="C46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  <comment ref="C47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</commentList>
</comments>
</file>

<file path=xl/comments3.xml><?xml version="1.0" encoding="utf-8"?>
<comments xmlns="http://schemas.openxmlformats.org/spreadsheetml/2006/main">
  <authors>
    <author>Alex Brenner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<sst xmlns="http://schemas.openxmlformats.org/spreadsheetml/2006/main" count="421" uniqueCount="205">
  <si>
    <t>Res'l</t>
  </si>
  <si>
    <t>INPUTS</t>
  </si>
  <si>
    <t>COMM'L</t>
  </si>
  <si>
    <t xml:space="preserve"> </t>
  </si>
  <si>
    <t>DROPBOX</t>
  </si>
  <si>
    <t>TOTAL ALL SERVICES</t>
  </si>
  <si>
    <t xml:space="preserve"> RESIDENTIAL</t>
  </si>
  <si>
    <t xml:space="preserve"> COMM. CANS</t>
  </si>
  <si>
    <t xml:space="preserve"> CONTAINERS</t>
  </si>
  <si>
    <t>No. of</t>
  </si>
  <si>
    <t>Pickup</t>
  </si>
  <si>
    <t xml:space="preserve">Current </t>
  </si>
  <si>
    <t>Unit</t>
  </si>
  <si>
    <t>adjust</t>
  </si>
  <si>
    <t>Calculated</t>
  </si>
  <si>
    <t>Actual</t>
  </si>
  <si>
    <t>Annual</t>
  </si>
  <si>
    <t>Total</t>
  </si>
  <si>
    <t>Proposed</t>
  </si>
  <si>
    <t>Cust.</t>
  </si>
  <si>
    <t>Freq</t>
  </si>
  <si>
    <t>Current</t>
  </si>
  <si>
    <t>Monthly</t>
  </si>
  <si>
    <t>Lbs.</t>
  </si>
  <si>
    <t xml:space="preserve">unit </t>
  </si>
  <si>
    <t>Disposal</t>
  </si>
  <si>
    <t>Revenue</t>
  </si>
  <si>
    <t>Per</t>
  </si>
  <si>
    <t>Tariff</t>
  </si>
  <si>
    <t>Tons</t>
  </si>
  <si>
    <t>Rate</t>
  </si>
  <si>
    <t>Year</t>
  </si>
  <si>
    <t xml:space="preserve">RESIDENTIAL </t>
  </si>
  <si>
    <t>#</t>
  </si>
  <si>
    <t>pu</t>
  </si>
  <si>
    <t>yds</t>
  </si>
  <si>
    <t>Multi-Family-Tariff 4</t>
  </si>
  <si>
    <t>TOTAL</t>
  </si>
  <si>
    <t>Current Rates</t>
  </si>
  <si>
    <t>Residential</t>
  </si>
  <si>
    <t>1 Mini Can</t>
  </si>
  <si>
    <t>1 Can wk</t>
  </si>
  <si>
    <t>2  Can wk</t>
  </si>
  <si>
    <t>3 Can wk</t>
  </si>
  <si>
    <t>4 Can wk</t>
  </si>
  <si>
    <t>5 Can wk</t>
  </si>
  <si>
    <t>6 Can wk</t>
  </si>
  <si>
    <t>1 Can Monthly</t>
  </si>
  <si>
    <t>32 Gal Tote wk</t>
  </si>
  <si>
    <t>60 Gal Tote wk</t>
  </si>
  <si>
    <t>90 Gal Tote wk</t>
  </si>
  <si>
    <t xml:space="preserve">Yardwaste </t>
  </si>
  <si>
    <t>Extras</t>
  </si>
  <si>
    <t>Mini Can Rental</t>
  </si>
  <si>
    <t>1 Can Rental</t>
  </si>
  <si>
    <t>32 Gal Toter Rental</t>
  </si>
  <si>
    <t>Total Residential</t>
  </si>
  <si>
    <t>Variance</t>
  </si>
  <si>
    <t>Yardwaste</t>
  </si>
  <si>
    <t>Commercial</t>
  </si>
  <si>
    <t xml:space="preserve">32 Gal Toter 1xweek </t>
  </si>
  <si>
    <t xml:space="preserve">64 Gal Toter 1xweek  </t>
  </si>
  <si>
    <t>96 Gal Toter 1xweek</t>
  </si>
  <si>
    <t>1 yd  on call</t>
  </si>
  <si>
    <t>1 yd  1xweek</t>
  </si>
  <si>
    <t>2yd On Call</t>
  </si>
  <si>
    <t>2 yd 1xweek</t>
  </si>
  <si>
    <t>2 yd 2xweek</t>
  </si>
  <si>
    <t>2 yd 3xweek</t>
  </si>
  <si>
    <t>2 yd 4xweek</t>
  </si>
  <si>
    <t>3 yd Comp Week</t>
  </si>
  <si>
    <t>3 yd  On Call</t>
  </si>
  <si>
    <t>3 yd 1xweek</t>
  </si>
  <si>
    <t>3 yd 2xweek</t>
  </si>
  <si>
    <t>3 yd 3xweek</t>
  </si>
  <si>
    <t>4 yd Comp Week</t>
  </si>
  <si>
    <t>4 yd On Call</t>
  </si>
  <si>
    <t>4 yd 1xweek</t>
  </si>
  <si>
    <t>4 yd 2xweek</t>
  </si>
  <si>
    <t>4 yd 3xweek</t>
  </si>
  <si>
    <t>4 yd 4xweek</t>
  </si>
  <si>
    <t>6 yd Comp Week</t>
  </si>
  <si>
    <t>6 yd  On Call</t>
  </si>
  <si>
    <t>6 yd 1xweek</t>
  </si>
  <si>
    <t>6 yd 2xweek</t>
  </si>
  <si>
    <t>6 yd 3xweek</t>
  </si>
  <si>
    <t>6 yd 4xweek</t>
  </si>
  <si>
    <t>8 yd   On Call</t>
  </si>
  <si>
    <t>8 yd  1xweek</t>
  </si>
  <si>
    <t>8 yd  2xweek</t>
  </si>
  <si>
    <t>8 yd  3xweek</t>
  </si>
  <si>
    <t>8 yd  4xweek</t>
  </si>
  <si>
    <t>8 yd  5xweek</t>
  </si>
  <si>
    <t>32 Gal Toter Rent</t>
  </si>
  <si>
    <t>64 Gal Toter Rent</t>
  </si>
  <si>
    <t>96 Gal Toter Rent</t>
  </si>
  <si>
    <t>1 yd Rent</t>
  </si>
  <si>
    <t>2 yd Rent</t>
  </si>
  <si>
    <t>3 yd Rent</t>
  </si>
  <si>
    <t>4 yd Rent</t>
  </si>
  <si>
    <t>6 yd Rent</t>
  </si>
  <si>
    <t>8 yd Rent</t>
  </si>
  <si>
    <t>Annual Revenue</t>
  </si>
  <si>
    <t>Total Commercial</t>
  </si>
  <si>
    <t>Recycling</t>
  </si>
  <si>
    <t>Commercial Recycling</t>
  </si>
  <si>
    <t>Disposal Breakout-Regulated vs.Contract</t>
  </si>
  <si>
    <t>TONS</t>
  </si>
  <si>
    <t>Per General Ledger</t>
  </si>
  <si>
    <t>Rolloff</t>
  </si>
  <si>
    <t>% Variance</t>
  </si>
  <si>
    <t>Garbage</t>
  </si>
  <si>
    <t>Reg Garbage</t>
  </si>
  <si>
    <t>Unreg Garbage</t>
  </si>
  <si>
    <t>Total Garbage</t>
  </si>
  <si>
    <t>MF Recy Reg-</t>
  </si>
  <si>
    <t>Tota Recycling</t>
  </si>
  <si>
    <t>Regulated</t>
  </si>
  <si>
    <t>Unregulated</t>
  </si>
  <si>
    <t>Total Recycling</t>
  </si>
  <si>
    <t>Total Yardwaste</t>
  </si>
  <si>
    <t>Total Rolloff</t>
  </si>
  <si>
    <t>Total Disposal</t>
  </si>
  <si>
    <t>Total Regulated</t>
  </si>
  <si>
    <t>Multifamily recycling</t>
  </si>
  <si>
    <t>PRICE</t>
  </si>
  <si>
    <t>MF Reg-Recycle</t>
  </si>
  <si>
    <t>Multi Family Unreg</t>
  </si>
  <si>
    <t>CommercialRecycling</t>
  </si>
  <si>
    <t>Regulated-Tariff 10</t>
  </si>
  <si>
    <t>COST</t>
  </si>
  <si>
    <t>MF Reg-Tariff 10-Recycle</t>
  </si>
  <si>
    <t>Average Cost</t>
  </si>
  <si>
    <t>Price</t>
  </si>
  <si>
    <t>Cost</t>
  </si>
  <si>
    <t>Roll Off Average Cost Analysis</t>
  </si>
  <si>
    <t>Total Tons</t>
  </si>
  <si>
    <t>Regulated Tons</t>
  </si>
  <si>
    <t>Unregulated Tons</t>
  </si>
  <si>
    <t>Total COGS</t>
  </si>
  <si>
    <t>Regulated Disposal</t>
  </si>
  <si>
    <t>Unregulated Disposal</t>
  </si>
  <si>
    <t>Regulated Disposal Cost/Ton</t>
  </si>
  <si>
    <t>Unregulated Disposal Cost/Ton</t>
  </si>
  <si>
    <t>Adj Factor</t>
  </si>
  <si>
    <t>Total Yds</t>
  </si>
  <si>
    <t>Current Disposal Rate</t>
  </si>
  <si>
    <t>Difference</t>
  </si>
  <si>
    <t>Per Lb Difference</t>
  </si>
  <si>
    <t>Current B&amp;O Tax Rate</t>
  </si>
  <si>
    <t>Current WUTC Fee Rate</t>
  </si>
  <si>
    <t>Total Revenue Tax</t>
  </si>
  <si>
    <t>RES/COMM</t>
  </si>
  <si>
    <t xml:space="preserve">PER </t>
  </si>
  <si>
    <t>PER</t>
  </si>
  <si>
    <t>PICKUP</t>
  </si>
  <si>
    <t>MONTH</t>
  </si>
  <si>
    <t>Impact</t>
  </si>
  <si>
    <t>Rev Tax</t>
  </si>
  <si>
    <t xml:space="preserve">MONTHLY </t>
  </si>
  <si>
    <t>CHANGE</t>
  </si>
  <si>
    <t>w/Disposal Increase</t>
  </si>
  <si>
    <t>Monthly Revenue</t>
  </si>
  <si>
    <t>Increase</t>
  </si>
  <si>
    <t>Annual Disposal</t>
  </si>
  <si>
    <t>Tariff 26</t>
  </si>
  <si>
    <t xml:space="preserve">  Commercial Subtotal-Tariff 26</t>
  </si>
  <si>
    <t xml:space="preserve">  Multi-Family Subtotal-Tariff 26</t>
  </si>
  <si>
    <t>1 yd  2xweek</t>
  </si>
  <si>
    <t>2 yd 5xweek</t>
  </si>
  <si>
    <t>2 yd 6xweek</t>
  </si>
  <si>
    <t>3 yd 4xweek</t>
  </si>
  <si>
    <t>4 yd 6xweek</t>
  </si>
  <si>
    <t>5 yd Comp Week</t>
  </si>
  <si>
    <t xml:space="preserve">20 Gal Toter 1xweek </t>
  </si>
  <si>
    <t>3 yd Comp Week (5x Comp)</t>
  </si>
  <si>
    <t>4 yd Comp Week (5x Comp)</t>
  </si>
  <si>
    <t>5 yd Comp Week (5x Comp)</t>
  </si>
  <si>
    <t>6 yd Comp Week (5x Comp)</t>
  </si>
  <si>
    <t>1 yd Comp Week (5x Comp)</t>
  </si>
  <si>
    <t>2 yd Comp Week (5x Comp)</t>
  </si>
  <si>
    <t>Allied Waste of Bellevue</t>
  </si>
  <si>
    <t>Jan 1, 2017 Disposal Rate</t>
  </si>
  <si>
    <t>64 Gal Toter Rental</t>
  </si>
  <si>
    <t>96 Gal Toter Rental</t>
  </si>
  <si>
    <t>Appendix A</t>
  </si>
  <si>
    <t>Appendix B</t>
  </si>
  <si>
    <t>32 Gallon Bear Proof Toter</t>
  </si>
  <si>
    <t>64 Gal Bear Proof Toter</t>
  </si>
  <si>
    <t>96 Gal Bear Proof Toter</t>
  </si>
  <si>
    <t>32 Gallon Bear Proof Toter Rental</t>
  </si>
  <si>
    <t>64 Gal Bear Proof Toter Rental</t>
  </si>
  <si>
    <t>96 Gal Bear Proof Toter Rental</t>
  </si>
  <si>
    <t>1.25 yd On Call</t>
  </si>
  <si>
    <t>1.25 yd 1xweek</t>
  </si>
  <si>
    <t>1.25 yd 2xweek</t>
  </si>
  <si>
    <t>1.25 yd 3xweek</t>
  </si>
  <si>
    <t>1.25 yd Rent</t>
  </si>
  <si>
    <t>Cost of Service</t>
  </si>
  <si>
    <t>Commercial - Tarriff 11</t>
  </si>
  <si>
    <t>AW of Bellevue</t>
  </si>
  <si>
    <t>Non-Residential Regulated (Commercial &amp; MF)</t>
  </si>
  <si>
    <t>Residential Regulated</t>
  </si>
  <si>
    <t>UNGREGULATED TOTAL</t>
  </si>
  <si>
    <t>TOTAL YW (Reg'd &amp; UnReg'd)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</si>
</sst>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0_);\(#,##0.000\)"/>
    <numFmt numFmtId="166" formatCode="_(* #,##0_);_(* \(#,##0\);_(* &quot;-&quot;??_);_(@_)"/>
    <numFmt numFmtId="167" formatCode="0.0"/>
    <numFmt numFmtId="168" formatCode="#,##0.0_);\(#,##0.0\)"/>
    <numFmt numFmtId="169" formatCode="0.000"/>
    <numFmt numFmtId="170" formatCode="0.0000%"/>
    <numFmt numFmtId="171" formatCode="_(&quot;$&quot;* #,##0_);_(&quot;$&quot;* \(#,##0\);_(&quot;$&quot;* &quot;-&quot;??_);_(@_)"/>
    <numFmt numFmtId="172" formatCode="_-&quot;$&quot;* #,##0.00_-;\-&quot;$&quot;* #,##0.00_-;_-&quot;$&quot;* &quot;-&quot;??_-;_-@_-"/>
    <numFmt numFmtId="173" formatCode="_-* #,##0.00_-;\-* #,##0.00_-;_-* &quot;-&quot;??_-;_-@_-"/>
    <numFmt numFmtId="174" formatCode="_-* #,##0_-;\-* #,##0_-;_-* &quot;-&quot;??_-;_-@_-"/>
    <numFmt numFmtId="175" formatCode="_-* #,##0.0_-;\-* #,##0.0_-;_-* &quot;-&quot;??_-;_-@_-"/>
    <numFmt numFmtId="176" formatCode="_-&quot;$&quot;* #,##0_-;\-&quot;$&quot;* #,##0_-;_-&quot;$&quot;* &quot;-&quot;??_-;_-@_-"/>
    <numFmt numFmtId="177" formatCode="_(&quot;$&quot;* #,##0.000_);_(&quot;$&quot;* \(#,##0.000\);_(&quot;$&quot;* &quot;-&quot;??_);_(@_)"/>
  </numFmts>
  <fonts count="43">
    <font>
      <sz val="8"/>
      <name val="Arial"/>
    </font>
    <font>
      <sz val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SWISS"/>
    </font>
    <font>
      <b/>
      <sz val="11"/>
      <color indexed="63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45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4" fontId="7" fillId="0" borderId="0"/>
    <xf numFmtId="0" fontId="8" fillId="0" borderId="0" applyNumberFormat="0" applyFill="0" applyBorder="0" applyAlignment="0" applyProtection="0"/>
    <xf numFmtId="1" fontId="7" fillId="0" borderId="0">
      <alignment horizontal="center"/>
    </xf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16" fillId="23" borderId="0" applyProtection="0"/>
    <xf numFmtId="0" fontId="7" fillId="0" borderId="0"/>
    <xf numFmtId="0" fontId="7" fillId="0" borderId="0"/>
    <xf numFmtId="0" fontId="1" fillId="24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19" fillId="0" borderId="0"/>
    <xf numFmtId="37" fontId="20" fillId="0" borderId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273">
    <xf numFmtId="0" fontId="0" fillId="0" borderId="0" xfId="0"/>
    <xf numFmtId="0" fontId="23" fillId="0" borderId="0" xfId="46" applyNumberFormat="1" applyFont="1" applyFill="1"/>
    <xf numFmtId="41" fontId="23" fillId="0" borderId="0" xfId="46" applyNumberFormat="1" applyFont="1" applyFill="1"/>
    <xf numFmtId="37" fontId="23" fillId="0" borderId="0" xfId="46" applyNumberFormat="1" applyFont="1" applyFill="1"/>
    <xf numFmtId="165" fontId="23" fillId="0" borderId="0" xfId="46" applyNumberFormat="1" applyFont="1" applyFill="1"/>
    <xf numFmtId="37" fontId="24" fillId="0" borderId="0" xfId="46" applyNumberFormat="1" applyFont="1" applyFill="1"/>
    <xf numFmtId="0" fontId="23" fillId="0" borderId="0" xfId="46" applyNumberFormat="1" applyFont="1" applyFill="1" applyAlignment="1">
      <alignment horizontal="center"/>
    </xf>
    <xf numFmtId="37" fontId="23" fillId="0" borderId="0" xfId="46" applyNumberFormat="1" applyFont="1" applyFill="1" applyAlignment="1">
      <alignment horizontal="center"/>
    </xf>
    <xf numFmtId="37" fontId="25" fillId="0" borderId="0" xfId="46" applyNumberFormat="1" applyFont="1" applyFill="1"/>
    <xf numFmtId="0" fontId="23" fillId="0" borderId="10" xfId="46" applyNumberFormat="1" applyFont="1" applyFill="1" applyBorder="1"/>
    <xf numFmtId="37" fontId="23" fillId="0" borderId="10" xfId="46" applyNumberFormat="1" applyFont="1" applyFill="1" applyBorder="1"/>
    <xf numFmtId="41" fontId="23" fillId="0" borderId="10" xfId="46" applyNumberFormat="1" applyFont="1" applyFill="1" applyBorder="1"/>
    <xf numFmtId="10" fontId="23" fillId="0" borderId="0" xfId="51" applyNumberFormat="1" applyFont="1" applyFill="1"/>
    <xf numFmtId="166" fontId="23" fillId="0" borderId="0" xfId="28" applyNumberFormat="1" applyFont="1" applyFill="1" applyAlignment="1">
      <alignment horizontal="center"/>
    </xf>
    <xf numFmtId="0" fontId="23" fillId="0" borderId="0" xfId="46" applyNumberFormat="1" applyFont="1" applyFill="1" applyBorder="1"/>
    <xf numFmtId="37" fontId="23" fillId="0" borderId="0" xfId="46" applyNumberFormat="1" applyFont="1" applyFill="1" applyBorder="1"/>
    <xf numFmtId="41" fontId="23" fillId="0" borderId="0" xfId="46" applyNumberFormat="1" applyFont="1" applyFill="1" applyBorder="1"/>
    <xf numFmtId="166" fontId="25" fillId="0" borderId="0" xfId="28" applyNumberFormat="1" applyFont="1" applyFill="1" applyAlignment="1">
      <alignment horizontal="center"/>
    </xf>
    <xf numFmtId="0" fontId="23" fillId="0" borderId="11" xfId="46" applyNumberFormat="1" applyFont="1" applyFill="1" applyBorder="1"/>
    <xf numFmtId="37" fontId="26" fillId="0" borderId="11" xfId="46" applyNumberFormat="1" applyFont="1" applyFill="1" applyBorder="1"/>
    <xf numFmtId="166" fontId="26" fillId="0" borderId="11" xfId="28" applyNumberFormat="1" applyFont="1" applyFill="1" applyBorder="1"/>
    <xf numFmtId="41" fontId="26" fillId="0" borderId="11" xfId="46" applyNumberFormat="1" applyFont="1" applyFill="1" applyBorder="1"/>
    <xf numFmtId="2" fontId="23" fillId="0" borderId="0" xfId="46" applyNumberFormat="1" applyFont="1" applyFill="1" applyAlignment="1">
      <alignment horizontal="center"/>
    </xf>
    <xf numFmtId="41" fontId="23" fillId="0" borderId="0" xfId="46" applyNumberFormat="1" applyFont="1" applyFill="1" applyAlignment="1">
      <alignment horizontal="center"/>
    </xf>
    <xf numFmtId="37" fontId="26" fillId="0" borderId="0" xfId="46" applyNumberFormat="1" applyFont="1" applyFill="1" applyBorder="1"/>
    <xf numFmtId="41" fontId="26" fillId="0" borderId="0" xfId="46" applyNumberFormat="1" applyFont="1" applyFill="1" applyBorder="1"/>
    <xf numFmtId="0" fontId="23" fillId="0" borderId="12" xfId="46" applyNumberFormat="1" applyFont="1" applyFill="1" applyBorder="1"/>
    <xf numFmtId="0" fontId="23" fillId="0" borderId="0" xfId="48" applyFont="1" applyFill="1" applyAlignment="1">
      <alignment horizontal="left"/>
    </xf>
    <xf numFmtId="3" fontId="24" fillId="0" borderId="0" xfId="48" applyNumberFormat="1" applyFont="1" applyFill="1" applyAlignment="1">
      <alignment horizontal="center"/>
    </xf>
    <xf numFmtId="43" fontId="24" fillId="0" borderId="0" xfId="28" applyFont="1" applyFill="1" applyProtection="1"/>
    <xf numFmtId="2" fontId="23" fillId="0" borderId="0" xfId="46" applyNumberFormat="1" applyFont="1" applyFill="1"/>
    <xf numFmtId="43" fontId="23" fillId="0" borderId="0" xfId="28" applyFont="1" applyFill="1"/>
    <xf numFmtId="4" fontId="24" fillId="0" borderId="0" xfId="48" applyNumberFormat="1" applyFont="1" applyFill="1" applyAlignment="1" applyProtection="1">
      <alignment horizontal="center"/>
    </xf>
    <xf numFmtId="0" fontId="24" fillId="0" borderId="0" xfId="46" applyFont="1" applyFill="1" applyAlignment="1">
      <alignment horizontal="center"/>
    </xf>
    <xf numFmtId="39" fontId="24" fillId="0" borderId="0" xfId="46" applyNumberFormat="1" applyFont="1" applyFill="1" applyAlignment="1" applyProtection="1">
      <alignment horizontal="center"/>
    </xf>
    <xf numFmtId="0" fontId="27" fillId="0" borderId="11" xfId="46" applyNumberFormat="1" applyFont="1" applyFill="1" applyBorder="1"/>
    <xf numFmtId="41" fontId="27" fillId="0" borderId="11" xfId="46" applyNumberFormat="1" applyFont="1" applyFill="1" applyBorder="1"/>
    <xf numFmtId="37" fontId="27" fillId="0" borderId="11" xfId="46" applyNumberFormat="1" applyFont="1" applyFill="1" applyBorder="1"/>
    <xf numFmtId="0" fontId="28" fillId="0" borderId="0" xfId="46" applyNumberFormat="1" applyFont="1" applyFill="1" applyAlignment="1">
      <alignment horizontal="center"/>
    </xf>
    <xf numFmtId="0" fontId="27" fillId="0" borderId="0" xfId="46" applyNumberFormat="1" applyFont="1" applyFill="1"/>
    <xf numFmtId="44" fontId="23" fillId="0" borderId="0" xfId="31" applyFont="1" applyFill="1"/>
    <xf numFmtId="0" fontId="23" fillId="0" borderId="0" xfId="0" applyFont="1" applyFill="1"/>
    <xf numFmtId="37" fontId="23" fillId="0" borderId="0" xfId="46" applyNumberFormat="1" applyFont="1" applyFill="1" applyAlignment="1" applyProtection="1">
      <alignment horizontal="center"/>
    </xf>
    <xf numFmtId="169" fontId="24" fillId="0" borderId="0" xfId="46" applyNumberFormat="1" applyFont="1" applyFill="1" applyProtection="1"/>
    <xf numFmtId="0" fontId="23" fillId="0" borderId="0" xfId="48" applyFont="1" applyFill="1" applyBorder="1" applyAlignment="1" applyProtection="1">
      <alignment horizontal="center"/>
    </xf>
    <xf numFmtId="0" fontId="27" fillId="0" borderId="13" xfId="48" applyFont="1" applyFill="1" applyBorder="1" applyProtection="1"/>
    <xf numFmtId="0" fontId="28" fillId="0" borderId="0" xfId="48" applyFont="1" applyFill="1" applyBorder="1" applyAlignment="1" applyProtection="1">
      <alignment horizontal="center"/>
    </xf>
    <xf numFmtId="0" fontId="23" fillId="0" borderId="0" xfId="48" applyFont="1" applyFill="1"/>
    <xf numFmtId="0" fontId="30" fillId="0" borderId="0" xfId="47" applyFont="1"/>
    <xf numFmtId="0" fontId="7" fillId="0" borderId="0" xfId="47"/>
    <xf numFmtId="0" fontId="7" fillId="0" borderId="0" xfId="47" applyAlignment="1">
      <alignment horizontal="right"/>
    </xf>
    <xf numFmtId="17" fontId="30" fillId="25" borderId="0" xfId="47" applyNumberFormat="1" applyFont="1" applyFill="1" applyAlignment="1">
      <alignment horizontal="center"/>
    </xf>
    <xf numFmtId="17" fontId="30" fillId="0" borderId="0" xfId="47" applyNumberFormat="1" applyFont="1" applyAlignment="1">
      <alignment horizontal="center"/>
    </xf>
    <xf numFmtId="0" fontId="30" fillId="0" borderId="0" xfId="47" applyFont="1" applyAlignment="1">
      <alignment horizontal="center"/>
    </xf>
    <xf numFmtId="0" fontId="31" fillId="0" borderId="0" xfId="47" applyFont="1" applyAlignment="1">
      <alignment horizontal="center"/>
    </xf>
    <xf numFmtId="0" fontId="32" fillId="0" borderId="0" xfId="47" applyFont="1"/>
    <xf numFmtId="17" fontId="31" fillId="0" borderId="0" xfId="47" applyNumberFormat="1" applyFont="1" applyAlignment="1">
      <alignment horizontal="center"/>
    </xf>
    <xf numFmtId="166" fontId="7" fillId="0" borderId="0" xfId="29" applyNumberFormat="1"/>
    <xf numFmtId="166" fontId="7" fillId="0" borderId="0" xfId="29" applyNumberFormat="1" applyFont="1"/>
    <xf numFmtId="166" fontId="7" fillId="0" borderId="14" xfId="29" applyNumberFormat="1" applyBorder="1"/>
    <xf numFmtId="0" fontId="29" fillId="0" borderId="0" xfId="47" applyFont="1"/>
    <xf numFmtId="37" fontId="29" fillId="0" borderId="0" xfId="30" applyNumberFormat="1" applyFont="1"/>
    <xf numFmtId="37" fontId="29" fillId="0" borderId="0" xfId="30" applyNumberFormat="1" applyFont="1" applyBorder="1"/>
    <xf numFmtId="166" fontId="33" fillId="0" borderId="0" xfId="29" applyNumberFormat="1" applyFont="1"/>
    <xf numFmtId="0" fontId="33" fillId="0" borderId="0" xfId="47" applyFont="1"/>
    <xf numFmtId="0" fontId="34" fillId="0" borderId="0" xfId="47" applyFont="1"/>
    <xf numFmtId="164" fontId="29" fillId="0" borderId="0" xfId="51" applyNumberFormat="1" applyFont="1"/>
    <xf numFmtId="43" fontId="30" fillId="0" borderId="0" xfId="47" applyNumberFormat="1" applyFont="1"/>
    <xf numFmtId="43" fontId="7" fillId="0" borderId="0" xfId="47" applyNumberFormat="1"/>
    <xf numFmtId="0" fontId="7" fillId="0" borderId="0" xfId="47" applyFont="1"/>
    <xf numFmtId="0" fontId="7" fillId="0" borderId="0" xfId="0" applyFont="1"/>
    <xf numFmtId="166" fontId="7" fillId="25" borderId="0" xfId="29" applyNumberFormat="1" applyFill="1"/>
    <xf numFmtId="10" fontId="7" fillId="0" borderId="0" xfId="51" applyNumberFormat="1" applyFont="1"/>
    <xf numFmtId="43" fontId="7" fillId="0" borderId="0" xfId="29" applyNumberFormat="1"/>
    <xf numFmtId="166" fontId="7" fillId="0" borderId="0" xfId="29" applyNumberFormat="1" applyFont="1" applyFill="1"/>
    <xf numFmtId="0" fontId="7" fillId="0" borderId="15" xfId="47" applyBorder="1"/>
    <xf numFmtId="0" fontId="7" fillId="0" borderId="10" xfId="47" applyBorder="1"/>
    <xf numFmtId="166" fontId="7" fillId="25" borderId="10" xfId="29" applyNumberFormat="1" applyFill="1" applyBorder="1"/>
    <xf numFmtId="166" fontId="7" fillId="0" borderId="16" xfId="29" applyNumberFormat="1" applyBorder="1"/>
    <xf numFmtId="0" fontId="7" fillId="0" borderId="0" xfId="47" applyFill="1"/>
    <xf numFmtId="0" fontId="7" fillId="0" borderId="0" xfId="47" applyFont="1" applyFill="1" applyBorder="1"/>
    <xf numFmtId="0" fontId="7" fillId="0" borderId="0" xfId="47" applyFill="1" applyBorder="1"/>
    <xf numFmtId="166" fontId="7" fillId="0" borderId="0" xfId="29" applyNumberFormat="1" applyFill="1" applyBorder="1"/>
    <xf numFmtId="166" fontId="7" fillId="0" borderId="0" xfId="29" applyNumberFormat="1" applyFill="1"/>
    <xf numFmtId="43" fontId="7" fillId="0" borderId="0" xfId="29" applyNumberFormat="1" applyFill="1"/>
    <xf numFmtId="0" fontId="7" fillId="0" borderId="17" xfId="47" applyFont="1" applyBorder="1"/>
    <xf numFmtId="0" fontId="7" fillId="0" borderId="14" xfId="47" applyBorder="1"/>
    <xf numFmtId="166" fontId="7" fillId="25" borderId="14" xfId="29" applyNumberFormat="1" applyFill="1" applyBorder="1"/>
    <xf numFmtId="166" fontId="7" fillId="0" borderId="18" xfId="29" applyNumberFormat="1" applyBorder="1"/>
    <xf numFmtId="43" fontId="7" fillId="0" borderId="0" xfId="29"/>
    <xf numFmtId="0" fontId="30" fillId="0" borderId="19" xfId="47" applyFont="1" applyBorder="1"/>
    <xf numFmtId="0" fontId="30" fillId="0" borderId="20" xfId="47" applyFont="1" applyBorder="1"/>
    <xf numFmtId="166" fontId="30" fillId="0" borderId="20" xfId="29" applyNumberFormat="1" applyFont="1" applyBorder="1"/>
    <xf numFmtId="166" fontId="30" fillId="0" borderId="21" xfId="29" applyNumberFormat="1" applyFont="1" applyBorder="1"/>
    <xf numFmtId="166" fontId="7" fillId="0" borderId="0" xfId="47" applyNumberFormat="1"/>
    <xf numFmtId="166" fontId="7" fillId="25" borderId="0" xfId="29" applyNumberFormat="1" applyFont="1" applyFill="1"/>
    <xf numFmtId="0" fontId="7" fillId="0" borderId="17" xfId="47" applyBorder="1"/>
    <xf numFmtId="174" fontId="7" fillId="0" borderId="0" xfId="30" applyNumberFormat="1"/>
    <xf numFmtId="166" fontId="30" fillId="25" borderId="20" xfId="29" applyNumberFormat="1" applyFont="1" applyFill="1" applyBorder="1"/>
    <xf numFmtId="166" fontId="30" fillId="0" borderId="20" xfId="47" applyNumberFormat="1" applyFont="1" applyBorder="1"/>
    <xf numFmtId="166" fontId="30" fillId="0" borderId="21" xfId="47" applyNumberFormat="1" applyFont="1" applyBorder="1"/>
    <xf numFmtId="166" fontId="30" fillId="0" borderId="14" xfId="29" applyNumberFormat="1" applyFont="1" applyBorder="1"/>
    <xf numFmtId="166" fontId="30" fillId="0" borderId="0" xfId="29" applyNumberFormat="1" applyFont="1" applyBorder="1"/>
    <xf numFmtId="173" fontId="7" fillId="0" borderId="0" xfId="30" applyFill="1"/>
    <xf numFmtId="173" fontId="30" fillId="0" borderId="0" xfId="30" applyFont="1"/>
    <xf numFmtId="173" fontId="7" fillId="26" borderId="0" xfId="30" applyFill="1"/>
    <xf numFmtId="44" fontId="7" fillId="0" borderId="0" xfId="33" applyNumberFormat="1" applyFill="1"/>
    <xf numFmtId="44" fontId="30" fillId="0" borderId="0" xfId="33" applyNumberFormat="1" applyFont="1"/>
    <xf numFmtId="44" fontId="7" fillId="0" borderId="14" xfId="33" applyNumberFormat="1" applyBorder="1"/>
    <xf numFmtId="44" fontId="7" fillId="0" borderId="0" xfId="33" applyNumberFormat="1"/>
    <xf numFmtId="44" fontId="7" fillId="0" borderId="0" xfId="32"/>
    <xf numFmtId="44" fontId="30" fillId="0" borderId="0" xfId="33" applyNumberFormat="1" applyFont="1" applyFill="1"/>
    <xf numFmtId="166" fontId="7" fillId="0" borderId="0" xfId="29" applyNumberFormat="1" applyBorder="1"/>
    <xf numFmtId="166" fontId="30" fillId="25" borderId="0" xfId="29" applyNumberFormat="1" applyFont="1" applyFill="1"/>
    <xf numFmtId="166" fontId="30" fillId="0" borderId="0" xfId="29" applyNumberFormat="1" applyFont="1"/>
    <xf numFmtId="166" fontId="30" fillId="0" borderId="0" xfId="29" applyNumberFormat="1" applyFont="1" applyFill="1" applyBorder="1"/>
    <xf numFmtId="166" fontId="30" fillId="0" borderId="0" xfId="47" applyNumberFormat="1" applyFont="1"/>
    <xf numFmtId="166" fontId="29" fillId="0" borderId="0" xfId="29" applyNumberFormat="1" applyFont="1"/>
    <xf numFmtId="166" fontId="7" fillId="0" borderId="0" xfId="47" applyNumberFormat="1" applyFill="1"/>
    <xf numFmtId="166" fontId="30" fillId="0" borderId="13" xfId="29" applyNumberFormat="1" applyFont="1" applyBorder="1"/>
    <xf numFmtId="176" fontId="7" fillId="0" borderId="0" xfId="33" applyNumberFormat="1"/>
    <xf numFmtId="17" fontId="30" fillId="0" borderId="13" xfId="47" quotePrefix="1" applyNumberFormat="1" applyFont="1" applyBorder="1" applyAlignment="1">
      <alignment horizontal="center"/>
    </xf>
    <xf numFmtId="0" fontId="30" fillId="0" borderId="13" xfId="47" applyFont="1" applyBorder="1" applyAlignment="1">
      <alignment horizontal="center"/>
    </xf>
    <xf numFmtId="173" fontId="7" fillId="0" borderId="0" xfId="30"/>
    <xf numFmtId="17" fontId="7" fillId="0" borderId="0" xfId="47" applyNumberFormat="1"/>
    <xf numFmtId="175" fontId="7" fillId="0" borderId="0" xfId="30" applyNumberFormat="1"/>
    <xf numFmtId="0" fontId="7" fillId="0" borderId="0" xfId="47" applyFont="1" applyBorder="1" applyAlignment="1">
      <alignment horizontal="right"/>
    </xf>
    <xf numFmtId="176" fontId="7" fillId="0" borderId="0" xfId="33" applyNumberFormat="1" applyBorder="1"/>
    <xf numFmtId="0" fontId="7" fillId="0" borderId="13" xfId="47" applyFont="1" applyBorder="1" applyAlignment="1">
      <alignment horizontal="right"/>
    </xf>
    <xf numFmtId="176" fontId="7" fillId="0" borderId="13" xfId="33" applyNumberFormat="1" applyBorder="1"/>
    <xf numFmtId="172" fontId="7" fillId="0" borderId="0" xfId="33"/>
    <xf numFmtId="0" fontId="23" fillId="0" borderId="0" xfId="46" applyNumberFormat="1" applyFont="1" applyFill="1" applyAlignment="1">
      <alignment horizontal="right"/>
    </xf>
    <xf numFmtId="0" fontId="23" fillId="0" borderId="0" xfId="46" applyNumberFormat="1" applyFont="1" applyFill="1" applyBorder="1" applyAlignment="1">
      <alignment horizontal="right"/>
    </xf>
    <xf numFmtId="0" fontId="23" fillId="0" borderId="22" xfId="46" applyNumberFormat="1" applyFont="1" applyFill="1" applyBorder="1"/>
    <xf numFmtId="0" fontId="23" fillId="0" borderId="23" xfId="46" applyNumberFormat="1" applyFont="1" applyFill="1" applyBorder="1" applyAlignment="1">
      <alignment horizontal="center"/>
    </xf>
    <xf numFmtId="0" fontId="23" fillId="0" borderId="24" xfId="46" applyNumberFormat="1" applyFont="1" applyFill="1" applyBorder="1"/>
    <xf numFmtId="0" fontId="23" fillId="27" borderId="22" xfId="46" applyNumberFormat="1" applyFont="1" applyFill="1" applyBorder="1"/>
    <xf numFmtId="0" fontId="23" fillId="27" borderId="23" xfId="46" applyNumberFormat="1" applyFont="1" applyFill="1" applyBorder="1" applyAlignment="1">
      <alignment horizontal="center"/>
    </xf>
    <xf numFmtId="0" fontId="23" fillId="27" borderId="24" xfId="46" applyNumberFormat="1" applyFont="1" applyFill="1" applyBorder="1"/>
    <xf numFmtId="0" fontId="27" fillId="27" borderId="23" xfId="46" applyNumberFormat="1" applyFont="1" applyFill="1" applyBorder="1" applyAlignment="1">
      <alignment horizontal="center"/>
    </xf>
    <xf numFmtId="0" fontId="27" fillId="27" borderId="24" xfId="46" applyNumberFormat="1" applyFont="1" applyFill="1" applyBorder="1" applyAlignment="1">
      <alignment horizontal="center"/>
    </xf>
    <xf numFmtId="0" fontId="23" fillId="0" borderId="24" xfId="46" applyNumberFormat="1" applyFont="1" applyFill="1" applyBorder="1" applyAlignment="1">
      <alignment horizontal="center"/>
    </xf>
    <xf numFmtId="0" fontId="27" fillId="0" borderId="0" xfId="46" applyNumberFormat="1" applyFont="1" applyFill="1" applyBorder="1"/>
    <xf numFmtId="0" fontId="23" fillId="0" borderId="16" xfId="46" applyNumberFormat="1" applyFont="1" applyFill="1" applyBorder="1"/>
    <xf numFmtId="0" fontId="23" fillId="0" borderId="25" xfId="46" applyNumberFormat="1" applyFont="1" applyFill="1" applyBorder="1"/>
    <xf numFmtId="0" fontId="23" fillId="0" borderId="26" xfId="46" applyNumberFormat="1" applyFont="1" applyFill="1" applyBorder="1"/>
    <xf numFmtId="0" fontId="27" fillId="0" borderId="26" xfId="46" applyNumberFormat="1" applyFont="1" applyFill="1" applyBorder="1"/>
    <xf numFmtId="10" fontId="23" fillId="0" borderId="25" xfId="51" applyNumberFormat="1" applyFont="1" applyFill="1" applyBorder="1"/>
    <xf numFmtId="37" fontId="23" fillId="0" borderId="20" xfId="46" applyNumberFormat="1" applyFont="1" applyFill="1" applyBorder="1"/>
    <xf numFmtId="3" fontId="39" fillId="29" borderId="27" xfId="46" applyNumberFormat="1" applyFont="1" applyFill="1" applyBorder="1"/>
    <xf numFmtId="37" fontId="39" fillId="29" borderId="27" xfId="46" applyNumberFormat="1" applyFont="1" applyFill="1" applyBorder="1"/>
    <xf numFmtId="166" fontId="39" fillId="29" borderId="27" xfId="28" applyNumberFormat="1" applyFont="1" applyFill="1" applyBorder="1" applyAlignment="1">
      <alignment horizontal="center"/>
    </xf>
    <xf numFmtId="37" fontId="39" fillId="29" borderId="28" xfId="46" applyNumberFormat="1" applyFont="1" applyFill="1" applyBorder="1" applyAlignment="1"/>
    <xf numFmtId="166" fontId="39" fillId="29" borderId="28" xfId="28" applyNumberFormat="1" applyFont="1" applyFill="1" applyBorder="1" applyAlignment="1">
      <alignment horizontal="center"/>
    </xf>
    <xf numFmtId="37" fontId="39" fillId="29" borderId="28" xfId="46" applyNumberFormat="1" applyFont="1" applyFill="1" applyBorder="1"/>
    <xf numFmtId="165" fontId="39" fillId="29" borderId="27" xfId="46" applyNumberFormat="1" applyFont="1" applyFill="1" applyBorder="1"/>
    <xf numFmtId="43" fontId="39" fillId="29" borderId="27" xfId="28" applyFont="1" applyFill="1" applyBorder="1"/>
    <xf numFmtId="43" fontId="39" fillId="29" borderId="27" xfId="46" applyNumberFormat="1" applyFont="1" applyFill="1" applyBorder="1"/>
    <xf numFmtId="170" fontId="39" fillId="30" borderId="27" xfId="46" applyNumberFormat="1" applyFont="1" applyFill="1" applyBorder="1"/>
    <xf numFmtId="44" fontId="39" fillId="30" borderId="29" xfId="31" applyFont="1" applyFill="1" applyBorder="1"/>
    <xf numFmtId="3" fontId="39" fillId="30" borderId="28" xfId="48" applyNumberFormat="1" applyFont="1" applyFill="1" applyBorder="1" applyAlignment="1">
      <alignment horizontal="center"/>
    </xf>
    <xf numFmtId="0" fontId="39" fillId="30" borderId="30" xfId="46" applyNumberFormat="1" applyFont="1" applyFill="1" applyBorder="1"/>
    <xf numFmtId="0" fontId="39" fillId="30" borderId="27" xfId="46" applyNumberFormat="1" applyFont="1" applyFill="1" applyBorder="1"/>
    <xf numFmtId="44" fontId="39" fillId="30" borderId="28" xfId="31" applyFont="1" applyFill="1" applyBorder="1" applyAlignment="1">
      <alignment horizontal="center"/>
    </xf>
    <xf numFmtId="37" fontId="39" fillId="29" borderId="30" xfId="46" applyNumberFormat="1" applyFont="1" applyFill="1" applyBorder="1"/>
    <xf numFmtId="37" fontId="39" fillId="29" borderId="29" xfId="46" applyNumberFormat="1" applyFont="1" applyFill="1" applyBorder="1"/>
    <xf numFmtId="0" fontId="39" fillId="30" borderId="27" xfId="46" applyNumberFormat="1" applyFont="1" applyFill="1" applyBorder="1" applyAlignment="1">
      <alignment horizontal="center"/>
    </xf>
    <xf numFmtId="41" fontId="39" fillId="29" borderId="27" xfId="46" applyNumberFormat="1" applyFont="1" applyFill="1" applyBorder="1"/>
    <xf numFmtId="41" fontId="39" fillId="29" borderId="28" xfId="46" applyNumberFormat="1" applyFont="1" applyFill="1" applyBorder="1"/>
    <xf numFmtId="0" fontId="39" fillId="29" borderId="31" xfId="46" applyNumberFormat="1" applyFont="1" applyFill="1" applyBorder="1"/>
    <xf numFmtId="0" fontId="39" fillId="29" borderId="32" xfId="46" applyNumberFormat="1" applyFont="1" applyFill="1" applyBorder="1"/>
    <xf numFmtId="0" fontId="39" fillId="29" borderId="29" xfId="46" applyNumberFormat="1" applyFont="1" applyFill="1" applyBorder="1"/>
    <xf numFmtId="0" fontId="39" fillId="29" borderId="33" xfId="46" applyNumberFormat="1" applyFont="1" applyFill="1" applyBorder="1"/>
    <xf numFmtId="2" fontId="39" fillId="29" borderId="27" xfId="46" applyNumberFormat="1" applyFont="1" applyFill="1" applyBorder="1"/>
    <xf numFmtId="0" fontId="39" fillId="29" borderId="27" xfId="46" applyNumberFormat="1" applyFont="1" applyFill="1" applyBorder="1"/>
    <xf numFmtId="0" fontId="39" fillId="29" borderId="28" xfId="46" applyNumberFormat="1" applyFont="1" applyFill="1" applyBorder="1"/>
    <xf numFmtId="44" fontId="39" fillId="29" borderId="29" xfId="31" applyFont="1" applyFill="1" applyBorder="1"/>
    <xf numFmtId="44" fontId="39" fillId="29" borderId="27" xfId="31" applyFont="1" applyFill="1" applyBorder="1"/>
    <xf numFmtId="44" fontId="39" fillId="29" borderId="27" xfId="46" applyNumberFormat="1" applyFont="1" applyFill="1" applyBorder="1"/>
    <xf numFmtId="44" fontId="40" fillId="29" borderId="27" xfId="46" applyNumberFormat="1" applyFont="1" applyFill="1" applyBorder="1"/>
    <xf numFmtId="171" fontId="39" fillId="29" borderId="29" xfId="31" applyNumberFormat="1" applyFont="1" applyFill="1" applyBorder="1"/>
    <xf numFmtId="171" fontId="39" fillId="29" borderId="27" xfId="46" applyNumberFormat="1" applyFont="1" applyFill="1" applyBorder="1"/>
    <xf numFmtId="171" fontId="39" fillId="29" borderId="27" xfId="31" applyNumberFormat="1" applyFont="1" applyFill="1" applyBorder="1"/>
    <xf numFmtId="0" fontId="39" fillId="29" borderId="30" xfId="46" applyNumberFormat="1" applyFont="1" applyFill="1" applyBorder="1"/>
    <xf numFmtId="0" fontId="39" fillId="29" borderId="34" xfId="46" applyNumberFormat="1" applyFont="1" applyFill="1" applyBorder="1"/>
    <xf numFmtId="0" fontId="39" fillId="29" borderId="35" xfId="46" applyNumberFormat="1" applyFont="1" applyFill="1" applyBorder="1"/>
    <xf numFmtId="41" fontId="39" fillId="29" borderId="27" xfId="28" applyNumberFormat="1" applyFont="1" applyFill="1" applyBorder="1"/>
    <xf numFmtId="170" fontId="23" fillId="25" borderId="23" xfId="46" applyNumberFormat="1" applyFont="1" applyFill="1" applyBorder="1"/>
    <xf numFmtId="170" fontId="39" fillId="29" borderId="27" xfId="46" applyNumberFormat="1" applyFont="1" applyFill="1" applyBorder="1"/>
    <xf numFmtId="0" fontId="23" fillId="27" borderId="23" xfId="46" applyNumberFormat="1" applyFont="1" applyFill="1" applyBorder="1"/>
    <xf numFmtId="177" fontId="39" fillId="29" borderId="27" xfId="31" applyNumberFormat="1" applyFont="1" applyFill="1" applyBorder="1"/>
    <xf numFmtId="0" fontId="39" fillId="30" borderId="30" xfId="46" applyFont="1" applyFill="1" applyBorder="1" applyAlignment="1">
      <alignment horizontal="center"/>
    </xf>
    <xf numFmtId="0" fontId="39" fillId="30" borderId="29" xfId="46" applyFont="1" applyFill="1" applyBorder="1" applyAlignment="1">
      <alignment horizontal="center"/>
    </xf>
    <xf numFmtId="0" fontId="39" fillId="30" borderId="28" xfId="46" applyFont="1" applyFill="1" applyBorder="1" applyAlignment="1">
      <alignment horizontal="center"/>
    </xf>
    <xf numFmtId="166" fontId="39" fillId="30" borderId="28" xfId="46" applyNumberFormat="1" applyFont="1" applyFill="1" applyBorder="1"/>
    <xf numFmtId="37" fontId="41" fillId="29" borderId="28" xfId="48" applyNumberFormat="1" applyFont="1" applyFill="1" applyBorder="1" applyAlignment="1" applyProtection="1"/>
    <xf numFmtId="0" fontId="39" fillId="30" borderId="28" xfId="46" applyNumberFormat="1" applyFont="1" applyFill="1" applyBorder="1"/>
    <xf numFmtId="166" fontId="39" fillId="29" borderId="27" xfId="28" applyNumberFormat="1" applyFont="1" applyFill="1" applyBorder="1"/>
    <xf numFmtId="43" fontId="39" fillId="29" borderId="28" xfId="28" applyFont="1" applyFill="1" applyBorder="1"/>
    <xf numFmtId="166" fontId="39" fillId="29" borderId="28" xfId="28" applyNumberFormat="1" applyFont="1" applyFill="1" applyBorder="1"/>
    <xf numFmtId="0" fontId="39" fillId="29" borderId="27" xfId="46" applyFont="1" applyFill="1" applyBorder="1" applyAlignment="1">
      <alignment horizontal="center"/>
    </xf>
    <xf numFmtId="1" fontId="39" fillId="29" borderId="28" xfId="46" applyNumberFormat="1" applyFont="1" applyFill="1" applyBorder="1" applyAlignment="1">
      <alignment horizontal="center"/>
    </xf>
    <xf numFmtId="0" fontId="39" fillId="29" borderId="28" xfId="46" applyFont="1" applyFill="1" applyBorder="1" applyAlignment="1">
      <alignment horizontal="center"/>
    </xf>
    <xf numFmtId="44" fontId="39" fillId="30" borderId="28" xfId="31" applyFont="1" applyFill="1" applyBorder="1" applyAlignment="1" applyProtection="1">
      <alignment horizontal="center"/>
    </xf>
    <xf numFmtId="43" fontId="39" fillId="29" borderId="30" xfId="28" applyFont="1" applyFill="1" applyBorder="1" applyProtection="1"/>
    <xf numFmtId="43" fontId="39" fillId="29" borderId="27" xfId="28" applyFont="1" applyFill="1" applyBorder="1" applyProtection="1"/>
    <xf numFmtId="43" fontId="39" fillId="29" borderId="28" xfId="28" applyFont="1" applyFill="1" applyBorder="1" applyProtection="1"/>
    <xf numFmtId="168" fontId="39" fillId="29" borderId="29" xfId="46" applyNumberFormat="1" applyFont="1" applyFill="1" applyBorder="1"/>
    <xf numFmtId="168" fontId="39" fillId="29" borderId="27" xfId="46" applyNumberFormat="1" applyFont="1" applyFill="1" applyBorder="1"/>
    <xf numFmtId="2" fontId="39" fillId="29" borderId="28" xfId="46" applyNumberFormat="1" applyFont="1" applyFill="1" applyBorder="1"/>
    <xf numFmtId="164" fontId="39" fillId="29" borderId="27" xfId="51" applyNumberFormat="1" applyFont="1" applyFill="1" applyBorder="1"/>
    <xf numFmtId="169" fontId="39" fillId="29" borderId="27" xfId="46" applyNumberFormat="1" applyFont="1" applyFill="1" applyBorder="1" applyProtection="1"/>
    <xf numFmtId="171" fontId="39" fillId="29" borderId="28" xfId="46" applyNumberFormat="1" applyFont="1" applyFill="1" applyBorder="1"/>
    <xf numFmtId="1" fontId="39" fillId="30" borderId="28" xfId="46" applyNumberFormat="1" applyFont="1" applyFill="1" applyBorder="1"/>
    <xf numFmtId="37" fontId="39" fillId="30" borderId="28" xfId="46" applyNumberFormat="1" applyFont="1" applyFill="1" applyBorder="1" applyAlignment="1" applyProtection="1">
      <alignment horizontal="center"/>
    </xf>
    <xf numFmtId="167" fontId="39" fillId="29" borderId="28" xfId="46" applyNumberFormat="1" applyFont="1" applyFill="1" applyBorder="1" applyAlignment="1">
      <alignment horizontal="center"/>
    </xf>
    <xf numFmtId="0" fontId="39" fillId="30" borderId="32" xfId="46" applyNumberFormat="1" applyFont="1" applyFill="1" applyBorder="1"/>
    <xf numFmtId="37" fontId="39" fillId="29" borderId="32" xfId="46" applyNumberFormat="1" applyFont="1" applyFill="1" applyBorder="1" applyAlignment="1" applyProtection="1">
      <alignment horizontal="center"/>
    </xf>
    <xf numFmtId="37" fontId="39" fillId="29" borderId="30" xfId="46" applyNumberFormat="1" applyFont="1" applyFill="1" applyBorder="1" applyAlignment="1" applyProtection="1">
      <alignment horizontal="center"/>
    </xf>
    <xf numFmtId="0" fontId="40" fillId="29" borderId="27" xfId="46" applyNumberFormat="1" applyFont="1" applyFill="1" applyBorder="1"/>
    <xf numFmtId="37" fontId="40" fillId="29" borderId="27" xfId="46" applyNumberFormat="1" applyFont="1" applyFill="1" applyBorder="1"/>
    <xf numFmtId="37" fontId="39" fillId="29" borderId="35" xfId="46" applyNumberFormat="1" applyFont="1" applyFill="1" applyBorder="1"/>
    <xf numFmtId="0" fontId="40" fillId="30" borderId="27" xfId="46" applyNumberFormat="1" applyFont="1" applyFill="1" applyBorder="1"/>
    <xf numFmtId="0" fontId="39" fillId="29" borderId="30" xfId="46" applyFont="1" applyFill="1" applyBorder="1" applyAlignment="1">
      <alignment horizontal="center"/>
    </xf>
    <xf numFmtId="0" fontId="40" fillId="29" borderId="28" xfId="46" applyNumberFormat="1" applyFont="1" applyFill="1" applyBorder="1"/>
    <xf numFmtId="0" fontId="40" fillId="29" borderId="35" xfId="46" applyNumberFormat="1" applyFont="1" applyFill="1" applyBorder="1"/>
    <xf numFmtId="0" fontId="40" fillId="29" borderId="34" xfId="46" applyNumberFormat="1" applyFont="1" applyFill="1" applyBorder="1"/>
    <xf numFmtId="0" fontId="39" fillId="30" borderId="31" xfId="46" applyNumberFormat="1" applyFont="1" applyFill="1" applyBorder="1"/>
    <xf numFmtId="39" fontId="39" fillId="30" borderId="30" xfId="46" applyNumberFormat="1" applyFont="1" applyFill="1" applyBorder="1" applyAlignment="1" applyProtection="1">
      <alignment horizontal="center"/>
    </xf>
    <xf numFmtId="0" fontId="27" fillId="0" borderId="0" xfId="48" applyFont="1" applyFill="1" applyAlignment="1">
      <alignment horizontal="left"/>
    </xf>
    <xf numFmtId="44" fontId="39" fillId="30" borderId="30" xfId="31" applyFont="1" applyFill="1" applyBorder="1" applyAlignment="1">
      <alignment horizontal="center"/>
    </xf>
    <xf numFmtId="44" fontId="39" fillId="30" borderId="27" xfId="31" applyFont="1" applyFill="1" applyBorder="1" applyAlignment="1">
      <alignment horizontal="center"/>
    </xf>
    <xf numFmtId="0" fontId="39" fillId="0" borderId="27" xfId="46" applyNumberFormat="1" applyFont="1" applyFill="1" applyBorder="1"/>
    <xf numFmtId="44" fontId="39" fillId="30" borderId="34" xfId="31" applyFont="1" applyFill="1" applyBorder="1" applyAlignment="1" applyProtection="1">
      <alignment horizontal="center"/>
    </xf>
    <xf numFmtId="44" fontId="39" fillId="30" borderId="28" xfId="31" applyFont="1" applyFill="1" applyBorder="1"/>
    <xf numFmtId="0" fontId="28" fillId="0" borderId="0" xfId="46" applyNumberFormat="1" applyFont="1" applyFill="1" applyAlignment="1">
      <alignment horizontal="left"/>
    </xf>
    <xf numFmtId="37" fontId="39" fillId="0" borderId="27" xfId="46" applyNumberFormat="1" applyFont="1" applyFill="1" applyBorder="1"/>
    <xf numFmtId="169" fontId="39" fillId="0" borderId="35" xfId="46" applyNumberFormat="1" applyFont="1" applyFill="1" applyBorder="1" applyProtection="1"/>
    <xf numFmtId="41" fontId="39" fillId="0" borderId="27" xfId="46" applyNumberFormat="1" applyFont="1" applyFill="1" applyBorder="1"/>
    <xf numFmtId="2" fontId="39" fillId="0" borderId="27" xfId="46" applyNumberFormat="1" applyFont="1" applyFill="1" applyBorder="1"/>
    <xf numFmtId="37" fontId="39" fillId="0" borderId="0" xfId="46" applyNumberFormat="1" applyFont="1" applyFill="1" applyBorder="1" applyAlignment="1" applyProtection="1">
      <alignment horizontal="center"/>
    </xf>
    <xf numFmtId="44" fontId="42" fillId="29" borderId="27" xfId="33" applyNumberFormat="1" applyFont="1" applyFill="1" applyBorder="1"/>
    <xf numFmtId="44" fontId="7" fillId="0" borderId="0" xfId="33" applyNumberFormat="1" applyBorder="1"/>
    <xf numFmtId="37" fontId="39" fillId="0" borderId="0" xfId="46" applyNumberFormat="1" applyFont="1" applyFill="1" applyBorder="1"/>
    <xf numFmtId="41" fontId="39" fillId="0" borderId="0" xfId="46" applyNumberFormat="1" applyFont="1" applyFill="1" applyBorder="1"/>
    <xf numFmtId="2" fontId="39" fillId="0" borderId="0" xfId="46" applyNumberFormat="1" applyFont="1" applyFill="1" applyBorder="1"/>
    <xf numFmtId="0" fontId="39" fillId="0" borderId="0" xfId="46" applyNumberFormat="1" applyFont="1" applyFill="1" applyBorder="1"/>
    <xf numFmtId="44" fontId="39" fillId="0" borderId="0" xfId="31" applyFont="1" applyFill="1" applyBorder="1"/>
    <xf numFmtId="44" fontId="39" fillId="0" borderId="0" xfId="46" applyNumberFormat="1" applyFont="1" applyFill="1" applyBorder="1"/>
    <xf numFmtId="171" fontId="39" fillId="0" borderId="0" xfId="46" applyNumberFormat="1" applyFont="1" applyFill="1" applyBorder="1"/>
    <xf numFmtId="171" fontId="39" fillId="0" borderId="0" xfId="31" applyNumberFormat="1" applyFont="1" applyFill="1" applyBorder="1"/>
    <xf numFmtId="164" fontId="39" fillId="0" borderId="0" xfId="51" applyNumberFormat="1" applyFont="1" applyFill="1" applyBorder="1"/>
    <xf numFmtId="1" fontId="39" fillId="30" borderId="28" xfId="46" applyNumberFormat="1" applyFont="1" applyFill="1" applyBorder="1" applyAlignment="1">
      <alignment horizontal="center"/>
    </xf>
    <xf numFmtId="1" fontId="39" fillId="29" borderId="27" xfId="46" applyNumberFormat="1" applyFont="1" applyFill="1" applyBorder="1" applyAlignment="1">
      <alignment horizontal="center"/>
    </xf>
    <xf numFmtId="1" fontId="39" fillId="29" borderId="33" xfId="46" applyNumberFormat="1" applyFont="1" applyFill="1" applyBorder="1"/>
    <xf numFmtId="0" fontId="23" fillId="0" borderId="0" xfId="46" applyNumberFormat="1" applyFont="1" applyFill="1" applyBorder="1" applyAlignment="1">
      <alignment horizontal="center"/>
    </xf>
    <xf numFmtId="166" fontId="39" fillId="0" borderId="0" xfId="28" applyNumberFormat="1" applyFont="1" applyFill="1" applyBorder="1"/>
    <xf numFmtId="43" fontId="39" fillId="0" borderId="0" xfId="28" applyFont="1" applyFill="1" applyBorder="1"/>
    <xf numFmtId="43" fontId="39" fillId="0" borderId="0" xfId="46" applyNumberFormat="1" applyFont="1" applyFill="1" applyBorder="1"/>
    <xf numFmtId="174" fontId="7" fillId="0" borderId="0" xfId="30" applyNumberFormat="1" applyFont="1" applyFill="1" applyBorder="1" applyAlignment="1"/>
    <xf numFmtId="10" fontId="7" fillId="0" borderId="0" xfId="51" applyNumberFormat="1" applyFont="1" applyBorder="1"/>
    <xf numFmtId="166" fontId="7" fillId="0" borderId="0" xfId="47" applyNumberFormat="1" applyBorder="1"/>
    <xf numFmtId="166" fontId="30" fillId="0" borderId="0" xfId="47" applyNumberFormat="1" applyFont="1" applyBorder="1"/>
    <xf numFmtId="0" fontId="30" fillId="0" borderId="0" xfId="47" applyFont="1" applyBorder="1"/>
    <xf numFmtId="9" fontId="7" fillId="0" borderId="0" xfId="51" applyFont="1"/>
    <xf numFmtId="173" fontId="33" fillId="28" borderId="0" xfId="30" applyFont="1" applyFill="1" applyBorder="1"/>
    <xf numFmtId="173" fontId="35" fillId="28" borderId="0" xfId="30" applyFont="1" applyFill="1" applyBorder="1"/>
    <xf numFmtId="164" fontId="35" fillId="28" borderId="0" xfId="51" applyNumberFormat="1" applyFont="1" applyFill="1" applyBorder="1"/>
    <xf numFmtId="173" fontId="7" fillId="0" borderId="0" xfId="30" applyBorder="1"/>
    <xf numFmtId="174" fontId="7" fillId="0" borderId="0" xfId="47" applyNumberFormat="1"/>
    <xf numFmtId="176" fontId="7" fillId="0" borderId="0" xfId="47" applyNumberFormat="1"/>
    <xf numFmtId="176" fontId="7" fillId="0" borderId="36" xfId="47" applyNumberFormat="1" applyBorder="1"/>
    <xf numFmtId="0" fontId="30" fillId="0" borderId="0" xfId="47" applyFont="1" applyAlignment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183 rate case disposal inc comm values-7.16.04" xfId="29"/>
    <cellStyle name="Comma_Eastside 2009 RC Disposal Model-0908_0809 v2" xfId="30"/>
    <cellStyle name="Currency" xfId="31" builtinId="4"/>
    <cellStyle name="Currency_183 rate case disposal inc comm values-7.16.04" xfId="32"/>
    <cellStyle name="Currency_Eastside 2009 RC Disposal Model-0908_0809 v2" xfId="33"/>
    <cellStyle name="date" xfId="34"/>
    <cellStyle name="Explanatory Text" xfId="35" builtinId="53" customBuiltin="1"/>
    <cellStyle name="fish" xfId="36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 2" xfId="45"/>
    <cellStyle name="Normal_CostStudyTCII" xfId="46"/>
    <cellStyle name="Normal_Eastside 2009 RC Disposal Model-0908_0809 v2" xfId="47"/>
    <cellStyle name="Normal_Price out" xfId="48"/>
    <cellStyle name="Note" xfId="49" builtinId="10" customBuiltin="1"/>
    <cellStyle name="Output" xfId="50" builtinId="21" customBuiltin="1"/>
    <cellStyle name="Percent" xfId="51" builtinId="5"/>
    <cellStyle name="STYL0 - Style1" xfId="52"/>
    <cellStyle name="STYL1 - Style2" xfId="53"/>
    <cellStyle name="STYL2 - Style3" xfId="54"/>
    <cellStyle name="STYL3 - Style4" xfId="55"/>
    <cellStyle name="STYL4 - Style5" xfId="56"/>
    <cellStyle name="STYL5 - Style6" xfId="57"/>
    <cellStyle name="STYL6 - Style7" xfId="58"/>
    <cellStyle name="STYL7 - Style8" xfId="59"/>
    <cellStyle name="sub heading" xfId="60"/>
    <cellStyle name="title" xfId="61"/>
    <cellStyle name="Total" xfId="62" builtinId="25" customBuiltin="1"/>
    <cellStyle name="Warning Text" xfId="6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Joe_Garza\mark%20gregg\WUTC%20Files\Eastside\Eastside%20Rate%20Case%202006\Eastside%20RC%202006%20Filing%20Docs\Proforma%20Eastside%202005%204.17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2:AB318"/>
  <sheetViews>
    <sheetView showGridLines="0" tabSelected="1" zoomScaleNormal="100" workbookViewId="0">
      <pane xSplit="1" ySplit="16" topLeftCell="B17" activePane="bottomRight" state="frozenSplit"/>
      <selection activeCell="AY255" sqref="AY255"/>
      <selection pane="topRight" activeCell="AY255" sqref="AY255"/>
      <selection pane="bottomLeft" activeCell="AY255" sqref="AY255"/>
      <selection pane="bottomRight" activeCell="R35" sqref="R35"/>
    </sheetView>
  </sheetViews>
  <sheetFormatPr defaultColWidth="9.1640625" defaultRowHeight="11.25"/>
  <cols>
    <col min="1" max="1" width="37.33203125" style="1" bestFit="1" customWidth="1"/>
    <col min="2" max="2" width="6.6640625" style="1" bestFit="1" customWidth="1"/>
    <col min="3" max="3" width="6.33203125" style="1" bestFit="1" customWidth="1"/>
    <col min="4" max="4" width="6.1640625" style="1" bestFit="1" customWidth="1"/>
    <col min="5" max="12" width="12" style="1" customWidth="1"/>
    <col min="13" max="13" width="12" style="2" customWidth="1"/>
    <col min="14" max="15" width="12" style="1" customWidth="1"/>
    <col min="16" max="16" width="6.6640625" style="1" customWidth="1"/>
    <col min="17" max="21" width="16.83203125" style="1" customWidth="1"/>
    <col min="22" max="25" width="18.6640625" style="1" customWidth="1"/>
    <col min="26" max="26" width="2.5" style="1" customWidth="1"/>
    <col min="27" max="27" width="18.6640625" style="1" customWidth="1"/>
    <col min="28" max="16384" width="9.1640625" style="14"/>
  </cols>
  <sheetData>
    <row r="2" spans="1:27">
      <c r="A2" s="1" t="s">
        <v>181</v>
      </c>
      <c r="Q2" s="255"/>
      <c r="R2" s="255"/>
      <c r="S2" s="14"/>
    </row>
    <row r="3" spans="1:27">
      <c r="O3" s="1" t="s">
        <v>144</v>
      </c>
      <c r="Q3" s="255"/>
      <c r="R3" s="255"/>
      <c r="S3" s="255"/>
      <c r="T3" s="39"/>
      <c r="U3" s="39"/>
      <c r="V3" s="39"/>
      <c r="W3" s="39"/>
      <c r="X3" s="39"/>
    </row>
    <row r="4" spans="1:27">
      <c r="A4" s="1" t="s">
        <v>198</v>
      </c>
      <c r="J4" s="3"/>
      <c r="K4" s="3"/>
      <c r="N4" s="3" t="s">
        <v>0</v>
      </c>
      <c r="O4" s="155">
        <f>L5/(N8+N9+N10)</f>
        <v>0.71443245928711119</v>
      </c>
      <c r="Q4" s="256"/>
      <c r="R4" s="257"/>
      <c r="S4" s="258"/>
      <c r="T4" s="39"/>
      <c r="U4" s="39"/>
      <c r="V4" s="39"/>
      <c r="W4" s="39"/>
      <c r="X4" s="39"/>
    </row>
    <row r="5" spans="1:27">
      <c r="A5" s="1" t="s">
        <v>1</v>
      </c>
      <c r="F5" s="149">
        <f>SUM(F21:F30)</f>
        <v>9280</v>
      </c>
      <c r="J5" s="3"/>
      <c r="K5" s="3" t="s">
        <v>152</v>
      </c>
      <c r="L5" s="5">
        <f>Disposal!R58+Disposal!R63</f>
        <v>9354.4999932463124</v>
      </c>
      <c r="M5" s="3"/>
      <c r="N5" s="3" t="s">
        <v>2</v>
      </c>
      <c r="O5" s="155">
        <f>+O4</f>
        <v>0.71443245928711119</v>
      </c>
      <c r="Q5" s="256"/>
      <c r="R5" s="257"/>
      <c r="S5" s="258"/>
    </row>
    <row r="6" spans="1:27">
      <c r="F6" s="149">
        <f>SUM(F5:F5)</f>
        <v>9280</v>
      </c>
      <c r="J6" s="8"/>
      <c r="K6" s="3" t="s">
        <v>4</v>
      </c>
      <c r="L6" s="5">
        <f>Disposal!R69</f>
        <v>1252.4191300000002</v>
      </c>
      <c r="M6" s="3"/>
      <c r="N6" s="3"/>
      <c r="O6" s="4"/>
    </row>
    <row r="7" spans="1:27">
      <c r="A7" s="9" t="s">
        <v>5</v>
      </c>
      <c r="B7" s="9"/>
      <c r="C7" s="9"/>
      <c r="D7" s="9"/>
      <c r="E7" s="9"/>
      <c r="F7" s="150">
        <f>SUM(F8:F12)</f>
        <v>10961</v>
      </c>
      <c r="G7" s="10"/>
      <c r="H7" s="10"/>
      <c r="I7" s="10"/>
      <c r="J7" s="152">
        <f>SUM(J8:J12)</f>
        <v>258275.374026</v>
      </c>
      <c r="K7" s="154">
        <f>SUM(K8:K12)</f>
        <v>3099304.4883119999</v>
      </c>
      <c r="L7" s="150">
        <f>SUM(L5:L6)</f>
        <v>10606.919123246313</v>
      </c>
      <c r="M7" s="11"/>
      <c r="N7" s="150">
        <f>SUM(N8:N12)</f>
        <v>13093.61</v>
      </c>
      <c r="O7" s="150">
        <f>SUM(O8:O12)</f>
        <v>9354.4999932463124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43"/>
    </row>
    <row r="8" spans="1:27">
      <c r="A8" s="1" t="s">
        <v>6</v>
      </c>
      <c r="F8" s="150">
        <f>SUM(F21:F31)</f>
        <v>10454</v>
      </c>
      <c r="G8" s="12"/>
      <c r="H8" s="3"/>
      <c r="I8" s="12"/>
      <c r="J8" s="153">
        <f>SUM(J21:J69)</f>
        <v>174253.44</v>
      </c>
      <c r="K8" s="151">
        <f>SUM(K21:K69)</f>
        <v>2091041.2799999998</v>
      </c>
      <c r="L8" s="3"/>
      <c r="N8" s="151">
        <f>SUM(N21:N35)</f>
        <v>8571.41</v>
      </c>
      <c r="O8" s="151">
        <f>SUM(O21:O31)</f>
        <v>6123.6935258581379</v>
      </c>
      <c r="AA8" s="144"/>
    </row>
    <row r="9" spans="1:27">
      <c r="A9" s="1" t="s">
        <v>7</v>
      </c>
      <c r="F9" s="150">
        <f>SUM(F74:F76)+SUM(F139:F142)</f>
        <v>280</v>
      </c>
      <c r="G9" s="3"/>
      <c r="H9" s="3"/>
      <c r="I9" s="12"/>
      <c r="J9" s="154">
        <f>SUM(J74:J76)+SUM(J139:J142)</f>
        <v>6313.9214310000007</v>
      </c>
      <c r="K9" s="150">
        <f>SUM(K74:K76)+SUM(K139:K142)</f>
        <v>75767.057172000001</v>
      </c>
      <c r="N9" s="150">
        <f>SUM(N74:N76)+SUM(N139:N142)</f>
        <v>265.07</v>
      </c>
      <c r="O9" s="150">
        <f>SUM(O74:O76)+SUM(O139:O142)</f>
        <v>189.37461198323456</v>
      </c>
      <c r="Q9" s="131" t="s">
        <v>146</v>
      </c>
      <c r="R9" s="159">
        <v>120.17</v>
      </c>
      <c r="T9" s="131" t="s">
        <v>149</v>
      </c>
      <c r="U9" s="158">
        <v>1.4999999999999999E-2</v>
      </c>
      <c r="AA9" s="144"/>
    </row>
    <row r="10" spans="1:27">
      <c r="A10" s="14" t="s">
        <v>8</v>
      </c>
      <c r="B10" s="14"/>
      <c r="C10" s="14"/>
      <c r="D10" s="14"/>
      <c r="E10" s="14"/>
      <c r="F10" s="150">
        <f>SUM(F79:F115)+SUM(F144:F178)</f>
        <v>227</v>
      </c>
      <c r="G10" s="15"/>
      <c r="H10" s="15"/>
      <c r="I10" s="12"/>
      <c r="J10" s="154">
        <f>SUM(J79:J133)+SUM(J144:J190)</f>
        <v>77708.012595000007</v>
      </c>
      <c r="K10" s="150">
        <f>SUM(K79:K133)+SUM(K144:K190)</f>
        <v>932496.15114000009</v>
      </c>
      <c r="L10" s="15"/>
      <c r="M10" s="16"/>
      <c r="N10" s="150">
        <f>SUM(N79:N123)+SUM(N144:N189)</f>
        <v>4257.13</v>
      </c>
      <c r="O10" s="150">
        <f>SUM(O78:O122)+SUM(O144:O188)</f>
        <v>3041.4318554049401</v>
      </c>
      <c r="P10" s="14"/>
      <c r="Q10" s="131" t="s">
        <v>182</v>
      </c>
      <c r="R10" s="159">
        <v>134.59</v>
      </c>
      <c r="S10" s="14"/>
      <c r="T10" s="132" t="s">
        <v>150</v>
      </c>
      <c r="U10" s="187">
        <v>4.2750000000000002E-3</v>
      </c>
      <c r="V10" s="142"/>
      <c r="W10" s="14"/>
      <c r="X10" s="14"/>
      <c r="Y10" s="14"/>
      <c r="Z10" s="14"/>
      <c r="AA10" s="144"/>
    </row>
    <row r="11" spans="1:27">
      <c r="F11" s="3"/>
      <c r="G11" s="3"/>
      <c r="H11" s="3"/>
      <c r="I11" s="12"/>
      <c r="J11" s="13"/>
      <c r="K11" s="17"/>
      <c r="L11" s="3"/>
      <c r="N11" s="13"/>
      <c r="O11" s="13"/>
      <c r="Q11" s="131" t="s">
        <v>147</v>
      </c>
      <c r="R11" s="176">
        <f>R10-R9</f>
        <v>14.420000000000002</v>
      </c>
      <c r="T11" s="131" t="s">
        <v>151</v>
      </c>
      <c r="U11" s="188">
        <f>SUM(U9:U10)</f>
        <v>1.9275E-2</v>
      </c>
      <c r="AA11" s="144"/>
    </row>
    <row r="12" spans="1:27" ht="12" thickBot="1">
      <c r="A12" s="18"/>
      <c r="B12" s="18"/>
      <c r="C12" s="18"/>
      <c r="D12" s="18"/>
      <c r="E12" s="18"/>
      <c r="F12" s="19"/>
      <c r="G12" s="19"/>
      <c r="H12" s="19"/>
      <c r="I12" s="19"/>
      <c r="J12" s="20"/>
      <c r="K12" s="20"/>
      <c r="L12" s="19"/>
      <c r="M12" s="21"/>
      <c r="N12" s="19"/>
      <c r="O12" s="19"/>
      <c r="P12" s="18"/>
      <c r="Q12" s="131" t="s">
        <v>148</v>
      </c>
      <c r="R12" s="190">
        <f>+R11/2000</f>
        <v>7.2100000000000011E-3</v>
      </c>
      <c r="S12" s="18"/>
      <c r="T12" s="18"/>
      <c r="U12" s="18"/>
      <c r="V12" s="18"/>
      <c r="W12" s="18"/>
      <c r="X12" s="18"/>
      <c r="Y12" s="18"/>
      <c r="Z12" s="18"/>
      <c r="AA12" s="145"/>
    </row>
    <row r="13" spans="1:27">
      <c r="A13" s="14"/>
      <c r="B13" s="14"/>
      <c r="C13" s="14"/>
      <c r="D13" s="14"/>
      <c r="E13" s="14"/>
      <c r="F13" s="6" t="s">
        <v>9</v>
      </c>
      <c r="G13" s="6" t="s">
        <v>10</v>
      </c>
      <c r="H13" s="22"/>
      <c r="I13" s="6"/>
      <c r="J13" s="6" t="s">
        <v>11</v>
      </c>
      <c r="K13" s="6" t="s">
        <v>11</v>
      </c>
      <c r="L13" s="6" t="s">
        <v>12</v>
      </c>
      <c r="M13" s="23" t="s">
        <v>13</v>
      </c>
      <c r="N13" s="6" t="s">
        <v>14</v>
      </c>
      <c r="O13" s="6" t="s">
        <v>15</v>
      </c>
      <c r="P13" s="14"/>
      <c r="Q13" s="136"/>
      <c r="R13" s="189"/>
      <c r="S13" s="136"/>
      <c r="T13" s="136"/>
      <c r="U13" s="14"/>
      <c r="V13" s="133"/>
      <c r="W13" s="133"/>
      <c r="X13" s="133"/>
      <c r="Y13" s="133"/>
      <c r="Z13" s="14"/>
      <c r="AA13" s="133"/>
    </row>
    <row r="14" spans="1:27">
      <c r="A14" s="14"/>
      <c r="B14" s="14"/>
      <c r="C14" s="14" t="s">
        <v>3</v>
      </c>
      <c r="D14" s="14"/>
      <c r="E14" s="14"/>
      <c r="F14" s="6" t="s">
        <v>19</v>
      </c>
      <c r="G14" s="6" t="s">
        <v>20</v>
      </c>
      <c r="H14" s="22"/>
      <c r="I14" s="6" t="s">
        <v>21</v>
      </c>
      <c r="J14" s="6" t="s">
        <v>22</v>
      </c>
      <c r="K14" s="6" t="s">
        <v>16</v>
      </c>
      <c r="L14" s="6" t="s">
        <v>23</v>
      </c>
      <c r="M14" s="23" t="s">
        <v>24</v>
      </c>
      <c r="N14" s="6" t="s">
        <v>25</v>
      </c>
      <c r="O14" s="6" t="s">
        <v>25</v>
      </c>
      <c r="P14" s="14"/>
      <c r="Q14" s="137" t="s">
        <v>153</v>
      </c>
      <c r="R14" s="137" t="s">
        <v>154</v>
      </c>
      <c r="S14" s="137" t="s">
        <v>158</v>
      </c>
      <c r="T14" s="139" t="s">
        <v>37</v>
      </c>
      <c r="U14" s="14"/>
      <c r="V14" s="134" t="s">
        <v>38</v>
      </c>
      <c r="W14" s="134" t="s">
        <v>18</v>
      </c>
      <c r="X14" s="134" t="s">
        <v>18</v>
      </c>
      <c r="Y14" s="134" t="s">
        <v>18</v>
      </c>
      <c r="Z14" s="14"/>
      <c r="AA14" s="134" t="s">
        <v>18</v>
      </c>
    </row>
    <row r="15" spans="1:27">
      <c r="A15" s="14"/>
      <c r="B15" s="14"/>
      <c r="C15" s="14"/>
      <c r="D15" s="14"/>
      <c r="E15" s="14"/>
      <c r="F15" s="7"/>
      <c r="G15" s="6" t="s">
        <v>27</v>
      </c>
      <c r="H15" s="22"/>
      <c r="I15" s="6" t="s">
        <v>28</v>
      </c>
      <c r="J15" s="6" t="s">
        <v>26</v>
      </c>
      <c r="K15" s="6" t="s">
        <v>26</v>
      </c>
      <c r="L15" s="166">
        <v>21</v>
      </c>
      <c r="M15" s="6" t="s">
        <v>23</v>
      </c>
      <c r="N15" s="6" t="s">
        <v>29</v>
      </c>
      <c r="O15" s="6" t="s">
        <v>29</v>
      </c>
      <c r="P15" s="14"/>
      <c r="Q15" s="137" t="s">
        <v>155</v>
      </c>
      <c r="R15" s="137" t="s">
        <v>156</v>
      </c>
      <c r="S15" s="137" t="s">
        <v>157</v>
      </c>
      <c r="T15" s="139" t="s">
        <v>159</v>
      </c>
      <c r="U15" s="14"/>
      <c r="V15" s="134" t="s">
        <v>161</v>
      </c>
      <c r="W15" s="134" t="s">
        <v>162</v>
      </c>
      <c r="X15" s="134" t="s">
        <v>162</v>
      </c>
      <c r="Y15" s="134" t="s">
        <v>102</v>
      </c>
      <c r="Z15" s="14"/>
      <c r="AA15" s="134" t="s">
        <v>164</v>
      </c>
    </row>
    <row r="16" spans="1:27">
      <c r="A16" s="14"/>
      <c r="B16" s="14"/>
      <c r="C16" s="14"/>
      <c r="D16" s="14"/>
      <c r="E16" s="14"/>
      <c r="F16" s="7"/>
      <c r="G16" s="6" t="s">
        <v>31</v>
      </c>
      <c r="H16" s="22"/>
      <c r="I16" s="6" t="s">
        <v>30</v>
      </c>
      <c r="J16" s="6"/>
      <c r="K16" s="6"/>
      <c r="L16" s="166">
        <v>145</v>
      </c>
      <c r="M16" s="23"/>
      <c r="N16" s="6"/>
      <c r="O16" s="6"/>
      <c r="P16" s="14"/>
      <c r="Q16" s="138"/>
      <c r="R16" s="138"/>
      <c r="S16" s="138"/>
      <c r="T16" s="140" t="s">
        <v>160</v>
      </c>
      <c r="U16" s="14"/>
      <c r="V16" s="135"/>
      <c r="W16" s="135"/>
      <c r="X16" s="141" t="s">
        <v>163</v>
      </c>
      <c r="Y16" s="141" t="s">
        <v>163</v>
      </c>
      <c r="Z16" s="14"/>
      <c r="AA16" s="141" t="s">
        <v>163</v>
      </c>
    </row>
    <row r="17" spans="1:28">
      <c r="A17" s="14"/>
      <c r="B17" s="14"/>
      <c r="C17" s="14"/>
      <c r="D17" s="14"/>
      <c r="E17" s="14"/>
      <c r="F17" s="24"/>
      <c r="G17" s="24"/>
      <c r="H17" s="24"/>
      <c r="I17" s="24"/>
      <c r="J17" s="24"/>
      <c r="K17" s="24"/>
      <c r="L17" s="166">
        <v>269</v>
      </c>
      <c r="M17" s="25"/>
      <c r="N17" s="24"/>
      <c r="O17" s="2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4"/>
    </row>
    <row r="18" spans="1:28">
      <c r="A18" s="14" t="s">
        <v>165</v>
      </c>
      <c r="B18" s="14"/>
      <c r="C18" s="14"/>
      <c r="D18" s="14"/>
      <c r="E18" s="14"/>
      <c r="F18" s="24"/>
      <c r="G18" s="24"/>
      <c r="H18" s="24"/>
      <c r="I18" s="24"/>
      <c r="J18" s="24"/>
      <c r="K18" s="24"/>
      <c r="L18" s="24"/>
      <c r="M18" s="25"/>
      <c r="N18" s="24"/>
      <c r="O18" s="2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4"/>
    </row>
    <row r="19" spans="1:28" ht="12" thickBot="1">
      <c r="A19" s="26" t="s">
        <v>32</v>
      </c>
      <c r="B19" s="14"/>
      <c r="C19" s="14"/>
      <c r="D19" s="14"/>
      <c r="E19" s="14"/>
      <c r="AA19" s="144"/>
    </row>
    <row r="20" spans="1:28" ht="12" thickTop="1">
      <c r="A20" s="142" t="s">
        <v>185</v>
      </c>
      <c r="B20" s="14"/>
      <c r="C20" s="14"/>
      <c r="D20" s="14"/>
      <c r="E20" s="14"/>
      <c r="AA20" s="14"/>
    </row>
    <row r="21" spans="1:28">
      <c r="A21" s="27" t="s">
        <v>40</v>
      </c>
      <c r="F21" s="160">
        <v>894</v>
      </c>
      <c r="G21" s="162">
        <v>52</v>
      </c>
      <c r="I21" s="163">
        <v>7.67</v>
      </c>
      <c r="J21" s="150">
        <f t="shared" ref="J21:J40" si="0">F21*I21</f>
        <v>6856.98</v>
      </c>
      <c r="K21" s="150">
        <f t="shared" ref="K21:K40" si="1">J21*12</f>
        <v>82283.759999999995</v>
      </c>
      <c r="L21" s="29">
        <f>ROUND((L$15/32*19),2)</f>
        <v>12.47</v>
      </c>
      <c r="M21" s="168">
        <f>L21*$O$4</f>
        <v>8.9089727673102761</v>
      </c>
      <c r="N21" s="154">
        <f t="shared" ref="N21:N31" si="2">ROUND(((F21*G21*L21)/2000),2)</f>
        <v>289.85000000000002</v>
      </c>
      <c r="O21" s="173">
        <f>$O$4*N21</f>
        <v>207.07824832436918</v>
      </c>
      <c r="P21" s="175"/>
      <c r="Q21" s="177">
        <f t="shared" ref="Q21:Q31" si="3">M21*$R$12</f>
        <v>6.4233693652307106E-2</v>
      </c>
      <c r="R21" s="178">
        <f t="shared" ref="R21:R27" si="4">Q21*4.33</f>
        <v>0.27813189351448975</v>
      </c>
      <c r="S21" s="178">
        <f t="shared" ref="S21:S31" si="5">R21*$U$11</f>
        <v>5.3609922474917903E-3</v>
      </c>
      <c r="T21" s="178">
        <f t="shared" ref="T21:T31" si="6">+R21+S21</f>
        <v>0.28349288576198156</v>
      </c>
      <c r="V21" s="178">
        <f>I21+T21</f>
        <v>7.9534928857619818</v>
      </c>
      <c r="W21" s="181">
        <f>F21*V21</f>
        <v>7110.4226398712117</v>
      </c>
      <c r="X21" s="181">
        <f>W21-J21</f>
        <v>253.44263987121212</v>
      </c>
      <c r="Y21" s="182">
        <f>X21*12</f>
        <v>3041.3116784545455</v>
      </c>
      <c r="Z21" s="174"/>
      <c r="AA21" s="212">
        <f>O21*$R$11</f>
        <v>2986.0683408374039</v>
      </c>
      <c r="AB21" s="210">
        <f>IF(I21=0,"",V21/I21-1)</f>
        <v>3.6961262811210149E-2</v>
      </c>
    </row>
    <row r="22" spans="1:28">
      <c r="A22" s="27" t="s">
        <v>41</v>
      </c>
      <c r="F22" s="160">
        <v>4527</v>
      </c>
      <c r="G22" s="162">
        <v>52</v>
      </c>
      <c r="I22" s="163">
        <v>12.28</v>
      </c>
      <c r="J22" s="150">
        <f t="shared" si="0"/>
        <v>55591.56</v>
      </c>
      <c r="K22" s="150">
        <f t="shared" si="1"/>
        <v>667098.72</v>
      </c>
      <c r="L22" s="29">
        <f>+$L$15</f>
        <v>21</v>
      </c>
      <c r="M22" s="168">
        <f t="shared" ref="M22:M43" si="7">L22*$O$4</f>
        <v>15.003081645029335</v>
      </c>
      <c r="N22" s="154">
        <f t="shared" si="2"/>
        <v>2471.7399999999998</v>
      </c>
      <c r="O22" s="173">
        <f>$O$4*N22</f>
        <v>1765.8912869183241</v>
      </c>
      <c r="P22" s="175"/>
      <c r="Q22" s="177">
        <f t="shared" si="3"/>
        <v>0.10817221866066153</v>
      </c>
      <c r="R22" s="178">
        <f t="shared" si="4"/>
        <v>0.46838570680066444</v>
      </c>
      <c r="S22" s="178">
        <f t="shared" si="5"/>
        <v>9.0281344985828071E-3</v>
      </c>
      <c r="T22" s="178">
        <f t="shared" si="6"/>
        <v>0.47741384129924724</v>
      </c>
      <c r="V22" s="178">
        <f t="shared" ref="V22:V43" si="8">I22+T22</f>
        <v>12.757413841299247</v>
      </c>
      <c r="W22" s="181">
        <f t="shared" ref="W22:W43" si="9">F22*V22</f>
        <v>57752.81245956169</v>
      </c>
      <c r="X22" s="181">
        <f t="shared" ref="X22:X43" si="10">W22-J22</f>
        <v>2161.2524595616924</v>
      </c>
      <c r="Y22" s="182">
        <f t="shared" ref="Y22:Y63" si="11">X22*12</f>
        <v>25935.029514740309</v>
      </c>
      <c r="Z22" s="174"/>
      <c r="AA22" s="212">
        <f t="shared" ref="AA22:AA43" si="12">O22*$R$11</f>
        <v>25464.152357362236</v>
      </c>
      <c r="AB22" s="210">
        <f t="shared" ref="AB22:AB43" si="13">IF(I22=0,"",V22/I22-1)</f>
        <v>3.8877348640003806E-2</v>
      </c>
    </row>
    <row r="23" spans="1:28">
      <c r="A23" s="27" t="s">
        <v>42</v>
      </c>
      <c r="F23" s="160">
        <v>213</v>
      </c>
      <c r="G23" s="162">
        <v>52</v>
      </c>
      <c r="I23" s="163">
        <v>21.02</v>
      </c>
      <c r="J23" s="150">
        <f t="shared" si="0"/>
        <v>4477.26</v>
      </c>
      <c r="K23" s="150">
        <f t="shared" si="1"/>
        <v>53727.12</v>
      </c>
      <c r="L23" s="29">
        <f>+$L$15*2</f>
        <v>42</v>
      </c>
      <c r="M23" s="168">
        <f t="shared" si="7"/>
        <v>30.006163290058669</v>
      </c>
      <c r="N23" s="154">
        <f t="shared" si="2"/>
        <v>232.6</v>
      </c>
      <c r="O23" s="173">
        <f t="shared" ref="O23:O43" si="14">$O$4*N23</f>
        <v>166.17699003018205</v>
      </c>
      <c r="P23" s="175"/>
      <c r="Q23" s="177">
        <f t="shared" si="3"/>
        <v>0.21634443732132305</v>
      </c>
      <c r="R23" s="178">
        <f t="shared" si="4"/>
        <v>0.93677141360132887</v>
      </c>
      <c r="S23" s="178">
        <f t="shared" si="5"/>
        <v>1.8056268997165614E-2</v>
      </c>
      <c r="T23" s="178">
        <f t="shared" si="6"/>
        <v>0.95482768259849449</v>
      </c>
      <c r="V23" s="178">
        <f t="shared" si="8"/>
        <v>21.974827682598495</v>
      </c>
      <c r="W23" s="181">
        <f t="shared" si="9"/>
        <v>4680.6382963934793</v>
      </c>
      <c r="X23" s="181">
        <f t="shared" si="10"/>
        <v>203.3782963934791</v>
      </c>
      <c r="Y23" s="182">
        <f t="shared" si="11"/>
        <v>2440.5395567217492</v>
      </c>
      <c r="Z23" s="174"/>
      <c r="AA23" s="212">
        <f t="shared" si="12"/>
        <v>2396.2721962352257</v>
      </c>
      <c r="AB23" s="210">
        <f t="shared" si="13"/>
        <v>4.5424723244457343E-2</v>
      </c>
    </row>
    <row r="24" spans="1:28">
      <c r="A24" s="27" t="s">
        <v>43</v>
      </c>
      <c r="F24" s="160">
        <v>10</v>
      </c>
      <c r="G24" s="162">
        <v>52</v>
      </c>
      <c r="I24" s="163">
        <v>30.71</v>
      </c>
      <c r="J24" s="150">
        <f t="shared" si="0"/>
        <v>307.10000000000002</v>
      </c>
      <c r="K24" s="150">
        <f t="shared" si="1"/>
        <v>3685.2000000000003</v>
      </c>
      <c r="L24" s="29">
        <f>+$L$15*3</f>
        <v>63</v>
      </c>
      <c r="M24" s="168">
        <f t="shared" si="7"/>
        <v>45.009244935088006</v>
      </c>
      <c r="N24" s="154">
        <f t="shared" si="2"/>
        <v>16.38</v>
      </c>
      <c r="O24" s="173">
        <f t="shared" si="14"/>
        <v>11.702403683122881</v>
      </c>
      <c r="P24" s="175"/>
      <c r="Q24" s="177">
        <f t="shared" si="3"/>
        <v>0.32451665598198459</v>
      </c>
      <c r="R24" s="178">
        <f t="shared" si="4"/>
        <v>1.4051571204019933</v>
      </c>
      <c r="S24" s="178">
        <f t="shared" si="5"/>
        <v>2.7084403495748421E-2</v>
      </c>
      <c r="T24" s="178">
        <f t="shared" si="6"/>
        <v>1.4322415238977417</v>
      </c>
      <c r="V24" s="178">
        <f t="shared" si="8"/>
        <v>32.142241523897745</v>
      </c>
      <c r="W24" s="181">
        <f t="shared" si="9"/>
        <v>321.42241523897746</v>
      </c>
      <c r="X24" s="181">
        <f t="shared" si="10"/>
        <v>14.322415238977442</v>
      </c>
      <c r="Y24" s="182">
        <f t="shared" si="11"/>
        <v>171.8689828677293</v>
      </c>
      <c r="Z24" s="174"/>
      <c r="AA24" s="212">
        <f t="shared" si="12"/>
        <v>168.74866111063196</v>
      </c>
      <c r="AB24" s="210">
        <f t="shared" si="13"/>
        <v>4.6637626958571987E-2</v>
      </c>
    </row>
    <row r="25" spans="1:28">
      <c r="A25" s="27" t="s">
        <v>44</v>
      </c>
      <c r="F25" s="160">
        <f>1</f>
        <v>1</v>
      </c>
      <c r="G25" s="162">
        <v>52</v>
      </c>
      <c r="I25" s="163">
        <v>41.37</v>
      </c>
      <c r="J25" s="150">
        <f t="shared" si="0"/>
        <v>41.37</v>
      </c>
      <c r="K25" s="150">
        <f t="shared" si="1"/>
        <v>496.43999999999994</v>
      </c>
      <c r="L25" s="29">
        <f>+$L$15*4</f>
        <v>84</v>
      </c>
      <c r="M25" s="168">
        <f t="shared" si="7"/>
        <v>60.012326580117339</v>
      </c>
      <c r="N25" s="154">
        <f t="shared" si="2"/>
        <v>2.1800000000000002</v>
      </c>
      <c r="O25" s="173">
        <f t="shared" si="14"/>
        <v>1.5574627612459024</v>
      </c>
      <c r="P25" s="175"/>
      <c r="Q25" s="177">
        <f t="shared" si="3"/>
        <v>0.4326888746426461</v>
      </c>
      <c r="R25" s="178">
        <f t="shared" si="4"/>
        <v>1.8735428272026577</v>
      </c>
      <c r="S25" s="178">
        <f t="shared" si="5"/>
        <v>3.6112537994331229E-2</v>
      </c>
      <c r="T25" s="178">
        <f t="shared" si="6"/>
        <v>1.909655365196989</v>
      </c>
      <c r="V25" s="178">
        <f t="shared" si="8"/>
        <v>43.279655365196987</v>
      </c>
      <c r="W25" s="181">
        <f t="shared" si="9"/>
        <v>43.279655365196987</v>
      </c>
      <c r="X25" s="181">
        <f t="shared" si="10"/>
        <v>1.9096553651969899</v>
      </c>
      <c r="Y25" s="182">
        <f t="shared" si="11"/>
        <v>22.915864382363878</v>
      </c>
      <c r="Z25" s="174"/>
      <c r="AA25" s="212">
        <f t="shared" si="12"/>
        <v>22.458613017165916</v>
      </c>
      <c r="AB25" s="210">
        <f t="shared" si="13"/>
        <v>4.6160390746845303E-2</v>
      </c>
    </row>
    <row r="26" spans="1:28">
      <c r="A26" s="27" t="s">
        <v>45</v>
      </c>
      <c r="F26" s="160"/>
      <c r="G26" s="162">
        <v>52</v>
      </c>
      <c r="I26" s="163">
        <v>52.32</v>
      </c>
      <c r="J26" s="150">
        <f t="shared" si="0"/>
        <v>0</v>
      </c>
      <c r="K26" s="150">
        <f t="shared" si="1"/>
        <v>0</v>
      </c>
      <c r="L26" s="29">
        <f>+$L$15*5</f>
        <v>105</v>
      </c>
      <c r="M26" s="168">
        <f t="shared" si="7"/>
        <v>75.015408225146672</v>
      </c>
      <c r="N26" s="154">
        <f t="shared" si="2"/>
        <v>0</v>
      </c>
      <c r="O26" s="173">
        <f t="shared" si="14"/>
        <v>0</v>
      </c>
      <c r="P26" s="175"/>
      <c r="Q26" s="177">
        <f t="shared" si="3"/>
        <v>0.54086109330330756</v>
      </c>
      <c r="R26" s="178">
        <f t="shared" si="4"/>
        <v>2.3419285340033218</v>
      </c>
      <c r="S26" s="178">
        <f t="shared" si="5"/>
        <v>4.5140672492914029E-2</v>
      </c>
      <c r="T26" s="178">
        <f t="shared" si="6"/>
        <v>2.387069206496236</v>
      </c>
      <c r="V26" s="178">
        <f t="shared" si="8"/>
        <v>54.707069206496236</v>
      </c>
      <c r="W26" s="181">
        <f t="shared" si="9"/>
        <v>0</v>
      </c>
      <c r="X26" s="181">
        <f t="shared" si="10"/>
        <v>0</v>
      </c>
      <c r="Y26" s="182">
        <f t="shared" si="11"/>
        <v>0</v>
      </c>
      <c r="Z26" s="174"/>
      <c r="AA26" s="212">
        <f t="shared" si="12"/>
        <v>0</v>
      </c>
      <c r="AB26" s="210">
        <f t="shared" si="13"/>
        <v>4.5624411439148194E-2</v>
      </c>
    </row>
    <row r="27" spans="1:28">
      <c r="A27" s="27" t="s">
        <v>46</v>
      </c>
      <c r="F27" s="160"/>
      <c r="G27" s="162">
        <v>52</v>
      </c>
      <c r="I27" s="163">
        <v>0</v>
      </c>
      <c r="J27" s="150">
        <f t="shared" si="0"/>
        <v>0</v>
      </c>
      <c r="K27" s="150">
        <f t="shared" si="1"/>
        <v>0</v>
      </c>
      <c r="L27" s="29">
        <f>+$L$15*6</f>
        <v>126</v>
      </c>
      <c r="M27" s="168">
        <f t="shared" si="7"/>
        <v>90.018489870176012</v>
      </c>
      <c r="N27" s="154">
        <f t="shared" si="2"/>
        <v>0</v>
      </c>
      <c r="O27" s="173">
        <f t="shared" si="14"/>
        <v>0</v>
      </c>
      <c r="P27" s="175"/>
      <c r="Q27" s="177">
        <f t="shared" si="3"/>
        <v>0.64903331196396918</v>
      </c>
      <c r="R27" s="178">
        <f t="shared" si="4"/>
        <v>2.8103142408039865</v>
      </c>
      <c r="S27" s="178">
        <f t="shared" si="5"/>
        <v>5.4168806991496843E-2</v>
      </c>
      <c r="T27" s="178">
        <f t="shared" si="6"/>
        <v>2.8644830477954835</v>
      </c>
      <c r="V27" s="178">
        <f t="shared" si="8"/>
        <v>2.8644830477954835</v>
      </c>
      <c r="W27" s="181">
        <f t="shared" si="9"/>
        <v>0</v>
      </c>
      <c r="X27" s="181">
        <f t="shared" si="10"/>
        <v>0</v>
      </c>
      <c r="Y27" s="182">
        <f t="shared" si="11"/>
        <v>0</v>
      </c>
      <c r="Z27" s="174"/>
      <c r="AA27" s="212">
        <f t="shared" si="12"/>
        <v>0</v>
      </c>
      <c r="AB27" s="210" t="str">
        <f t="shared" si="13"/>
        <v/>
      </c>
    </row>
    <row r="28" spans="1:28">
      <c r="A28" s="27" t="s">
        <v>47</v>
      </c>
      <c r="F28" s="160">
        <v>133</v>
      </c>
      <c r="G28" s="162">
        <v>12</v>
      </c>
      <c r="I28" s="163">
        <v>4.51</v>
      </c>
      <c r="J28" s="150">
        <f t="shared" si="0"/>
        <v>599.82999999999993</v>
      </c>
      <c r="K28" s="150">
        <f t="shared" si="1"/>
        <v>7197.9599999999991</v>
      </c>
      <c r="L28" s="29">
        <f>+$L$15</f>
        <v>21</v>
      </c>
      <c r="M28" s="168">
        <f t="shared" si="7"/>
        <v>15.003081645029335</v>
      </c>
      <c r="N28" s="154">
        <f t="shared" si="2"/>
        <v>16.760000000000002</v>
      </c>
      <c r="O28" s="173">
        <f t="shared" si="14"/>
        <v>11.973888017651985</v>
      </c>
      <c r="P28" s="175"/>
      <c r="Q28" s="177">
        <f t="shared" si="3"/>
        <v>0.10817221866066153</v>
      </c>
      <c r="R28" s="179">
        <f>Q28</f>
        <v>0.10817221866066153</v>
      </c>
      <c r="S28" s="178">
        <f t="shared" si="5"/>
        <v>2.085019514684251E-3</v>
      </c>
      <c r="T28" s="178">
        <f t="shared" si="6"/>
        <v>0.11025723817534577</v>
      </c>
      <c r="V28" s="178">
        <f t="shared" si="8"/>
        <v>4.6202572381753457</v>
      </c>
      <c r="W28" s="181">
        <f t="shared" si="9"/>
        <v>614.494212677321</v>
      </c>
      <c r="X28" s="181">
        <f t="shared" si="10"/>
        <v>14.664212677321075</v>
      </c>
      <c r="Y28" s="182">
        <f t="shared" si="11"/>
        <v>175.9705521278529</v>
      </c>
      <c r="Z28" s="174"/>
      <c r="AA28" s="212">
        <f t="shared" si="12"/>
        <v>172.66346521454165</v>
      </c>
      <c r="AB28" s="210">
        <f t="shared" si="13"/>
        <v>2.4447281191872783E-2</v>
      </c>
    </row>
    <row r="29" spans="1:28">
      <c r="A29" s="27" t="s">
        <v>48</v>
      </c>
      <c r="F29" s="160">
        <v>376</v>
      </c>
      <c r="G29" s="162">
        <v>52</v>
      </c>
      <c r="I29" s="163">
        <v>12.28</v>
      </c>
      <c r="J29" s="150">
        <f t="shared" si="0"/>
        <v>4617.28</v>
      </c>
      <c r="K29" s="150">
        <f t="shared" si="1"/>
        <v>55407.360000000001</v>
      </c>
      <c r="L29" s="29">
        <f>+$L$15</f>
        <v>21</v>
      </c>
      <c r="M29" s="168">
        <f t="shared" si="7"/>
        <v>15.003081645029335</v>
      </c>
      <c r="N29" s="154">
        <f t="shared" si="2"/>
        <v>205.3</v>
      </c>
      <c r="O29" s="173">
        <f t="shared" si="14"/>
        <v>146.67298389164392</v>
      </c>
      <c r="P29" s="175"/>
      <c r="Q29" s="177">
        <f t="shared" si="3"/>
        <v>0.10817221866066153</v>
      </c>
      <c r="R29" s="178">
        <f>Q29*4.33</f>
        <v>0.46838570680066444</v>
      </c>
      <c r="S29" s="178">
        <f t="shared" si="5"/>
        <v>9.0281344985828071E-3</v>
      </c>
      <c r="T29" s="178">
        <f t="shared" si="6"/>
        <v>0.47741384129924724</v>
      </c>
      <c r="V29" s="178">
        <f t="shared" si="8"/>
        <v>12.757413841299247</v>
      </c>
      <c r="W29" s="181">
        <f t="shared" si="9"/>
        <v>4796.7876043285169</v>
      </c>
      <c r="X29" s="181">
        <f t="shared" si="10"/>
        <v>179.50760432851712</v>
      </c>
      <c r="Y29" s="182">
        <f t="shared" si="11"/>
        <v>2154.0912519422054</v>
      </c>
      <c r="Z29" s="174"/>
      <c r="AA29" s="212">
        <f t="shared" si="12"/>
        <v>2115.0244277175057</v>
      </c>
      <c r="AB29" s="210">
        <f t="shared" si="13"/>
        <v>3.8877348640003806E-2</v>
      </c>
    </row>
    <row r="30" spans="1:28">
      <c r="A30" s="27" t="s">
        <v>49</v>
      </c>
      <c r="F30" s="160">
        <v>3126</v>
      </c>
      <c r="G30" s="162">
        <v>52</v>
      </c>
      <c r="I30" s="163">
        <v>21.02</v>
      </c>
      <c r="J30" s="150">
        <f t="shared" si="0"/>
        <v>65708.52</v>
      </c>
      <c r="K30" s="150">
        <f t="shared" si="1"/>
        <v>788502.24</v>
      </c>
      <c r="L30" s="29">
        <f>+$L$15*2</f>
        <v>42</v>
      </c>
      <c r="M30" s="168">
        <f t="shared" si="7"/>
        <v>30.006163290058669</v>
      </c>
      <c r="N30" s="154">
        <f t="shared" si="2"/>
        <v>3413.59</v>
      </c>
      <c r="O30" s="173">
        <f t="shared" si="14"/>
        <v>2438.7794986978902</v>
      </c>
      <c r="P30" s="175"/>
      <c r="Q30" s="177">
        <f t="shared" si="3"/>
        <v>0.21634443732132305</v>
      </c>
      <c r="R30" s="178">
        <f>Q30*4.33</f>
        <v>0.93677141360132887</v>
      </c>
      <c r="S30" s="178">
        <f t="shared" si="5"/>
        <v>1.8056268997165614E-2</v>
      </c>
      <c r="T30" s="178">
        <f t="shared" si="6"/>
        <v>0.95482768259849449</v>
      </c>
      <c r="V30" s="178">
        <f t="shared" si="8"/>
        <v>21.974827682598495</v>
      </c>
      <c r="W30" s="181">
        <f t="shared" si="9"/>
        <v>68693.311335802893</v>
      </c>
      <c r="X30" s="181">
        <f t="shared" si="10"/>
        <v>2984.7913358028891</v>
      </c>
      <c r="Y30" s="182">
        <f t="shared" si="11"/>
        <v>35817.496029634669</v>
      </c>
      <c r="Z30" s="174"/>
      <c r="AA30" s="212">
        <f t="shared" si="12"/>
        <v>35167.200371223582</v>
      </c>
      <c r="AB30" s="210">
        <f t="shared" si="13"/>
        <v>4.5424723244457343E-2</v>
      </c>
    </row>
    <row r="31" spans="1:28">
      <c r="A31" s="27" t="s">
        <v>50</v>
      </c>
      <c r="F31" s="160">
        <v>1174</v>
      </c>
      <c r="G31" s="162">
        <v>52</v>
      </c>
      <c r="I31" s="163">
        <v>30.71</v>
      </c>
      <c r="J31" s="150">
        <f t="shared" si="0"/>
        <v>36053.54</v>
      </c>
      <c r="K31" s="150">
        <f t="shared" si="1"/>
        <v>432642.48</v>
      </c>
      <c r="L31" s="29">
        <f>+$L$15*3</f>
        <v>63</v>
      </c>
      <c r="M31" s="168">
        <f t="shared" si="7"/>
        <v>45.009244935088006</v>
      </c>
      <c r="N31" s="154">
        <f t="shared" si="2"/>
        <v>1923.01</v>
      </c>
      <c r="O31" s="173">
        <f t="shared" si="14"/>
        <v>1373.8607635337078</v>
      </c>
      <c r="P31" s="175"/>
      <c r="Q31" s="177">
        <f t="shared" si="3"/>
        <v>0.32451665598198459</v>
      </c>
      <c r="R31" s="178">
        <f>Q31*4.33</f>
        <v>1.4051571204019933</v>
      </c>
      <c r="S31" s="178">
        <f t="shared" si="5"/>
        <v>2.7084403495748421E-2</v>
      </c>
      <c r="T31" s="178">
        <f t="shared" si="6"/>
        <v>1.4322415238977417</v>
      </c>
      <c r="V31" s="178">
        <f t="shared" si="8"/>
        <v>32.142241523897745</v>
      </c>
      <c r="W31" s="181">
        <f t="shared" si="9"/>
        <v>37734.991549055951</v>
      </c>
      <c r="X31" s="181">
        <f t="shared" si="10"/>
        <v>1681.4515490559497</v>
      </c>
      <c r="Y31" s="182">
        <f t="shared" si="11"/>
        <v>20177.418588671397</v>
      </c>
      <c r="Z31" s="174"/>
      <c r="AA31" s="212">
        <f t="shared" si="12"/>
        <v>19811.072210156068</v>
      </c>
      <c r="AB31" s="210">
        <f t="shared" si="13"/>
        <v>4.6637626958571987E-2</v>
      </c>
    </row>
    <row r="32" spans="1:28">
      <c r="A32" s="27" t="s">
        <v>187</v>
      </c>
      <c r="F32" s="160"/>
      <c r="G32" s="162">
        <v>52</v>
      </c>
      <c r="I32" s="231">
        <v>12.28</v>
      </c>
      <c r="J32" s="150">
        <v>0</v>
      </c>
      <c r="K32" s="150">
        <v>0</v>
      </c>
      <c r="L32" s="29">
        <f>+$L$15</f>
        <v>21</v>
      </c>
      <c r="M32" s="168">
        <f t="shared" si="7"/>
        <v>15.003081645029335</v>
      </c>
      <c r="N32" s="154">
        <f t="shared" ref="N32:N42" si="15">ROUND(((F32*G32*L32)/2000),2)</f>
        <v>0</v>
      </c>
      <c r="O32" s="173">
        <f t="shared" si="14"/>
        <v>0</v>
      </c>
      <c r="P32" s="175"/>
      <c r="Q32" s="177">
        <f t="shared" ref="Q32:Q42" si="16">M32*$R$12</f>
        <v>0.10817221866066153</v>
      </c>
      <c r="R32" s="178">
        <f t="shared" ref="R32:R63" si="17">Q32*4.33</f>
        <v>0.46838570680066444</v>
      </c>
      <c r="S32" s="178">
        <f t="shared" ref="S32:S42" si="18">R32*$U$11</f>
        <v>9.0281344985828071E-3</v>
      </c>
      <c r="T32" s="178">
        <f t="shared" ref="T32:T42" si="19">+R32+S32</f>
        <v>0.47741384129924724</v>
      </c>
      <c r="V32" s="178">
        <f t="shared" si="8"/>
        <v>12.757413841299247</v>
      </c>
      <c r="W32" s="181">
        <f t="shared" si="9"/>
        <v>0</v>
      </c>
      <c r="X32" s="181">
        <f t="shared" si="10"/>
        <v>0</v>
      </c>
      <c r="Y32" s="182">
        <f t="shared" si="11"/>
        <v>0</v>
      </c>
      <c r="Z32" s="174"/>
      <c r="AA32" s="212">
        <f t="shared" si="12"/>
        <v>0</v>
      </c>
      <c r="AB32" s="210">
        <f t="shared" si="13"/>
        <v>3.8877348640003806E-2</v>
      </c>
    </row>
    <row r="33" spans="1:28">
      <c r="A33" s="27" t="s">
        <v>188</v>
      </c>
      <c r="F33" s="160"/>
      <c r="G33" s="162">
        <v>52</v>
      </c>
      <c r="I33" s="231">
        <v>21.02</v>
      </c>
      <c r="J33" s="150">
        <v>0</v>
      </c>
      <c r="K33" s="150">
        <v>0</v>
      </c>
      <c r="L33" s="29">
        <f>+$L$15*2</f>
        <v>42</v>
      </c>
      <c r="M33" s="168">
        <f t="shared" si="7"/>
        <v>30.006163290058669</v>
      </c>
      <c r="N33" s="154">
        <f t="shared" si="15"/>
        <v>0</v>
      </c>
      <c r="O33" s="173">
        <f t="shared" si="14"/>
        <v>0</v>
      </c>
      <c r="P33" s="175"/>
      <c r="Q33" s="177">
        <f t="shared" si="16"/>
        <v>0.21634443732132305</v>
      </c>
      <c r="R33" s="178">
        <f t="shared" si="17"/>
        <v>0.93677141360132887</v>
      </c>
      <c r="S33" s="178">
        <f t="shared" si="18"/>
        <v>1.8056268997165614E-2</v>
      </c>
      <c r="T33" s="178">
        <f t="shared" si="19"/>
        <v>0.95482768259849449</v>
      </c>
      <c r="V33" s="178">
        <f t="shared" si="8"/>
        <v>21.974827682598495</v>
      </c>
      <c r="W33" s="181">
        <f t="shared" si="9"/>
        <v>0</v>
      </c>
      <c r="X33" s="181">
        <f t="shared" si="10"/>
        <v>0</v>
      </c>
      <c r="Y33" s="182">
        <f t="shared" si="11"/>
        <v>0</v>
      </c>
      <c r="Z33" s="174"/>
      <c r="AA33" s="212">
        <f t="shared" si="12"/>
        <v>0</v>
      </c>
      <c r="AB33" s="210">
        <f t="shared" si="13"/>
        <v>4.5424723244457343E-2</v>
      </c>
    </row>
    <row r="34" spans="1:28">
      <c r="A34" s="27" t="s">
        <v>189</v>
      </c>
      <c r="F34" s="160"/>
      <c r="G34" s="162">
        <v>52</v>
      </c>
      <c r="I34" s="231">
        <v>30.71</v>
      </c>
      <c r="J34" s="150">
        <v>0</v>
      </c>
      <c r="K34" s="150">
        <v>0</v>
      </c>
      <c r="L34" s="29">
        <f>+$L$15*3</f>
        <v>63</v>
      </c>
      <c r="M34" s="168">
        <f t="shared" si="7"/>
        <v>45.009244935088006</v>
      </c>
      <c r="N34" s="154">
        <f t="shared" si="15"/>
        <v>0</v>
      </c>
      <c r="O34" s="173">
        <f t="shared" si="14"/>
        <v>0</v>
      </c>
      <c r="P34" s="175"/>
      <c r="Q34" s="177">
        <f t="shared" si="16"/>
        <v>0.32451665598198459</v>
      </c>
      <c r="R34" s="178">
        <f t="shared" si="17"/>
        <v>1.4051571204019933</v>
      </c>
      <c r="S34" s="178">
        <f t="shared" si="18"/>
        <v>2.7084403495748421E-2</v>
      </c>
      <c r="T34" s="178">
        <f t="shared" si="19"/>
        <v>1.4322415238977417</v>
      </c>
      <c r="V34" s="178">
        <f t="shared" si="8"/>
        <v>32.142241523897745</v>
      </c>
      <c r="W34" s="181">
        <f t="shared" si="9"/>
        <v>0</v>
      </c>
      <c r="X34" s="181">
        <f t="shared" si="10"/>
        <v>0</v>
      </c>
      <c r="Y34" s="182">
        <f t="shared" si="11"/>
        <v>0</v>
      </c>
      <c r="Z34" s="174"/>
      <c r="AA34" s="212">
        <f t="shared" si="12"/>
        <v>0</v>
      </c>
      <c r="AB34" s="210">
        <f t="shared" si="13"/>
        <v>4.6637626958571987E-2</v>
      </c>
    </row>
    <row r="35" spans="1:28">
      <c r="A35" s="27" t="s">
        <v>52</v>
      </c>
      <c r="F35" s="160"/>
      <c r="G35" s="162">
        <v>12</v>
      </c>
      <c r="I35" s="163">
        <v>3.84</v>
      </c>
      <c r="J35" s="150">
        <f t="shared" si="0"/>
        <v>0</v>
      </c>
      <c r="K35" s="150">
        <f t="shared" si="1"/>
        <v>0</v>
      </c>
      <c r="L35" s="29">
        <f>+$L$15</f>
        <v>21</v>
      </c>
      <c r="M35" s="168">
        <f t="shared" si="7"/>
        <v>15.003081645029335</v>
      </c>
      <c r="N35" s="154">
        <f t="shared" si="15"/>
        <v>0</v>
      </c>
      <c r="O35" s="173">
        <f t="shared" si="14"/>
        <v>0</v>
      </c>
      <c r="P35" s="175"/>
      <c r="Q35" s="177">
        <f t="shared" si="16"/>
        <v>0.10817221866066153</v>
      </c>
      <c r="R35" s="179">
        <f>Q35</f>
        <v>0.10817221866066153</v>
      </c>
      <c r="S35" s="178">
        <f t="shared" si="18"/>
        <v>2.085019514684251E-3</v>
      </c>
      <c r="T35" s="178">
        <f t="shared" si="19"/>
        <v>0.11025723817534577</v>
      </c>
      <c r="V35" s="178">
        <f t="shared" si="8"/>
        <v>3.9502572381753458</v>
      </c>
      <c r="W35" s="181">
        <f t="shared" si="9"/>
        <v>0</v>
      </c>
      <c r="X35" s="181">
        <f t="shared" si="10"/>
        <v>0</v>
      </c>
      <c r="Y35" s="182">
        <f t="shared" si="11"/>
        <v>0</v>
      </c>
      <c r="Z35" s="174"/>
      <c r="AA35" s="212">
        <f t="shared" si="12"/>
        <v>0</v>
      </c>
      <c r="AB35" s="210">
        <f t="shared" si="13"/>
        <v>2.8712822441496311E-2</v>
      </c>
    </row>
    <row r="36" spans="1:28">
      <c r="A36" s="27" t="s">
        <v>53</v>
      </c>
      <c r="F36" s="160"/>
      <c r="G36" s="162">
        <v>12</v>
      </c>
      <c r="I36" s="163">
        <v>0.42</v>
      </c>
      <c r="J36" s="150">
        <f t="shared" si="0"/>
        <v>0</v>
      </c>
      <c r="K36" s="150">
        <f t="shared" si="1"/>
        <v>0</v>
      </c>
      <c r="L36" s="29"/>
      <c r="M36" s="168">
        <f t="shared" si="7"/>
        <v>0</v>
      </c>
      <c r="N36" s="154">
        <f t="shared" si="15"/>
        <v>0</v>
      </c>
      <c r="O36" s="173">
        <f t="shared" si="14"/>
        <v>0</v>
      </c>
      <c r="P36" s="175"/>
      <c r="Q36" s="177">
        <f t="shared" si="16"/>
        <v>0</v>
      </c>
      <c r="R36" s="178">
        <f t="shared" si="17"/>
        <v>0</v>
      </c>
      <c r="S36" s="178">
        <f t="shared" si="18"/>
        <v>0</v>
      </c>
      <c r="T36" s="178">
        <f t="shared" si="19"/>
        <v>0</v>
      </c>
      <c r="V36" s="178">
        <f t="shared" si="8"/>
        <v>0.42</v>
      </c>
      <c r="W36" s="181">
        <f t="shared" si="9"/>
        <v>0</v>
      </c>
      <c r="X36" s="181">
        <f t="shared" si="10"/>
        <v>0</v>
      </c>
      <c r="Y36" s="182">
        <f t="shared" si="11"/>
        <v>0</v>
      </c>
      <c r="Z36" s="174"/>
      <c r="AA36" s="212">
        <f t="shared" si="12"/>
        <v>0</v>
      </c>
      <c r="AB36" s="210">
        <f t="shared" si="13"/>
        <v>0</v>
      </c>
    </row>
    <row r="37" spans="1:28">
      <c r="A37" s="27" t="s">
        <v>54</v>
      </c>
      <c r="F37" s="160"/>
      <c r="G37" s="162">
        <v>12</v>
      </c>
      <c r="I37" s="163">
        <v>0.53</v>
      </c>
      <c r="J37" s="150">
        <f t="shared" si="0"/>
        <v>0</v>
      </c>
      <c r="K37" s="150">
        <f t="shared" si="1"/>
        <v>0</v>
      </c>
      <c r="L37" s="29"/>
      <c r="M37" s="168">
        <f t="shared" si="7"/>
        <v>0</v>
      </c>
      <c r="N37" s="154">
        <f t="shared" si="15"/>
        <v>0</v>
      </c>
      <c r="O37" s="173">
        <f t="shared" si="14"/>
        <v>0</v>
      </c>
      <c r="P37" s="175"/>
      <c r="Q37" s="177">
        <f t="shared" si="16"/>
        <v>0</v>
      </c>
      <c r="R37" s="178">
        <f t="shared" si="17"/>
        <v>0</v>
      </c>
      <c r="S37" s="178">
        <f t="shared" si="18"/>
        <v>0</v>
      </c>
      <c r="T37" s="178">
        <f t="shared" si="19"/>
        <v>0</v>
      </c>
      <c r="V37" s="178">
        <f t="shared" si="8"/>
        <v>0.53</v>
      </c>
      <c r="W37" s="181">
        <f t="shared" si="9"/>
        <v>0</v>
      </c>
      <c r="X37" s="181">
        <f t="shared" si="10"/>
        <v>0</v>
      </c>
      <c r="Y37" s="182">
        <f t="shared" si="11"/>
        <v>0</v>
      </c>
      <c r="Z37" s="174"/>
      <c r="AA37" s="212">
        <f t="shared" si="12"/>
        <v>0</v>
      </c>
      <c r="AB37" s="210">
        <f t="shared" si="13"/>
        <v>0</v>
      </c>
    </row>
    <row r="38" spans="1:28">
      <c r="A38" s="27" t="s">
        <v>55</v>
      </c>
      <c r="F38" s="160"/>
      <c r="G38" s="162">
        <v>12</v>
      </c>
      <c r="I38" s="163">
        <v>1.0900000000000001</v>
      </c>
      <c r="J38" s="150">
        <f t="shared" si="0"/>
        <v>0</v>
      </c>
      <c r="K38" s="150">
        <f t="shared" si="1"/>
        <v>0</v>
      </c>
      <c r="L38" s="29"/>
      <c r="M38" s="168">
        <f t="shared" si="7"/>
        <v>0</v>
      </c>
      <c r="N38" s="154">
        <f t="shared" si="15"/>
        <v>0</v>
      </c>
      <c r="O38" s="173">
        <f t="shared" si="14"/>
        <v>0</v>
      </c>
      <c r="P38" s="175"/>
      <c r="Q38" s="177">
        <f t="shared" si="16"/>
        <v>0</v>
      </c>
      <c r="R38" s="178">
        <f t="shared" si="17"/>
        <v>0</v>
      </c>
      <c r="S38" s="178">
        <f t="shared" si="18"/>
        <v>0</v>
      </c>
      <c r="T38" s="178">
        <f t="shared" si="19"/>
        <v>0</v>
      </c>
      <c r="V38" s="178">
        <f t="shared" si="8"/>
        <v>1.0900000000000001</v>
      </c>
      <c r="W38" s="181">
        <f t="shared" si="9"/>
        <v>0</v>
      </c>
      <c r="X38" s="181">
        <f t="shared" si="10"/>
        <v>0</v>
      </c>
      <c r="Y38" s="182">
        <f t="shared" si="11"/>
        <v>0</v>
      </c>
      <c r="Z38" s="174"/>
      <c r="AA38" s="212">
        <f t="shared" si="12"/>
        <v>0</v>
      </c>
      <c r="AB38" s="210">
        <f t="shared" si="13"/>
        <v>0</v>
      </c>
    </row>
    <row r="39" spans="1:28">
      <c r="A39" s="27" t="s">
        <v>183</v>
      </c>
      <c r="F39" s="160"/>
      <c r="G39" s="162">
        <v>12</v>
      </c>
      <c r="I39" s="163">
        <v>1.86</v>
      </c>
      <c r="J39" s="150">
        <f t="shared" si="0"/>
        <v>0</v>
      </c>
      <c r="K39" s="150">
        <f t="shared" si="1"/>
        <v>0</v>
      </c>
      <c r="L39" s="29"/>
      <c r="M39" s="168">
        <f t="shared" si="7"/>
        <v>0</v>
      </c>
      <c r="N39" s="154">
        <f t="shared" si="15"/>
        <v>0</v>
      </c>
      <c r="O39" s="173">
        <f t="shared" si="14"/>
        <v>0</v>
      </c>
      <c r="P39" s="175"/>
      <c r="Q39" s="177">
        <f t="shared" si="16"/>
        <v>0</v>
      </c>
      <c r="R39" s="178">
        <f t="shared" si="17"/>
        <v>0</v>
      </c>
      <c r="S39" s="178">
        <f t="shared" si="18"/>
        <v>0</v>
      </c>
      <c r="T39" s="178">
        <f t="shared" si="19"/>
        <v>0</v>
      </c>
      <c r="V39" s="178">
        <f t="shared" si="8"/>
        <v>1.86</v>
      </c>
      <c r="W39" s="181">
        <f t="shared" si="9"/>
        <v>0</v>
      </c>
      <c r="X39" s="181">
        <f t="shared" si="10"/>
        <v>0</v>
      </c>
      <c r="Y39" s="182">
        <f t="shared" si="11"/>
        <v>0</v>
      </c>
      <c r="Z39" s="174"/>
      <c r="AA39" s="212">
        <f t="shared" si="12"/>
        <v>0</v>
      </c>
      <c r="AB39" s="210">
        <f t="shared" si="13"/>
        <v>0</v>
      </c>
    </row>
    <row r="40" spans="1:28">
      <c r="A40" s="27" t="s">
        <v>184</v>
      </c>
      <c r="F40" s="160"/>
      <c r="G40" s="162">
        <v>12</v>
      </c>
      <c r="I40" s="230">
        <v>1.86</v>
      </c>
      <c r="J40" s="150">
        <f t="shared" si="0"/>
        <v>0</v>
      </c>
      <c r="K40" s="150">
        <f t="shared" si="1"/>
        <v>0</v>
      </c>
      <c r="L40" s="29"/>
      <c r="M40" s="168">
        <f t="shared" si="7"/>
        <v>0</v>
      </c>
      <c r="N40" s="154">
        <f t="shared" si="15"/>
        <v>0</v>
      </c>
      <c r="O40" s="173">
        <f t="shared" si="14"/>
        <v>0</v>
      </c>
      <c r="P40" s="175"/>
      <c r="Q40" s="177">
        <f t="shared" si="16"/>
        <v>0</v>
      </c>
      <c r="R40" s="178">
        <f t="shared" si="17"/>
        <v>0</v>
      </c>
      <c r="S40" s="178">
        <f t="shared" si="18"/>
        <v>0</v>
      </c>
      <c r="T40" s="178">
        <f t="shared" si="19"/>
        <v>0</v>
      </c>
      <c r="V40" s="178">
        <f t="shared" si="8"/>
        <v>1.86</v>
      </c>
      <c r="W40" s="181">
        <f t="shared" si="9"/>
        <v>0</v>
      </c>
      <c r="X40" s="181">
        <f t="shared" si="10"/>
        <v>0</v>
      </c>
      <c r="Y40" s="182">
        <f t="shared" si="11"/>
        <v>0</v>
      </c>
      <c r="Z40" s="174"/>
      <c r="AA40" s="212">
        <f t="shared" si="12"/>
        <v>0</v>
      </c>
      <c r="AB40" s="210">
        <f t="shared" si="13"/>
        <v>0</v>
      </c>
    </row>
    <row r="41" spans="1:28">
      <c r="A41" s="27" t="s">
        <v>190</v>
      </c>
      <c r="F41" s="160"/>
      <c r="G41" s="162">
        <v>12</v>
      </c>
      <c r="I41" s="231">
        <f>3.94+3.33</f>
        <v>7.27</v>
      </c>
      <c r="J41" s="150">
        <f>F41*I41</f>
        <v>0</v>
      </c>
      <c r="K41" s="150">
        <f>J41*12</f>
        <v>0</v>
      </c>
      <c r="L41" s="29"/>
      <c r="M41" s="168">
        <f t="shared" si="7"/>
        <v>0</v>
      </c>
      <c r="N41" s="154">
        <f t="shared" si="15"/>
        <v>0</v>
      </c>
      <c r="O41" s="173">
        <f t="shared" si="14"/>
        <v>0</v>
      </c>
      <c r="P41" s="175"/>
      <c r="Q41" s="177">
        <f t="shared" si="16"/>
        <v>0</v>
      </c>
      <c r="R41" s="178">
        <f t="shared" si="17"/>
        <v>0</v>
      </c>
      <c r="S41" s="178">
        <f t="shared" si="18"/>
        <v>0</v>
      </c>
      <c r="T41" s="178">
        <f t="shared" si="19"/>
        <v>0</v>
      </c>
      <c r="V41" s="178">
        <f t="shared" si="8"/>
        <v>7.27</v>
      </c>
      <c r="W41" s="181">
        <f t="shared" si="9"/>
        <v>0</v>
      </c>
      <c r="X41" s="181">
        <f t="shared" si="10"/>
        <v>0</v>
      </c>
      <c r="Y41" s="182">
        <f t="shared" si="11"/>
        <v>0</v>
      </c>
      <c r="Z41" s="174"/>
      <c r="AA41" s="212">
        <f t="shared" si="12"/>
        <v>0</v>
      </c>
      <c r="AB41" s="210">
        <f t="shared" si="13"/>
        <v>0</v>
      </c>
    </row>
    <row r="42" spans="1:28">
      <c r="A42" s="27" t="s">
        <v>191</v>
      </c>
      <c r="F42" s="160"/>
      <c r="G42" s="162">
        <v>12</v>
      </c>
      <c r="I42" s="231">
        <f>8.17+3.33</f>
        <v>11.5</v>
      </c>
      <c r="J42" s="150">
        <f>F42*I42</f>
        <v>0</v>
      </c>
      <c r="K42" s="150">
        <f>J42*12</f>
        <v>0</v>
      </c>
      <c r="L42" s="29"/>
      <c r="M42" s="168">
        <f t="shared" si="7"/>
        <v>0</v>
      </c>
      <c r="N42" s="154">
        <f t="shared" si="15"/>
        <v>0</v>
      </c>
      <c r="O42" s="173">
        <f t="shared" si="14"/>
        <v>0</v>
      </c>
      <c r="P42" s="175"/>
      <c r="Q42" s="177">
        <f t="shared" si="16"/>
        <v>0</v>
      </c>
      <c r="R42" s="178">
        <f t="shared" si="17"/>
        <v>0</v>
      </c>
      <c r="S42" s="178">
        <f t="shared" si="18"/>
        <v>0</v>
      </c>
      <c r="T42" s="178">
        <f t="shared" si="19"/>
        <v>0</v>
      </c>
      <c r="V42" s="178">
        <f t="shared" si="8"/>
        <v>11.5</v>
      </c>
      <c r="W42" s="181">
        <f t="shared" si="9"/>
        <v>0</v>
      </c>
      <c r="X42" s="181">
        <f t="shared" si="10"/>
        <v>0</v>
      </c>
      <c r="Y42" s="182">
        <f t="shared" si="11"/>
        <v>0</v>
      </c>
      <c r="Z42" s="174"/>
      <c r="AA42" s="212">
        <f t="shared" si="12"/>
        <v>0</v>
      </c>
      <c r="AB42" s="210">
        <f t="shared" si="13"/>
        <v>0</v>
      </c>
    </row>
    <row r="43" spans="1:28">
      <c r="A43" s="27" t="s">
        <v>192</v>
      </c>
      <c r="F43" s="160"/>
      <c r="G43" s="162">
        <v>12</v>
      </c>
      <c r="I43" s="231">
        <f>8.43+3.33</f>
        <v>11.76</v>
      </c>
      <c r="J43" s="150">
        <f>F43*I43</f>
        <v>0</v>
      </c>
      <c r="K43" s="150">
        <f>J43*12</f>
        <v>0</v>
      </c>
      <c r="L43" s="29"/>
      <c r="M43" s="168">
        <f t="shared" si="7"/>
        <v>0</v>
      </c>
      <c r="N43" s="154">
        <f>ROUND(((F43*G43*L43)/2000),2)</f>
        <v>0</v>
      </c>
      <c r="O43" s="173">
        <f t="shared" si="14"/>
        <v>0</v>
      </c>
      <c r="P43" s="175"/>
      <c r="Q43" s="177">
        <f>M43*$R$12</f>
        <v>0</v>
      </c>
      <c r="R43" s="178">
        <f t="shared" si="17"/>
        <v>0</v>
      </c>
      <c r="S43" s="178">
        <f>R43*$U$11</f>
        <v>0</v>
      </c>
      <c r="T43" s="178">
        <f>+R43+S43</f>
        <v>0</v>
      </c>
      <c r="V43" s="178">
        <f t="shared" si="8"/>
        <v>11.76</v>
      </c>
      <c r="W43" s="181">
        <f t="shared" si="9"/>
        <v>0</v>
      </c>
      <c r="X43" s="181">
        <f t="shared" si="10"/>
        <v>0</v>
      </c>
      <c r="Y43" s="182">
        <f t="shared" si="11"/>
        <v>0</v>
      </c>
      <c r="Z43" s="174"/>
      <c r="AA43" s="212">
        <f t="shared" si="12"/>
        <v>0</v>
      </c>
      <c r="AB43" s="210">
        <f t="shared" si="13"/>
        <v>0</v>
      </c>
    </row>
    <row r="44" spans="1:28">
      <c r="A44" s="229" t="s">
        <v>186</v>
      </c>
      <c r="I44" s="2"/>
      <c r="J44" s="3"/>
      <c r="K44" s="3"/>
      <c r="L44" s="29"/>
      <c r="N44" s="3"/>
      <c r="O44" s="30"/>
      <c r="AA44" s="144"/>
    </row>
    <row r="45" spans="1:28">
      <c r="A45" s="27" t="s">
        <v>40</v>
      </c>
      <c r="F45" s="160"/>
      <c r="G45" s="162">
        <v>52</v>
      </c>
      <c r="I45" s="163">
        <v>7.67</v>
      </c>
      <c r="J45" s="150">
        <f t="shared" ref="J45:J63" si="20">F45*I45</f>
        <v>0</v>
      </c>
      <c r="K45" s="150">
        <f t="shared" ref="K45:K63" si="21">J45*12</f>
        <v>0</v>
      </c>
      <c r="L45" s="29">
        <f>ROUND((L$15/32*19),2)</f>
        <v>12.47</v>
      </c>
      <c r="M45" s="167">
        <f>L45*$O$4</f>
        <v>8.9089727673102761</v>
      </c>
      <c r="N45" s="150">
        <f>ROUND(((F45*G45*L45)/2000),2)</f>
        <v>0</v>
      </c>
      <c r="O45" s="173">
        <f>$O$4*N45</f>
        <v>0</v>
      </c>
      <c r="P45" s="174"/>
      <c r="Q45" s="177">
        <f>M45*$R$12</f>
        <v>6.4233693652307106E-2</v>
      </c>
      <c r="R45" s="178">
        <f t="shared" si="17"/>
        <v>0.27813189351448975</v>
      </c>
      <c r="S45" s="178">
        <f>R45*$U$11</f>
        <v>5.3609922474917903E-3</v>
      </c>
      <c r="T45" s="178">
        <f>+R45+S45</f>
        <v>0.28349288576198156</v>
      </c>
      <c r="V45" s="178">
        <f t="shared" ref="V45:V63" si="22">I45+T45</f>
        <v>7.9534928857619818</v>
      </c>
      <c r="W45" s="181">
        <f t="shared" ref="W45:W63" si="23">F45*V45</f>
        <v>0</v>
      </c>
      <c r="X45" s="181">
        <f t="shared" ref="X45:X63" si="24">W45-J45</f>
        <v>0</v>
      </c>
      <c r="Y45" s="182">
        <f t="shared" si="11"/>
        <v>0</v>
      </c>
      <c r="Z45" s="174"/>
      <c r="AA45" s="212">
        <f t="shared" ref="AA45:AA63" si="25">O45*$R$11</f>
        <v>0</v>
      </c>
      <c r="AB45" s="210">
        <f t="shared" ref="AB45:AB63" si="26">IF(I45=0,"",V45/I45-1)</f>
        <v>3.6961262811210149E-2</v>
      </c>
    </row>
    <row r="46" spans="1:28">
      <c r="A46" s="27" t="s">
        <v>41</v>
      </c>
      <c r="F46" s="160"/>
      <c r="G46" s="162">
        <v>52</v>
      </c>
      <c r="I46" s="163">
        <v>12.28</v>
      </c>
      <c r="J46" s="150">
        <f t="shared" si="20"/>
        <v>0</v>
      </c>
      <c r="K46" s="150">
        <f t="shared" si="21"/>
        <v>0</v>
      </c>
      <c r="L46" s="29">
        <f>+$L$15</f>
        <v>21</v>
      </c>
      <c r="M46" s="167">
        <f t="shared" ref="M46:M67" si="27">L46*$O$4</f>
        <v>15.003081645029335</v>
      </c>
      <c r="N46" s="150">
        <f t="shared" ref="N46:N63" si="28">ROUND(((F46*G46*L46)/2000),2)</f>
        <v>0</v>
      </c>
      <c r="O46" s="173">
        <f t="shared" ref="O46:O63" si="29">$O$4*N46</f>
        <v>0</v>
      </c>
      <c r="P46" s="174"/>
      <c r="Q46" s="177">
        <f t="shared" ref="Q46:Q63" si="30">M46*$R$12</f>
        <v>0.10817221866066153</v>
      </c>
      <c r="R46" s="178">
        <f t="shared" si="17"/>
        <v>0.46838570680066444</v>
      </c>
      <c r="S46" s="178">
        <f t="shared" ref="S46:S63" si="31">R46*$U$11</f>
        <v>9.0281344985828071E-3</v>
      </c>
      <c r="T46" s="178">
        <f t="shared" ref="T46:T63" si="32">+R46+S46</f>
        <v>0.47741384129924724</v>
      </c>
      <c r="V46" s="178">
        <f t="shared" si="22"/>
        <v>12.757413841299247</v>
      </c>
      <c r="W46" s="181">
        <f t="shared" si="23"/>
        <v>0</v>
      </c>
      <c r="X46" s="181">
        <f t="shared" si="24"/>
        <v>0</v>
      </c>
      <c r="Y46" s="182">
        <f t="shared" si="11"/>
        <v>0</v>
      </c>
      <c r="Z46" s="174"/>
      <c r="AA46" s="212">
        <f t="shared" si="25"/>
        <v>0</v>
      </c>
      <c r="AB46" s="210">
        <f t="shared" si="26"/>
        <v>3.8877348640003806E-2</v>
      </c>
    </row>
    <row r="47" spans="1:28">
      <c r="A47" s="27" t="s">
        <v>42</v>
      </c>
      <c r="F47" s="160"/>
      <c r="G47" s="162">
        <v>52</v>
      </c>
      <c r="I47" s="163">
        <v>21.02</v>
      </c>
      <c r="J47" s="150">
        <f t="shared" si="20"/>
        <v>0</v>
      </c>
      <c r="K47" s="150">
        <f t="shared" si="21"/>
        <v>0</v>
      </c>
      <c r="L47" s="29">
        <f>+$L$15*2</f>
        <v>42</v>
      </c>
      <c r="M47" s="167">
        <f t="shared" si="27"/>
        <v>30.006163290058669</v>
      </c>
      <c r="N47" s="150">
        <f t="shared" si="28"/>
        <v>0</v>
      </c>
      <c r="O47" s="173">
        <f t="shared" si="29"/>
        <v>0</v>
      </c>
      <c r="P47" s="174"/>
      <c r="Q47" s="177">
        <f t="shared" si="30"/>
        <v>0.21634443732132305</v>
      </c>
      <c r="R47" s="178">
        <f t="shared" si="17"/>
        <v>0.93677141360132887</v>
      </c>
      <c r="S47" s="178">
        <f t="shared" si="31"/>
        <v>1.8056268997165614E-2</v>
      </c>
      <c r="T47" s="178">
        <f t="shared" si="32"/>
        <v>0.95482768259849449</v>
      </c>
      <c r="V47" s="178">
        <f t="shared" si="22"/>
        <v>21.974827682598495</v>
      </c>
      <c r="W47" s="181">
        <f t="shared" si="23"/>
        <v>0</v>
      </c>
      <c r="X47" s="181">
        <f t="shared" si="24"/>
        <v>0</v>
      </c>
      <c r="Y47" s="182">
        <f t="shared" si="11"/>
        <v>0</v>
      </c>
      <c r="Z47" s="174"/>
      <c r="AA47" s="212">
        <f t="shared" si="25"/>
        <v>0</v>
      </c>
      <c r="AB47" s="210">
        <f t="shared" si="26"/>
        <v>4.5424723244457343E-2</v>
      </c>
    </row>
    <row r="48" spans="1:28">
      <c r="A48" s="27" t="s">
        <v>43</v>
      </c>
      <c r="F48" s="160"/>
      <c r="G48" s="162">
        <v>52</v>
      </c>
      <c r="I48" s="163">
        <v>30.71</v>
      </c>
      <c r="J48" s="150">
        <f t="shared" si="20"/>
        <v>0</v>
      </c>
      <c r="K48" s="150">
        <f t="shared" si="21"/>
        <v>0</v>
      </c>
      <c r="L48" s="29">
        <f>+$L$15*3</f>
        <v>63</v>
      </c>
      <c r="M48" s="167">
        <f t="shared" si="27"/>
        <v>45.009244935088006</v>
      </c>
      <c r="N48" s="150">
        <f t="shared" si="28"/>
        <v>0</v>
      </c>
      <c r="O48" s="173">
        <f t="shared" si="29"/>
        <v>0</v>
      </c>
      <c r="P48" s="174"/>
      <c r="Q48" s="177">
        <f t="shared" si="30"/>
        <v>0.32451665598198459</v>
      </c>
      <c r="R48" s="178">
        <f t="shared" si="17"/>
        <v>1.4051571204019933</v>
      </c>
      <c r="S48" s="178">
        <f t="shared" si="31"/>
        <v>2.7084403495748421E-2</v>
      </c>
      <c r="T48" s="178">
        <f t="shared" si="32"/>
        <v>1.4322415238977417</v>
      </c>
      <c r="V48" s="178">
        <f t="shared" si="22"/>
        <v>32.142241523897745</v>
      </c>
      <c r="W48" s="181">
        <f t="shared" si="23"/>
        <v>0</v>
      </c>
      <c r="X48" s="181">
        <f t="shared" si="24"/>
        <v>0</v>
      </c>
      <c r="Y48" s="182">
        <f t="shared" si="11"/>
        <v>0</v>
      </c>
      <c r="Z48" s="174"/>
      <c r="AA48" s="212">
        <f t="shared" si="25"/>
        <v>0</v>
      </c>
      <c r="AB48" s="210">
        <f t="shared" si="26"/>
        <v>4.6637626958571987E-2</v>
      </c>
    </row>
    <row r="49" spans="1:28">
      <c r="A49" s="27" t="s">
        <v>44</v>
      </c>
      <c r="F49" s="160"/>
      <c r="G49" s="162">
        <v>52</v>
      </c>
      <c r="I49" s="163">
        <v>41.37</v>
      </c>
      <c r="J49" s="150">
        <f t="shared" si="20"/>
        <v>0</v>
      </c>
      <c r="K49" s="150">
        <f t="shared" si="21"/>
        <v>0</v>
      </c>
      <c r="L49" s="29">
        <f>+$L$15*4</f>
        <v>84</v>
      </c>
      <c r="M49" s="167">
        <f t="shared" si="27"/>
        <v>60.012326580117339</v>
      </c>
      <c r="N49" s="150">
        <f t="shared" si="28"/>
        <v>0</v>
      </c>
      <c r="O49" s="173">
        <f t="shared" si="29"/>
        <v>0</v>
      </c>
      <c r="P49" s="174"/>
      <c r="Q49" s="177">
        <f t="shared" si="30"/>
        <v>0.4326888746426461</v>
      </c>
      <c r="R49" s="178">
        <f t="shared" si="17"/>
        <v>1.8735428272026577</v>
      </c>
      <c r="S49" s="178">
        <f t="shared" si="31"/>
        <v>3.6112537994331229E-2</v>
      </c>
      <c r="T49" s="178">
        <f t="shared" si="32"/>
        <v>1.909655365196989</v>
      </c>
      <c r="V49" s="178">
        <f t="shared" si="22"/>
        <v>43.279655365196987</v>
      </c>
      <c r="W49" s="181">
        <f t="shared" si="23"/>
        <v>0</v>
      </c>
      <c r="X49" s="181">
        <f t="shared" si="24"/>
        <v>0</v>
      </c>
      <c r="Y49" s="182">
        <f t="shared" si="11"/>
        <v>0</v>
      </c>
      <c r="Z49" s="174"/>
      <c r="AA49" s="212">
        <f t="shared" si="25"/>
        <v>0</v>
      </c>
      <c r="AB49" s="210">
        <f t="shared" si="26"/>
        <v>4.6160390746845303E-2</v>
      </c>
    </row>
    <row r="50" spans="1:28">
      <c r="A50" s="27" t="s">
        <v>45</v>
      </c>
      <c r="F50" s="160"/>
      <c r="G50" s="162">
        <v>52</v>
      </c>
      <c r="I50" s="163">
        <v>52.32</v>
      </c>
      <c r="J50" s="150">
        <f t="shared" si="20"/>
        <v>0</v>
      </c>
      <c r="K50" s="150">
        <f t="shared" si="21"/>
        <v>0</v>
      </c>
      <c r="L50" s="29">
        <f>+$L$15*5</f>
        <v>105</v>
      </c>
      <c r="M50" s="167">
        <f t="shared" si="27"/>
        <v>75.015408225146672</v>
      </c>
      <c r="N50" s="150">
        <f t="shared" si="28"/>
        <v>0</v>
      </c>
      <c r="O50" s="173">
        <f t="shared" si="29"/>
        <v>0</v>
      </c>
      <c r="P50" s="174"/>
      <c r="Q50" s="177">
        <f t="shared" si="30"/>
        <v>0.54086109330330756</v>
      </c>
      <c r="R50" s="178">
        <f t="shared" si="17"/>
        <v>2.3419285340033218</v>
      </c>
      <c r="S50" s="178">
        <f t="shared" si="31"/>
        <v>4.5140672492914029E-2</v>
      </c>
      <c r="T50" s="178">
        <f t="shared" si="32"/>
        <v>2.387069206496236</v>
      </c>
      <c r="V50" s="178">
        <f t="shared" si="22"/>
        <v>54.707069206496236</v>
      </c>
      <c r="W50" s="181">
        <f t="shared" si="23"/>
        <v>0</v>
      </c>
      <c r="X50" s="181">
        <f t="shared" si="24"/>
        <v>0</v>
      </c>
      <c r="Y50" s="182">
        <f t="shared" si="11"/>
        <v>0</v>
      </c>
      <c r="Z50" s="174"/>
      <c r="AA50" s="212">
        <f t="shared" si="25"/>
        <v>0</v>
      </c>
      <c r="AB50" s="210">
        <f t="shared" si="26"/>
        <v>4.5624411439148194E-2</v>
      </c>
    </row>
    <row r="51" spans="1:28">
      <c r="A51" s="27" t="s">
        <v>46</v>
      </c>
      <c r="F51" s="160"/>
      <c r="G51" s="162">
        <v>52</v>
      </c>
      <c r="I51" s="163">
        <v>0</v>
      </c>
      <c r="J51" s="150">
        <f t="shared" si="20"/>
        <v>0</v>
      </c>
      <c r="K51" s="150">
        <f t="shared" si="21"/>
        <v>0</v>
      </c>
      <c r="L51" s="29">
        <f>+$L$15*6</f>
        <v>126</v>
      </c>
      <c r="M51" s="167">
        <f t="shared" si="27"/>
        <v>90.018489870176012</v>
      </c>
      <c r="N51" s="150">
        <f t="shared" si="28"/>
        <v>0</v>
      </c>
      <c r="O51" s="173">
        <f t="shared" si="29"/>
        <v>0</v>
      </c>
      <c r="P51" s="174"/>
      <c r="Q51" s="177">
        <f t="shared" si="30"/>
        <v>0.64903331196396918</v>
      </c>
      <c r="R51" s="178">
        <f t="shared" si="17"/>
        <v>2.8103142408039865</v>
      </c>
      <c r="S51" s="178">
        <f t="shared" si="31"/>
        <v>5.4168806991496843E-2</v>
      </c>
      <c r="T51" s="178">
        <f t="shared" si="32"/>
        <v>2.8644830477954835</v>
      </c>
      <c r="V51" s="178">
        <f t="shared" si="22"/>
        <v>2.8644830477954835</v>
      </c>
      <c r="W51" s="181">
        <f t="shared" si="23"/>
        <v>0</v>
      </c>
      <c r="X51" s="181">
        <f t="shared" si="24"/>
        <v>0</v>
      </c>
      <c r="Y51" s="182">
        <f t="shared" si="11"/>
        <v>0</v>
      </c>
      <c r="Z51" s="174"/>
      <c r="AA51" s="212">
        <f t="shared" si="25"/>
        <v>0</v>
      </c>
      <c r="AB51" s="210" t="str">
        <f t="shared" si="26"/>
        <v/>
      </c>
    </row>
    <row r="52" spans="1:28">
      <c r="A52" s="27" t="s">
        <v>47</v>
      </c>
      <c r="F52" s="160"/>
      <c r="G52" s="162">
        <v>12</v>
      </c>
      <c r="I52" s="163">
        <v>4.51</v>
      </c>
      <c r="J52" s="150">
        <f t="shared" si="20"/>
        <v>0</v>
      </c>
      <c r="K52" s="150">
        <f t="shared" si="21"/>
        <v>0</v>
      </c>
      <c r="L52" s="29">
        <f>+$L$15</f>
        <v>21</v>
      </c>
      <c r="M52" s="167">
        <f t="shared" si="27"/>
        <v>15.003081645029335</v>
      </c>
      <c r="N52" s="150">
        <f t="shared" si="28"/>
        <v>0</v>
      </c>
      <c r="O52" s="173">
        <f t="shared" si="29"/>
        <v>0</v>
      </c>
      <c r="P52" s="174"/>
      <c r="Q52" s="177">
        <f t="shared" si="30"/>
        <v>0.10817221866066153</v>
      </c>
      <c r="R52" s="178">
        <f t="shared" si="17"/>
        <v>0.46838570680066444</v>
      </c>
      <c r="S52" s="178">
        <f t="shared" si="31"/>
        <v>9.0281344985828071E-3</v>
      </c>
      <c r="T52" s="178">
        <f t="shared" si="32"/>
        <v>0.47741384129924724</v>
      </c>
      <c r="V52" s="178">
        <f t="shared" si="22"/>
        <v>4.9874138412992473</v>
      </c>
      <c r="W52" s="181">
        <f t="shared" si="23"/>
        <v>0</v>
      </c>
      <c r="X52" s="181">
        <f t="shared" si="24"/>
        <v>0</v>
      </c>
      <c r="Y52" s="182">
        <f t="shared" si="11"/>
        <v>0</v>
      </c>
      <c r="Z52" s="174"/>
      <c r="AA52" s="212">
        <f t="shared" si="25"/>
        <v>0</v>
      </c>
      <c r="AB52" s="210">
        <f t="shared" si="26"/>
        <v>0.10585672756080866</v>
      </c>
    </row>
    <row r="53" spans="1:28">
      <c r="A53" s="27" t="s">
        <v>48</v>
      </c>
      <c r="F53" s="160"/>
      <c r="G53" s="162">
        <v>52</v>
      </c>
      <c r="I53" s="163">
        <v>12.28</v>
      </c>
      <c r="J53" s="150">
        <f t="shared" si="20"/>
        <v>0</v>
      </c>
      <c r="K53" s="150">
        <f t="shared" si="21"/>
        <v>0</v>
      </c>
      <c r="L53" s="29">
        <f>+$L$15</f>
        <v>21</v>
      </c>
      <c r="M53" s="167">
        <f t="shared" si="27"/>
        <v>15.003081645029335</v>
      </c>
      <c r="N53" s="150">
        <f t="shared" si="28"/>
        <v>0</v>
      </c>
      <c r="O53" s="173">
        <f t="shared" si="29"/>
        <v>0</v>
      </c>
      <c r="P53" s="174"/>
      <c r="Q53" s="177">
        <f t="shared" si="30"/>
        <v>0.10817221866066153</v>
      </c>
      <c r="R53" s="178">
        <f t="shared" si="17"/>
        <v>0.46838570680066444</v>
      </c>
      <c r="S53" s="178">
        <f t="shared" si="31"/>
        <v>9.0281344985828071E-3</v>
      </c>
      <c r="T53" s="178">
        <f t="shared" si="32"/>
        <v>0.47741384129924724</v>
      </c>
      <c r="V53" s="178">
        <f t="shared" si="22"/>
        <v>12.757413841299247</v>
      </c>
      <c r="W53" s="181">
        <f t="shared" si="23"/>
        <v>0</v>
      </c>
      <c r="X53" s="181">
        <f t="shared" si="24"/>
        <v>0</v>
      </c>
      <c r="Y53" s="182">
        <f t="shared" si="11"/>
        <v>0</v>
      </c>
      <c r="Z53" s="174"/>
      <c r="AA53" s="212">
        <f t="shared" si="25"/>
        <v>0</v>
      </c>
      <c r="AB53" s="210">
        <f t="shared" si="26"/>
        <v>3.8877348640003806E-2</v>
      </c>
    </row>
    <row r="54" spans="1:28">
      <c r="A54" s="27" t="s">
        <v>49</v>
      </c>
      <c r="F54" s="160"/>
      <c r="G54" s="162">
        <v>52</v>
      </c>
      <c r="I54" s="163">
        <v>21.02</v>
      </c>
      <c r="J54" s="150">
        <f t="shared" si="20"/>
        <v>0</v>
      </c>
      <c r="K54" s="150">
        <f t="shared" si="21"/>
        <v>0</v>
      </c>
      <c r="L54" s="29">
        <f>+$L$15*2</f>
        <v>42</v>
      </c>
      <c r="M54" s="167">
        <f t="shared" si="27"/>
        <v>30.006163290058669</v>
      </c>
      <c r="N54" s="150">
        <f t="shared" si="28"/>
        <v>0</v>
      </c>
      <c r="O54" s="173">
        <f t="shared" si="29"/>
        <v>0</v>
      </c>
      <c r="P54" s="174"/>
      <c r="Q54" s="177">
        <f t="shared" si="30"/>
        <v>0.21634443732132305</v>
      </c>
      <c r="R54" s="178">
        <f t="shared" si="17"/>
        <v>0.93677141360132887</v>
      </c>
      <c r="S54" s="178">
        <f t="shared" si="31"/>
        <v>1.8056268997165614E-2</v>
      </c>
      <c r="T54" s="178">
        <f t="shared" si="32"/>
        <v>0.95482768259849449</v>
      </c>
      <c r="V54" s="178">
        <f t="shared" si="22"/>
        <v>21.974827682598495</v>
      </c>
      <c r="W54" s="181">
        <f t="shared" si="23"/>
        <v>0</v>
      </c>
      <c r="X54" s="181">
        <f t="shared" si="24"/>
        <v>0</v>
      </c>
      <c r="Y54" s="182">
        <f t="shared" si="11"/>
        <v>0</v>
      </c>
      <c r="Z54" s="174"/>
      <c r="AA54" s="212">
        <f t="shared" si="25"/>
        <v>0</v>
      </c>
      <c r="AB54" s="210">
        <f t="shared" si="26"/>
        <v>4.5424723244457343E-2</v>
      </c>
    </row>
    <row r="55" spans="1:28">
      <c r="A55" s="27" t="s">
        <v>50</v>
      </c>
      <c r="F55" s="160"/>
      <c r="G55" s="162">
        <v>52</v>
      </c>
      <c r="I55" s="163">
        <v>30.71</v>
      </c>
      <c r="J55" s="150">
        <f t="shared" si="20"/>
        <v>0</v>
      </c>
      <c r="K55" s="150">
        <f t="shared" si="21"/>
        <v>0</v>
      </c>
      <c r="L55" s="29">
        <f>+$L$15*3</f>
        <v>63</v>
      </c>
      <c r="M55" s="167">
        <f t="shared" si="27"/>
        <v>45.009244935088006</v>
      </c>
      <c r="N55" s="150">
        <f t="shared" si="28"/>
        <v>0</v>
      </c>
      <c r="O55" s="173">
        <f t="shared" si="29"/>
        <v>0</v>
      </c>
      <c r="P55" s="174"/>
      <c r="Q55" s="177">
        <f t="shared" si="30"/>
        <v>0.32451665598198459</v>
      </c>
      <c r="R55" s="178">
        <f t="shared" si="17"/>
        <v>1.4051571204019933</v>
      </c>
      <c r="S55" s="178">
        <f t="shared" si="31"/>
        <v>2.7084403495748421E-2</v>
      </c>
      <c r="T55" s="178">
        <f t="shared" si="32"/>
        <v>1.4322415238977417</v>
      </c>
      <c r="V55" s="178">
        <f t="shared" si="22"/>
        <v>32.142241523897745</v>
      </c>
      <c r="W55" s="181">
        <f t="shared" si="23"/>
        <v>0</v>
      </c>
      <c r="X55" s="181">
        <f t="shared" si="24"/>
        <v>0</v>
      </c>
      <c r="Y55" s="182">
        <f t="shared" si="11"/>
        <v>0</v>
      </c>
      <c r="Z55" s="174"/>
      <c r="AA55" s="212">
        <f t="shared" si="25"/>
        <v>0</v>
      </c>
      <c r="AB55" s="210">
        <f t="shared" si="26"/>
        <v>4.6637626958571987E-2</v>
      </c>
    </row>
    <row r="56" spans="1:28">
      <c r="A56" s="27" t="s">
        <v>187</v>
      </c>
      <c r="F56" s="160"/>
      <c r="G56" s="162">
        <v>12</v>
      </c>
      <c r="I56" s="231">
        <v>12.28</v>
      </c>
      <c r="J56" s="150">
        <f t="shared" si="20"/>
        <v>0</v>
      </c>
      <c r="K56" s="150">
        <f t="shared" si="21"/>
        <v>0</v>
      </c>
      <c r="L56" s="29">
        <f>+$L$15</f>
        <v>21</v>
      </c>
      <c r="M56" s="167">
        <f t="shared" si="27"/>
        <v>15.003081645029335</v>
      </c>
      <c r="N56" s="150">
        <f t="shared" si="28"/>
        <v>0</v>
      </c>
      <c r="O56" s="173">
        <f t="shared" si="29"/>
        <v>0</v>
      </c>
      <c r="P56" s="174"/>
      <c r="Q56" s="177">
        <f t="shared" si="30"/>
        <v>0.10817221866066153</v>
      </c>
      <c r="R56" s="178">
        <f t="shared" si="17"/>
        <v>0.46838570680066444</v>
      </c>
      <c r="S56" s="178">
        <f t="shared" si="31"/>
        <v>9.0281344985828071E-3</v>
      </c>
      <c r="T56" s="178">
        <f t="shared" si="32"/>
        <v>0.47741384129924724</v>
      </c>
      <c r="V56" s="178">
        <f t="shared" si="22"/>
        <v>12.757413841299247</v>
      </c>
      <c r="W56" s="181">
        <f t="shared" si="23"/>
        <v>0</v>
      </c>
      <c r="X56" s="181">
        <f t="shared" si="24"/>
        <v>0</v>
      </c>
      <c r="Y56" s="182">
        <f t="shared" si="11"/>
        <v>0</v>
      </c>
      <c r="Z56" s="174"/>
      <c r="AA56" s="212">
        <f t="shared" si="25"/>
        <v>0</v>
      </c>
      <c r="AB56" s="210">
        <f t="shared" si="26"/>
        <v>3.8877348640003806E-2</v>
      </c>
    </row>
    <row r="57" spans="1:28">
      <c r="A57" s="27" t="s">
        <v>188</v>
      </c>
      <c r="F57" s="160"/>
      <c r="G57" s="162">
        <v>12</v>
      </c>
      <c r="I57" s="231">
        <v>21.02</v>
      </c>
      <c r="J57" s="150">
        <f t="shared" si="20"/>
        <v>0</v>
      </c>
      <c r="K57" s="150">
        <f t="shared" si="21"/>
        <v>0</v>
      </c>
      <c r="L57" s="29">
        <f>+$L$15*2</f>
        <v>42</v>
      </c>
      <c r="M57" s="167">
        <f t="shared" si="27"/>
        <v>30.006163290058669</v>
      </c>
      <c r="N57" s="150">
        <f t="shared" si="28"/>
        <v>0</v>
      </c>
      <c r="O57" s="173">
        <f t="shared" si="29"/>
        <v>0</v>
      </c>
      <c r="P57" s="174"/>
      <c r="Q57" s="177">
        <f t="shared" si="30"/>
        <v>0.21634443732132305</v>
      </c>
      <c r="R57" s="178">
        <f t="shared" si="17"/>
        <v>0.93677141360132887</v>
      </c>
      <c r="S57" s="178">
        <f t="shared" si="31"/>
        <v>1.8056268997165614E-2</v>
      </c>
      <c r="T57" s="178">
        <f t="shared" si="32"/>
        <v>0.95482768259849449</v>
      </c>
      <c r="V57" s="178">
        <f t="shared" si="22"/>
        <v>21.974827682598495</v>
      </c>
      <c r="W57" s="181">
        <f t="shared" si="23"/>
        <v>0</v>
      </c>
      <c r="X57" s="181">
        <f t="shared" si="24"/>
        <v>0</v>
      </c>
      <c r="Y57" s="182">
        <f t="shared" si="11"/>
        <v>0</v>
      </c>
      <c r="Z57" s="174"/>
      <c r="AA57" s="212">
        <f t="shared" si="25"/>
        <v>0</v>
      </c>
      <c r="AB57" s="210">
        <f t="shared" si="26"/>
        <v>4.5424723244457343E-2</v>
      </c>
    </row>
    <row r="58" spans="1:28">
      <c r="A58" s="27" t="s">
        <v>189</v>
      </c>
      <c r="F58" s="160"/>
      <c r="G58" s="162">
        <v>12</v>
      </c>
      <c r="I58" s="231">
        <v>30.71</v>
      </c>
      <c r="J58" s="150">
        <f t="shared" si="20"/>
        <v>0</v>
      </c>
      <c r="K58" s="150">
        <f t="shared" si="21"/>
        <v>0</v>
      </c>
      <c r="L58" s="29">
        <f>+$L$15*3</f>
        <v>63</v>
      </c>
      <c r="M58" s="167">
        <f t="shared" si="27"/>
        <v>45.009244935088006</v>
      </c>
      <c r="N58" s="150">
        <f t="shared" si="28"/>
        <v>0</v>
      </c>
      <c r="O58" s="173">
        <f t="shared" si="29"/>
        <v>0</v>
      </c>
      <c r="P58" s="174"/>
      <c r="Q58" s="177">
        <f t="shared" si="30"/>
        <v>0.32451665598198459</v>
      </c>
      <c r="R58" s="178">
        <f t="shared" si="17"/>
        <v>1.4051571204019933</v>
      </c>
      <c r="S58" s="178">
        <f t="shared" si="31"/>
        <v>2.7084403495748421E-2</v>
      </c>
      <c r="T58" s="178">
        <f t="shared" si="32"/>
        <v>1.4322415238977417</v>
      </c>
      <c r="V58" s="178">
        <f t="shared" si="22"/>
        <v>32.142241523897745</v>
      </c>
      <c r="W58" s="181">
        <f t="shared" si="23"/>
        <v>0</v>
      </c>
      <c r="X58" s="181">
        <f t="shared" si="24"/>
        <v>0</v>
      </c>
      <c r="Y58" s="182">
        <f t="shared" si="11"/>
        <v>0</v>
      </c>
      <c r="Z58" s="174"/>
      <c r="AA58" s="212">
        <f t="shared" si="25"/>
        <v>0</v>
      </c>
      <c r="AB58" s="210">
        <f t="shared" si="26"/>
        <v>4.6637626958571987E-2</v>
      </c>
    </row>
    <row r="59" spans="1:28">
      <c r="A59" s="27" t="s">
        <v>52</v>
      </c>
      <c r="F59" s="160"/>
      <c r="G59" s="162">
        <v>12</v>
      </c>
      <c r="I59" s="163">
        <v>3.84</v>
      </c>
      <c r="J59" s="150">
        <f t="shared" si="20"/>
        <v>0</v>
      </c>
      <c r="K59" s="150">
        <f t="shared" si="21"/>
        <v>0</v>
      </c>
      <c r="L59" s="29">
        <f>+$L$15</f>
        <v>21</v>
      </c>
      <c r="M59" s="167">
        <f t="shared" si="27"/>
        <v>15.003081645029335</v>
      </c>
      <c r="N59" s="150">
        <f t="shared" si="28"/>
        <v>0</v>
      </c>
      <c r="O59" s="173">
        <f t="shared" si="29"/>
        <v>0</v>
      </c>
      <c r="P59" s="174"/>
      <c r="Q59" s="177">
        <f t="shared" si="30"/>
        <v>0.10817221866066153</v>
      </c>
      <c r="R59" s="178">
        <f t="shared" si="17"/>
        <v>0.46838570680066444</v>
      </c>
      <c r="S59" s="178">
        <f t="shared" si="31"/>
        <v>9.0281344985828071E-3</v>
      </c>
      <c r="T59" s="178">
        <f t="shared" si="32"/>
        <v>0.47741384129924724</v>
      </c>
      <c r="V59" s="178">
        <f t="shared" si="22"/>
        <v>4.3174138412992473</v>
      </c>
      <c r="W59" s="181">
        <f t="shared" si="23"/>
        <v>0</v>
      </c>
      <c r="X59" s="181">
        <f t="shared" si="24"/>
        <v>0</v>
      </c>
      <c r="Y59" s="182">
        <f t="shared" si="11"/>
        <v>0</v>
      </c>
      <c r="Z59" s="174"/>
      <c r="AA59" s="212">
        <f t="shared" si="25"/>
        <v>0</v>
      </c>
      <c r="AB59" s="210">
        <f t="shared" si="26"/>
        <v>0.12432652117167908</v>
      </c>
    </row>
    <row r="60" spans="1:28">
      <c r="A60" s="27" t="s">
        <v>53</v>
      </c>
      <c r="F60" s="160"/>
      <c r="G60" s="162">
        <v>12</v>
      </c>
      <c r="I60" s="163">
        <v>0.42</v>
      </c>
      <c r="J60" s="150">
        <f t="shared" si="20"/>
        <v>0</v>
      </c>
      <c r="K60" s="150">
        <f t="shared" si="21"/>
        <v>0</v>
      </c>
      <c r="L60" s="29"/>
      <c r="M60" s="167">
        <f t="shared" si="27"/>
        <v>0</v>
      </c>
      <c r="N60" s="150">
        <f t="shared" si="28"/>
        <v>0</v>
      </c>
      <c r="O60" s="173">
        <f t="shared" si="29"/>
        <v>0</v>
      </c>
      <c r="P60" s="174"/>
      <c r="Q60" s="177">
        <f t="shared" si="30"/>
        <v>0</v>
      </c>
      <c r="R60" s="178">
        <f t="shared" si="17"/>
        <v>0</v>
      </c>
      <c r="S60" s="178">
        <f t="shared" si="31"/>
        <v>0</v>
      </c>
      <c r="T60" s="178">
        <f t="shared" si="32"/>
        <v>0</v>
      </c>
      <c r="V60" s="178">
        <f t="shared" si="22"/>
        <v>0.42</v>
      </c>
      <c r="W60" s="181">
        <f t="shared" si="23"/>
        <v>0</v>
      </c>
      <c r="X60" s="181">
        <f t="shared" si="24"/>
        <v>0</v>
      </c>
      <c r="Y60" s="182">
        <f t="shared" si="11"/>
        <v>0</v>
      </c>
      <c r="Z60" s="174"/>
      <c r="AA60" s="212">
        <f t="shared" si="25"/>
        <v>0</v>
      </c>
      <c r="AB60" s="210">
        <f t="shared" si="26"/>
        <v>0</v>
      </c>
    </row>
    <row r="61" spans="1:28">
      <c r="A61" s="27" t="s">
        <v>54</v>
      </c>
      <c r="F61" s="160"/>
      <c r="G61" s="162">
        <v>12</v>
      </c>
      <c r="I61" s="163">
        <v>0.53</v>
      </c>
      <c r="J61" s="150">
        <f t="shared" si="20"/>
        <v>0</v>
      </c>
      <c r="K61" s="150">
        <f t="shared" si="21"/>
        <v>0</v>
      </c>
      <c r="L61" s="29"/>
      <c r="M61" s="167">
        <f t="shared" si="27"/>
        <v>0</v>
      </c>
      <c r="N61" s="150">
        <f t="shared" si="28"/>
        <v>0</v>
      </c>
      <c r="O61" s="173">
        <f t="shared" si="29"/>
        <v>0</v>
      </c>
      <c r="P61" s="174"/>
      <c r="Q61" s="177">
        <f t="shared" si="30"/>
        <v>0</v>
      </c>
      <c r="R61" s="178">
        <f t="shared" si="17"/>
        <v>0</v>
      </c>
      <c r="S61" s="178">
        <f t="shared" si="31"/>
        <v>0</v>
      </c>
      <c r="T61" s="178">
        <f t="shared" si="32"/>
        <v>0</v>
      </c>
      <c r="V61" s="178">
        <f t="shared" si="22"/>
        <v>0.53</v>
      </c>
      <c r="W61" s="181">
        <f t="shared" si="23"/>
        <v>0</v>
      </c>
      <c r="X61" s="181">
        <f t="shared" si="24"/>
        <v>0</v>
      </c>
      <c r="Y61" s="182">
        <f t="shared" si="11"/>
        <v>0</v>
      </c>
      <c r="Z61" s="174"/>
      <c r="AA61" s="212">
        <f t="shared" si="25"/>
        <v>0</v>
      </c>
      <c r="AB61" s="210">
        <f t="shared" si="26"/>
        <v>0</v>
      </c>
    </row>
    <row r="62" spans="1:28">
      <c r="A62" s="27" t="s">
        <v>55</v>
      </c>
      <c r="F62" s="160"/>
      <c r="G62" s="162">
        <v>12</v>
      </c>
      <c r="I62" s="163">
        <v>1.0900000000000001</v>
      </c>
      <c r="J62" s="150">
        <f t="shared" si="20"/>
        <v>0</v>
      </c>
      <c r="K62" s="150">
        <f t="shared" si="21"/>
        <v>0</v>
      </c>
      <c r="L62" s="29"/>
      <c r="M62" s="167">
        <f t="shared" si="27"/>
        <v>0</v>
      </c>
      <c r="N62" s="150">
        <f t="shared" si="28"/>
        <v>0</v>
      </c>
      <c r="O62" s="173">
        <f t="shared" si="29"/>
        <v>0</v>
      </c>
      <c r="P62" s="174"/>
      <c r="Q62" s="177">
        <f t="shared" si="30"/>
        <v>0</v>
      </c>
      <c r="R62" s="178">
        <f t="shared" si="17"/>
        <v>0</v>
      </c>
      <c r="S62" s="178">
        <f t="shared" si="31"/>
        <v>0</v>
      </c>
      <c r="T62" s="178">
        <f t="shared" si="32"/>
        <v>0</v>
      </c>
      <c r="V62" s="178">
        <f t="shared" si="22"/>
        <v>1.0900000000000001</v>
      </c>
      <c r="W62" s="181">
        <f t="shared" si="23"/>
        <v>0</v>
      </c>
      <c r="X62" s="181">
        <f t="shared" si="24"/>
        <v>0</v>
      </c>
      <c r="Y62" s="182">
        <f t="shared" si="11"/>
        <v>0</v>
      </c>
      <c r="Z62" s="174"/>
      <c r="AA62" s="212">
        <f t="shared" si="25"/>
        <v>0</v>
      </c>
      <c r="AB62" s="210">
        <f t="shared" si="26"/>
        <v>0</v>
      </c>
    </row>
    <row r="63" spans="1:28">
      <c r="A63" s="27" t="s">
        <v>183</v>
      </c>
      <c r="F63" s="160"/>
      <c r="G63" s="162">
        <v>12</v>
      </c>
      <c r="I63" s="163">
        <v>1.86</v>
      </c>
      <c r="J63" s="150">
        <f t="shared" si="20"/>
        <v>0</v>
      </c>
      <c r="K63" s="150">
        <f t="shared" si="21"/>
        <v>0</v>
      </c>
      <c r="L63" s="29"/>
      <c r="M63" s="167">
        <f t="shared" si="27"/>
        <v>0</v>
      </c>
      <c r="N63" s="150">
        <f t="shared" si="28"/>
        <v>0</v>
      </c>
      <c r="O63" s="173">
        <f t="shared" si="29"/>
        <v>0</v>
      </c>
      <c r="P63" s="174"/>
      <c r="Q63" s="177">
        <f t="shared" si="30"/>
        <v>0</v>
      </c>
      <c r="R63" s="178">
        <f t="shared" si="17"/>
        <v>0</v>
      </c>
      <c r="S63" s="178">
        <f t="shared" si="31"/>
        <v>0</v>
      </c>
      <c r="T63" s="178">
        <f t="shared" si="32"/>
        <v>0</v>
      </c>
      <c r="V63" s="178">
        <f t="shared" si="22"/>
        <v>1.86</v>
      </c>
      <c r="W63" s="181">
        <f t="shared" si="23"/>
        <v>0</v>
      </c>
      <c r="X63" s="181">
        <f t="shared" si="24"/>
        <v>0</v>
      </c>
      <c r="Y63" s="182">
        <f t="shared" si="11"/>
        <v>0</v>
      </c>
      <c r="Z63" s="174"/>
      <c r="AA63" s="212">
        <f t="shared" si="25"/>
        <v>0</v>
      </c>
      <c r="AB63" s="210">
        <f t="shared" si="26"/>
        <v>0</v>
      </c>
    </row>
    <row r="64" spans="1:28">
      <c r="A64" s="27" t="s">
        <v>184</v>
      </c>
      <c r="F64" s="160"/>
      <c r="G64" s="162">
        <v>12</v>
      </c>
      <c r="I64" s="230">
        <v>1.86</v>
      </c>
      <c r="J64" s="150">
        <f>F64*I64</f>
        <v>0</v>
      </c>
      <c r="K64" s="150">
        <f>J64*12</f>
        <v>0</v>
      </c>
      <c r="L64" s="29"/>
      <c r="M64" s="167">
        <f t="shared" si="27"/>
        <v>0</v>
      </c>
      <c r="N64" s="150">
        <f>ROUND(((F64*G64*L64)/2000),2)</f>
        <v>0</v>
      </c>
      <c r="O64" s="173">
        <f>$O$4*N64</f>
        <v>0</v>
      </c>
      <c r="P64" s="174"/>
      <c r="Q64" s="177">
        <f>M64*$R$12</f>
        <v>0</v>
      </c>
      <c r="R64" s="178">
        <f>Q64*4.33</f>
        <v>0</v>
      </c>
      <c r="S64" s="178">
        <f>R64*$U$11</f>
        <v>0</v>
      </c>
      <c r="T64" s="178">
        <f>+R64+S64</f>
        <v>0</v>
      </c>
      <c r="V64" s="178">
        <f>I64+T64</f>
        <v>1.86</v>
      </c>
      <c r="W64" s="181">
        <f>F64*V64</f>
        <v>0</v>
      </c>
      <c r="X64" s="181">
        <f>W64-J64</f>
        <v>0</v>
      </c>
      <c r="Y64" s="182">
        <f>X64*12</f>
        <v>0</v>
      </c>
      <c r="Z64" s="174"/>
      <c r="AA64" s="212">
        <f>O64*$R$11</f>
        <v>0</v>
      </c>
      <c r="AB64" s="210">
        <f>IF(I64=0,"",V64/I64-1)</f>
        <v>0</v>
      </c>
    </row>
    <row r="65" spans="1:28">
      <c r="A65" s="27" t="s">
        <v>190</v>
      </c>
      <c r="F65" s="160"/>
      <c r="G65" s="162">
        <v>12</v>
      </c>
      <c r="I65" s="231">
        <f>3.94+3.33</f>
        <v>7.27</v>
      </c>
      <c r="J65" s="150">
        <f>F65*I65</f>
        <v>0</v>
      </c>
      <c r="K65" s="150">
        <f>J65*12</f>
        <v>0</v>
      </c>
      <c r="L65" s="29"/>
      <c r="M65" s="167">
        <f t="shared" si="27"/>
        <v>0</v>
      </c>
      <c r="N65" s="150">
        <f>ROUND(((F65*G65*L65)/2000),2)</f>
        <v>0</v>
      </c>
      <c r="O65" s="173">
        <f>$O$4*N65</f>
        <v>0</v>
      </c>
      <c r="P65" s="174"/>
      <c r="Q65" s="177">
        <f>M65*$R$12</f>
        <v>0</v>
      </c>
      <c r="R65" s="178">
        <f>Q65*4.33</f>
        <v>0</v>
      </c>
      <c r="S65" s="178">
        <f>R65*$U$11</f>
        <v>0</v>
      </c>
      <c r="T65" s="178">
        <f>+R65+S65</f>
        <v>0</v>
      </c>
      <c r="V65" s="178">
        <f>I65+T65</f>
        <v>7.27</v>
      </c>
      <c r="W65" s="181">
        <f>F65*V65</f>
        <v>0</v>
      </c>
      <c r="X65" s="181">
        <f>W65-J65</f>
        <v>0</v>
      </c>
      <c r="Y65" s="182">
        <f>X65*12</f>
        <v>0</v>
      </c>
      <c r="Z65" s="174"/>
      <c r="AA65" s="212">
        <f>O65*$R$11</f>
        <v>0</v>
      </c>
      <c r="AB65" s="210">
        <f>IF(I65=0,"",V65/I65-1)</f>
        <v>0</v>
      </c>
    </row>
    <row r="66" spans="1:28">
      <c r="A66" s="27" t="s">
        <v>191</v>
      </c>
      <c r="F66" s="160"/>
      <c r="G66" s="162">
        <v>12</v>
      </c>
      <c r="I66" s="231">
        <f>8.17+3.33</f>
        <v>11.5</v>
      </c>
      <c r="J66" s="150">
        <f>F66*I66</f>
        <v>0</v>
      </c>
      <c r="K66" s="150">
        <f>J66*12</f>
        <v>0</v>
      </c>
      <c r="L66" s="29"/>
      <c r="M66" s="167">
        <f t="shared" si="27"/>
        <v>0</v>
      </c>
      <c r="N66" s="150">
        <f>ROUND(((F66*G66*L66)/2000),2)</f>
        <v>0</v>
      </c>
      <c r="O66" s="173">
        <f>$O$4*N66</f>
        <v>0</v>
      </c>
      <c r="P66" s="174"/>
      <c r="Q66" s="177">
        <f>M66*$R$12</f>
        <v>0</v>
      </c>
      <c r="R66" s="178">
        <f>Q66*4.33</f>
        <v>0</v>
      </c>
      <c r="S66" s="178">
        <f>R66*$U$11</f>
        <v>0</v>
      </c>
      <c r="T66" s="178">
        <f>+R66+S66</f>
        <v>0</v>
      </c>
      <c r="V66" s="178">
        <f>I66+T66</f>
        <v>11.5</v>
      </c>
      <c r="W66" s="181">
        <f>F66*V66</f>
        <v>0</v>
      </c>
      <c r="X66" s="181">
        <f>W66-J66</f>
        <v>0</v>
      </c>
      <c r="Y66" s="182">
        <f>X66*12</f>
        <v>0</v>
      </c>
      <c r="Z66" s="174"/>
      <c r="AA66" s="212">
        <f>O66*$R$11</f>
        <v>0</v>
      </c>
      <c r="AB66" s="210">
        <f>IF(I66=0,"",V66/I66-1)</f>
        <v>0</v>
      </c>
    </row>
    <row r="67" spans="1:28">
      <c r="A67" s="27" t="s">
        <v>192</v>
      </c>
      <c r="F67" s="160"/>
      <c r="G67" s="162">
        <v>12</v>
      </c>
      <c r="I67" s="231">
        <f>8.43+3.33</f>
        <v>11.76</v>
      </c>
      <c r="J67" s="150">
        <f>F67*I67</f>
        <v>0</v>
      </c>
      <c r="K67" s="150">
        <f>J67*12</f>
        <v>0</v>
      </c>
      <c r="L67" s="29"/>
      <c r="M67" s="167">
        <f t="shared" si="27"/>
        <v>0</v>
      </c>
      <c r="N67" s="150">
        <f>ROUND(((F67*G67*L67)/2000),2)</f>
        <v>0</v>
      </c>
      <c r="O67" s="173">
        <f>$O$4*N67</f>
        <v>0</v>
      </c>
      <c r="P67" s="174"/>
      <c r="Q67" s="177">
        <f>M67*$R$12</f>
        <v>0</v>
      </c>
      <c r="R67" s="178">
        <f>Q67*4.33</f>
        <v>0</v>
      </c>
      <c r="S67" s="178">
        <f>R67*$U$11</f>
        <v>0</v>
      </c>
      <c r="T67" s="178">
        <f>+R67+S67</f>
        <v>0</v>
      </c>
      <c r="V67" s="178">
        <f>I67+T67</f>
        <v>11.76</v>
      </c>
      <c r="W67" s="181">
        <f>F67*V67</f>
        <v>0</v>
      </c>
      <c r="X67" s="181">
        <f>W67-J67</f>
        <v>0</v>
      </c>
      <c r="Y67" s="182">
        <f>X67*12</f>
        <v>0</v>
      </c>
      <c r="Z67" s="174"/>
      <c r="AA67" s="212">
        <f>O67*$R$11</f>
        <v>0</v>
      </c>
      <c r="AB67" s="210">
        <f>IF(I67=0,"",V67/I67-1)</f>
        <v>0</v>
      </c>
    </row>
    <row r="68" spans="1:28">
      <c r="A68" s="27"/>
      <c r="F68" s="28"/>
      <c r="J68" s="243"/>
      <c r="K68" s="243"/>
      <c r="L68" s="29"/>
      <c r="M68" s="244"/>
      <c r="N68" s="243"/>
      <c r="O68" s="245"/>
      <c r="P68" s="246"/>
      <c r="Q68" s="247"/>
      <c r="R68" s="248"/>
      <c r="S68" s="248"/>
      <c r="T68" s="248"/>
      <c r="V68" s="248"/>
      <c r="W68" s="249"/>
      <c r="X68" s="249"/>
      <c r="Y68" s="250"/>
      <c r="Z68" s="246"/>
      <c r="AA68" s="249"/>
      <c r="AB68" s="251"/>
    </row>
    <row r="69" spans="1:28">
      <c r="A69" s="27"/>
      <c r="F69" s="33"/>
      <c r="J69" s="3"/>
      <c r="K69" s="3"/>
      <c r="L69" s="29"/>
      <c r="N69" s="3"/>
      <c r="O69" s="30"/>
      <c r="AA69" s="144"/>
    </row>
    <row r="70" spans="1:28">
      <c r="A70" s="27"/>
      <c r="C70" s="31"/>
      <c r="D70" s="31"/>
      <c r="E70" s="31"/>
      <c r="F70" s="186">
        <f>SUM(F21:F69)-F35</f>
        <v>10454</v>
      </c>
      <c r="G70" s="186"/>
      <c r="I70" s="186"/>
      <c r="J70" s="186">
        <f>SUM(J21:J69)</f>
        <v>174253.44</v>
      </c>
      <c r="K70" s="186">
        <f>SUM(K21:K69)</f>
        <v>2091041.2799999998</v>
      </c>
      <c r="L70" s="157">
        <f>SUM(L21:L69)</f>
        <v>1494.94</v>
      </c>
      <c r="M70" s="167"/>
      <c r="N70" s="186">
        <f>SUM(N21:N69)</f>
        <v>8571.41</v>
      </c>
      <c r="O70" s="186">
        <f>SUM(O21:O69)</f>
        <v>6123.6935258581379</v>
      </c>
      <c r="P70" s="174"/>
      <c r="Q70" s="174"/>
      <c r="R70" s="174"/>
      <c r="S70" s="174"/>
      <c r="T70" s="174"/>
      <c r="V70" s="174"/>
      <c r="W70" s="181">
        <f>SUM(W21:W69)</f>
        <v>181748.16016829526</v>
      </c>
      <c r="X70" s="181">
        <f>SUM(X21:X69)</f>
        <v>7494.7201682952355</v>
      </c>
      <c r="Y70" s="181">
        <f>SUM(Y21:Y69)</f>
        <v>89936.642019542822</v>
      </c>
      <c r="Z70" s="174"/>
      <c r="AA70" s="182">
        <f>SUM(AA21:AA69)</f>
        <v>88303.660642874369</v>
      </c>
    </row>
    <row r="71" spans="1:28">
      <c r="A71" s="27"/>
      <c r="F71" s="33"/>
      <c r="I71" s="34"/>
      <c r="J71" s="3"/>
      <c r="K71" s="3"/>
      <c r="N71" s="3"/>
      <c r="O71" s="30"/>
      <c r="AA71" s="147"/>
    </row>
    <row r="72" spans="1:28" ht="15" customHeight="1" thickBot="1">
      <c r="A72" s="27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/>
      <c r="N72" s="37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146"/>
      <c r="AB72" s="142"/>
    </row>
    <row r="73" spans="1:28" s="142" customFormat="1">
      <c r="A73" s="235" t="s">
        <v>199</v>
      </c>
      <c r="B73" s="39" t="s">
        <v>33</v>
      </c>
      <c r="C73" s="39" t="s">
        <v>34</v>
      </c>
      <c r="D73" s="6" t="s">
        <v>35</v>
      </c>
      <c r="E73" s="6" t="s">
        <v>145</v>
      </c>
      <c r="F73" s="1"/>
      <c r="G73" s="1"/>
      <c r="H73" s="1"/>
      <c r="I73" s="40"/>
      <c r="J73" s="3"/>
      <c r="K73" s="3"/>
      <c r="L73" s="1"/>
      <c r="M73" s="2"/>
      <c r="N73" s="3"/>
      <c r="O73" s="3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44"/>
      <c r="AB73" s="14"/>
    </row>
    <row r="74" spans="1:28" ht="12">
      <c r="A74" s="41" t="s">
        <v>60</v>
      </c>
      <c r="B74" s="193">
        <v>9</v>
      </c>
      <c r="C74" s="195">
        <f>B74*4.3333</f>
        <v>38.999700000000004</v>
      </c>
      <c r="D74" s="196">
        <v>0.158</v>
      </c>
      <c r="E74" s="198">
        <f>C74*D74</f>
        <v>6.1619526000000011</v>
      </c>
      <c r="F74" s="201">
        <f>B74</f>
        <v>9</v>
      </c>
      <c r="G74" s="162">
        <v>52</v>
      </c>
      <c r="I74" s="203">
        <v>3.38</v>
      </c>
      <c r="J74" s="150">
        <f t="shared" ref="J74:J105" si="33">+C74*I74</f>
        <v>131.81898600000002</v>
      </c>
      <c r="K74" s="154">
        <f>J74*12</f>
        <v>1581.8278320000004</v>
      </c>
      <c r="L74" s="206">
        <f t="shared" ref="L74:L105" si="34">+D74*L$16</f>
        <v>22.91</v>
      </c>
      <c r="M74" s="167">
        <f>L74*$O$5</f>
        <v>16.367647642267716</v>
      </c>
      <c r="N74" s="208">
        <f t="shared" ref="N74:N105" si="35">ROUND((C74*L74*12)/2000,2)</f>
        <v>5.36</v>
      </c>
      <c r="O74" s="209">
        <f>$O$5*N74</f>
        <v>3.8293579817789163</v>
      </c>
      <c r="P74" s="210"/>
      <c r="Q74" s="177">
        <f t="shared" ref="Q74:Q122" si="36">M74*$R$12</f>
        <v>0.11801073950075025</v>
      </c>
      <c r="R74" s="178"/>
      <c r="S74" s="178">
        <f>Q74*$U$11</f>
        <v>2.2746570038769611E-3</v>
      </c>
      <c r="T74" s="178">
        <f>+Q74+S74</f>
        <v>0.12028539650462722</v>
      </c>
      <c r="V74" s="178">
        <f>I74+T74</f>
        <v>3.5002853965046272</v>
      </c>
      <c r="W74" s="181">
        <f>C74*V74</f>
        <v>136.51008037806153</v>
      </c>
      <c r="X74" s="181">
        <f>W74-J74</f>
        <v>4.6910943780615071</v>
      </c>
      <c r="Y74" s="182">
        <f>X74*12</f>
        <v>56.293132536738085</v>
      </c>
      <c r="Z74" s="174"/>
      <c r="AA74" s="181">
        <f>O74*$R$11</f>
        <v>55.219342097251982</v>
      </c>
      <c r="AB74" s="210">
        <f t="shared" ref="AB74:AB122" si="37">IF(I74=0,"",V74/I74-1)</f>
        <v>3.5587395415570322E-2</v>
      </c>
    </row>
    <row r="75" spans="1:28" ht="12">
      <c r="A75" s="41" t="s">
        <v>61</v>
      </c>
      <c r="B75" s="193">
        <v>9</v>
      </c>
      <c r="C75" s="195">
        <f>B75*4.3333</f>
        <v>38.999700000000004</v>
      </c>
      <c r="D75" s="196">
        <v>0.316</v>
      </c>
      <c r="E75" s="198">
        <f t="shared" ref="E75:E133" si="38">C75*D75</f>
        <v>12.323905200000002</v>
      </c>
      <c r="F75" s="201">
        <f t="shared" ref="F75:F133" si="39">B75</f>
        <v>9</v>
      </c>
      <c r="G75" s="162">
        <v>52</v>
      </c>
      <c r="I75" s="203">
        <v>6.57</v>
      </c>
      <c r="J75" s="150">
        <f t="shared" si="33"/>
        <v>256.22802900000005</v>
      </c>
      <c r="K75" s="154">
        <f t="shared" ref="K75:K112" si="40">J75*12</f>
        <v>3074.7363480000004</v>
      </c>
      <c r="L75" s="206">
        <f t="shared" si="34"/>
        <v>45.82</v>
      </c>
      <c r="M75" s="167">
        <f t="shared" ref="M75:M133" si="41">L75*$O$5</f>
        <v>32.735295284535432</v>
      </c>
      <c r="N75" s="208">
        <f t="shared" si="35"/>
        <v>10.72</v>
      </c>
      <c r="O75" s="209">
        <f t="shared" ref="O75:O133" si="42">$O$5*N75</f>
        <v>7.6587159635578326</v>
      </c>
      <c r="P75" s="174"/>
      <c r="Q75" s="177">
        <f t="shared" si="36"/>
        <v>0.2360214790015005</v>
      </c>
      <c r="R75" s="178"/>
      <c r="S75" s="178">
        <f t="shared" ref="S75:S122" si="43">Q75*$U$11</f>
        <v>4.5493140077539221E-3</v>
      </c>
      <c r="T75" s="178">
        <f t="shared" ref="T75:T122" si="44">+Q75+S75</f>
        <v>0.24057079300925444</v>
      </c>
      <c r="V75" s="178">
        <f t="shared" ref="V75:V122" si="45">I75+T75</f>
        <v>6.8105707930092549</v>
      </c>
      <c r="W75" s="181">
        <f t="shared" ref="W75:W122" si="46">C75*V75</f>
        <v>265.61021775612306</v>
      </c>
      <c r="X75" s="181">
        <f t="shared" ref="X75:X121" si="47">W75-J75</f>
        <v>9.3821887561230142</v>
      </c>
      <c r="Y75" s="182">
        <f t="shared" ref="Y75:Y122" si="48">X75*12</f>
        <v>112.58626507347617</v>
      </c>
      <c r="Z75" s="174"/>
      <c r="AA75" s="181">
        <f t="shared" ref="AA75:AA122" si="49">O75*$R$11</f>
        <v>110.43868419450396</v>
      </c>
      <c r="AB75" s="210">
        <f t="shared" si="37"/>
        <v>3.6616559057725206E-2</v>
      </c>
    </row>
    <row r="76" spans="1:28" ht="12">
      <c r="A76" s="41" t="s">
        <v>62</v>
      </c>
      <c r="B76" s="193">
        <v>54</v>
      </c>
      <c r="C76" s="195">
        <f>B76*4.3333</f>
        <v>233.99820000000003</v>
      </c>
      <c r="D76" s="196">
        <v>0.47399999999999998</v>
      </c>
      <c r="E76" s="198">
        <f t="shared" si="38"/>
        <v>110.9151468</v>
      </c>
      <c r="F76" s="201">
        <f t="shared" si="39"/>
        <v>54</v>
      </c>
      <c r="G76" s="162">
        <v>52</v>
      </c>
      <c r="I76" s="203">
        <v>8.24</v>
      </c>
      <c r="J76" s="150">
        <f t="shared" si="33"/>
        <v>1928.1451680000002</v>
      </c>
      <c r="K76" s="154">
        <f t="shared" si="40"/>
        <v>23137.742016000004</v>
      </c>
      <c r="L76" s="206">
        <f t="shared" si="34"/>
        <v>68.72999999999999</v>
      </c>
      <c r="M76" s="167">
        <f t="shared" si="41"/>
        <v>49.102942926803145</v>
      </c>
      <c r="N76" s="208">
        <f t="shared" si="35"/>
        <v>96.5</v>
      </c>
      <c r="O76" s="209">
        <f t="shared" si="42"/>
        <v>68.942732321206236</v>
      </c>
      <c r="P76" s="174"/>
      <c r="Q76" s="177">
        <f t="shared" si="36"/>
        <v>0.35403221850225075</v>
      </c>
      <c r="R76" s="178"/>
      <c r="S76" s="178">
        <f t="shared" si="43"/>
        <v>6.8239710116308836E-3</v>
      </c>
      <c r="T76" s="178">
        <f t="shared" si="44"/>
        <v>0.36085618951388165</v>
      </c>
      <c r="V76" s="178">
        <f t="shared" si="45"/>
        <v>8.6008561895138822</v>
      </c>
      <c r="W76" s="181">
        <f t="shared" si="46"/>
        <v>2012.5848668051076</v>
      </c>
      <c r="X76" s="181">
        <f t="shared" si="47"/>
        <v>84.439698805107355</v>
      </c>
      <c r="Y76" s="182">
        <f t="shared" si="48"/>
        <v>1013.2763856612883</v>
      </c>
      <c r="Z76" s="174"/>
      <c r="AA76" s="181">
        <f t="shared" si="49"/>
        <v>994.15420007179409</v>
      </c>
      <c r="AB76" s="210">
        <f t="shared" si="37"/>
        <v>4.3793226882752556E-2</v>
      </c>
    </row>
    <row r="77" spans="1:28" ht="12">
      <c r="A77" s="41" t="s">
        <v>179</v>
      </c>
      <c r="B77" s="193"/>
      <c r="C77" s="195">
        <f>+B77</f>
        <v>0</v>
      </c>
      <c r="D77" s="196">
        <f>1*5</f>
        <v>5</v>
      </c>
      <c r="E77" s="198">
        <f t="shared" si="38"/>
        <v>0</v>
      </c>
      <c r="F77" s="202">
        <f t="shared" si="39"/>
        <v>0</v>
      </c>
      <c r="G77" s="162">
        <v>52</v>
      </c>
      <c r="I77" s="203">
        <v>0</v>
      </c>
      <c r="J77" s="150">
        <f t="shared" si="33"/>
        <v>0</v>
      </c>
      <c r="K77" s="154">
        <f t="shared" si="40"/>
        <v>0</v>
      </c>
      <c r="L77" s="206">
        <f t="shared" si="34"/>
        <v>725</v>
      </c>
      <c r="M77" s="167">
        <f t="shared" si="41"/>
        <v>517.96353298315557</v>
      </c>
      <c r="N77" s="208">
        <f t="shared" si="35"/>
        <v>0</v>
      </c>
      <c r="O77" s="209">
        <f t="shared" si="42"/>
        <v>0</v>
      </c>
      <c r="P77" s="174"/>
      <c r="Q77" s="177">
        <f t="shared" si="36"/>
        <v>3.7345170728085524</v>
      </c>
      <c r="R77" s="179"/>
      <c r="S77" s="178">
        <f t="shared" si="43"/>
        <v>7.1982816578384845E-2</v>
      </c>
      <c r="T77" s="178">
        <f t="shared" si="44"/>
        <v>3.8064998893869371</v>
      </c>
      <c r="V77" s="178">
        <f t="shared" si="45"/>
        <v>3.8064998893869371</v>
      </c>
      <c r="W77" s="181">
        <f t="shared" si="46"/>
        <v>0</v>
      </c>
      <c r="X77" s="181">
        <f t="shared" si="47"/>
        <v>0</v>
      </c>
      <c r="Y77" s="182">
        <f t="shared" si="48"/>
        <v>0</v>
      </c>
      <c r="Z77" s="174"/>
      <c r="AA77" s="181">
        <f t="shared" si="49"/>
        <v>0</v>
      </c>
      <c r="AB77" s="210" t="str">
        <f t="shared" si="37"/>
        <v/>
      </c>
    </row>
    <row r="78" spans="1:28" ht="12">
      <c r="A78" s="41" t="s">
        <v>63</v>
      </c>
      <c r="B78" s="193"/>
      <c r="C78" s="195">
        <f>+B78</f>
        <v>0</v>
      </c>
      <c r="D78" s="196">
        <v>1</v>
      </c>
      <c r="E78" s="198">
        <f t="shared" si="38"/>
        <v>0</v>
      </c>
      <c r="F78" s="201">
        <f t="shared" si="39"/>
        <v>0</v>
      </c>
      <c r="G78" s="162">
        <v>52</v>
      </c>
      <c r="I78" s="203">
        <v>20.71</v>
      </c>
      <c r="J78" s="150">
        <f t="shared" si="33"/>
        <v>0</v>
      </c>
      <c r="K78" s="154">
        <f t="shared" si="40"/>
        <v>0</v>
      </c>
      <c r="L78" s="206">
        <f t="shared" si="34"/>
        <v>145</v>
      </c>
      <c r="M78" s="167">
        <f t="shared" si="41"/>
        <v>103.59270659663112</v>
      </c>
      <c r="N78" s="208">
        <f t="shared" si="35"/>
        <v>0</v>
      </c>
      <c r="O78" s="209">
        <f t="shared" si="42"/>
        <v>0</v>
      </c>
      <c r="P78" s="174"/>
      <c r="Q78" s="177">
        <f t="shared" si="36"/>
        <v>0.7469034145617105</v>
      </c>
      <c r="R78" s="179"/>
      <c r="S78" s="178">
        <f t="shared" si="43"/>
        <v>1.439656331567697E-2</v>
      </c>
      <c r="T78" s="178">
        <f t="shared" si="44"/>
        <v>0.76129997787738746</v>
      </c>
      <c r="V78" s="178">
        <f t="shared" si="45"/>
        <v>21.47129997787739</v>
      </c>
      <c r="W78" s="181">
        <f t="shared" si="46"/>
        <v>0</v>
      </c>
      <c r="X78" s="181">
        <f t="shared" si="47"/>
        <v>0</v>
      </c>
      <c r="Y78" s="182">
        <f t="shared" si="48"/>
        <v>0</v>
      </c>
      <c r="Z78" s="174"/>
      <c r="AA78" s="181">
        <f t="shared" si="49"/>
        <v>0</v>
      </c>
      <c r="AB78" s="210">
        <f t="shared" si="37"/>
        <v>3.6760018246131843E-2</v>
      </c>
    </row>
    <row r="79" spans="1:28" ht="12">
      <c r="A79" s="41" t="s">
        <v>64</v>
      </c>
      <c r="B79" s="193">
        <v>17</v>
      </c>
      <c r="C79" s="195">
        <f>+B79*4.3333</f>
        <v>73.6661</v>
      </c>
      <c r="D79" s="196">
        <v>1</v>
      </c>
      <c r="E79" s="198">
        <f t="shared" si="38"/>
        <v>73.6661</v>
      </c>
      <c r="F79" s="201">
        <f t="shared" si="39"/>
        <v>17</v>
      </c>
      <c r="G79" s="162">
        <v>52</v>
      </c>
      <c r="I79" s="203">
        <v>17.100000000000001</v>
      </c>
      <c r="J79" s="150">
        <f t="shared" si="33"/>
        <v>1259.6903100000002</v>
      </c>
      <c r="K79" s="154">
        <f t="shared" si="40"/>
        <v>15116.283720000003</v>
      </c>
      <c r="L79" s="206">
        <f t="shared" si="34"/>
        <v>145</v>
      </c>
      <c r="M79" s="167">
        <f t="shared" si="41"/>
        <v>103.59270659663112</v>
      </c>
      <c r="N79" s="208">
        <f t="shared" si="35"/>
        <v>64.09</v>
      </c>
      <c r="O79" s="209">
        <f t="shared" si="42"/>
        <v>45.787976315710956</v>
      </c>
      <c r="P79" s="174"/>
      <c r="Q79" s="177">
        <f t="shared" si="36"/>
        <v>0.7469034145617105</v>
      </c>
      <c r="R79" s="178"/>
      <c r="S79" s="178">
        <f t="shared" si="43"/>
        <v>1.439656331567697E-2</v>
      </c>
      <c r="T79" s="178">
        <f t="shared" si="44"/>
        <v>0.76129997787738746</v>
      </c>
      <c r="V79" s="178">
        <f t="shared" si="45"/>
        <v>17.86129997787739</v>
      </c>
      <c r="W79" s="181">
        <f t="shared" si="46"/>
        <v>1315.7723103003136</v>
      </c>
      <c r="X79" s="181">
        <f t="shared" si="47"/>
        <v>56.082000300313439</v>
      </c>
      <c r="Y79" s="182">
        <f t="shared" si="48"/>
        <v>672.98400360376127</v>
      </c>
      <c r="Z79" s="174"/>
      <c r="AA79" s="181">
        <f t="shared" si="49"/>
        <v>660.26261847255205</v>
      </c>
      <c r="AB79" s="210">
        <f t="shared" si="37"/>
        <v>4.4520466542537385E-2</v>
      </c>
    </row>
    <row r="80" spans="1:28" ht="12">
      <c r="A80" s="41" t="s">
        <v>168</v>
      </c>
      <c r="B80" s="193">
        <v>1</v>
      </c>
      <c r="C80" s="195">
        <f>+B80*4.3333*2</f>
        <v>8.6666000000000007</v>
      </c>
      <c r="D80" s="196">
        <v>1</v>
      </c>
      <c r="E80" s="198">
        <f t="shared" ref="E80:E85" si="50">C80*D80</f>
        <v>8.6666000000000007</v>
      </c>
      <c r="F80" s="201">
        <f t="shared" ref="F80:F85" si="51">B80</f>
        <v>1</v>
      </c>
      <c r="G80" s="162">
        <v>52</v>
      </c>
      <c r="I80" s="203">
        <v>17.100000000000001</v>
      </c>
      <c r="J80" s="150">
        <f t="shared" si="33"/>
        <v>148.19886000000002</v>
      </c>
      <c r="K80" s="154">
        <f t="shared" si="40"/>
        <v>1778.3863200000003</v>
      </c>
      <c r="L80" s="206">
        <f t="shared" si="34"/>
        <v>145</v>
      </c>
      <c r="M80" s="167">
        <f t="shared" si="41"/>
        <v>103.59270659663112</v>
      </c>
      <c r="N80" s="208">
        <f t="shared" si="35"/>
        <v>7.54</v>
      </c>
      <c r="O80" s="209">
        <f t="shared" si="42"/>
        <v>5.3868207430248187</v>
      </c>
      <c r="P80" s="174"/>
      <c r="Q80" s="177">
        <f t="shared" ref="Q80:Q85" si="52">M80*$R$12</f>
        <v>0.7469034145617105</v>
      </c>
      <c r="R80" s="178"/>
      <c r="S80" s="178">
        <f t="shared" ref="S80:S85" si="53">Q80*$U$11</f>
        <v>1.439656331567697E-2</v>
      </c>
      <c r="T80" s="178">
        <f t="shared" ref="T80:T85" si="54">+Q80+S80</f>
        <v>0.76129997787738746</v>
      </c>
      <c r="V80" s="178">
        <f t="shared" ref="V80:V85" si="55">I80+T80</f>
        <v>17.86129997787739</v>
      </c>
      <c r="W80" s="181">
        <f t="shared" ref="W80:W85" si="56">C80*V80</f>
        <v>154.79674238827221</v>
      </c>
      <c r="X80" s="181">
        <f t="shared" ref="X80:X85" si="57">W80-J80</f>
        <v>6.5978823882721827</v>
      </c>
      <c r="Y80" s="182">
        <f t="shared" si="48"/>
        <v>79.174588659266192</v>
      </c>
      <c r="Z80" s="174"/>
      <c r="AA80" s="181">
        <f t="shared" ref="AA80:AA85" si="58">O80*$R$11</f>
        <v>77.677955114417898</v>
      </c>
      <c r="AB80" s="210">
        <f t="shared" ref="AB80:AB85" si="59">IF(I80=0,"",V80/I80-1)</f>
        <v>4.4520466542537385E-2</v>
      </c>
    </row>
    <row r="81" spans="1:28" ht="12">
      <c r="A81" s="41" t="s">
        <v>193</v>
      </c>
      <c r="B81" s="193">
        <v>2</v>
      </c>
      <c r="C81" s="195">
        <f>B81*1</f>
        <v>2</v>
      </c>
      <c r="D81" s="196">
        <v>1.25</v>
      </c>
      <c r="E81" s="198">
        <f t="shared" si="50"/>
        <v>2.5</v>
      </c>
      <c r="F81" s="201">
        <f t="shared" si="51"/>
        <v>2</v>
      </c>
      <c r="G81" s="162">
        <v>52</v>
      </c>
      <c r="I81" s="203">
        <v>24</v>
      </c>
      <c r="J81" s="150">
        <f t="shared" si="33"/>
        <v>48</v>
      </c>
      <c r="K81" s="154">
        <f t="shared" si="40"/>
        <v>576</v>
      </c>
      <c r="L81" s="206">
        <f t="shared" si="34"/>
        <v>181.25</v>
      </c>
      <c r="M81" s="167">
        <f t="shared" si="41"/>
        <v>129.49088324578889</v>
      </c>
      <c r="N81" s="208">
        <f t="shared" si="35"/>
        <v>2.1800000000000002</v>
      </c>
      <c r="O81" s="209">
        <f t="shared" si="42"/>
        <v>1.5574627612459024</v>
      </c>
      <c r="P81" s="174"/>
      <c r="Q81" s="177">
        <f t="shared" si="52"/>
        <v>0.9336292682021381</v>
      </c>
      <c r="R81" s="179"/>
      <c r="S81" s="178">
        <f t="shared" si="53"/>
        <v>1.7995704144596211E-2</v>
      </c>
      <c r="T81" s="178">
        <f t="shared" si="54"/>
        <v>0.95162497234673427</v>
      </c>
      <c r="V81" s="178">
        <f t="shared" si="55"/>
        <v>24.951624972346735</v>
      </c>
      <c r="W81" s="181">
        <f t="shared" si="56"/>
        <v>49.903249944693471</v>
      </c>
      <c r="X81" s="181">
        <f t="shared" si="57"/>
        <v>1.9032499446934708</v>
      </c>
      <c r="Y81" s="182">
        <f t="shared" si="48"/>
        <v>22.838999336321649</v>
      </c>
      <c r="Z81" s="174"/>
      <c r="AA81" s="181">
        <f t="shared" si="58"/>
        <v>22.458613017165916</v>
      </c>
      <c r="AB81" s="210">
        <f t="shared" si="59"/>
        <v>3.9651040514447233E-2</v>
      </c>
    </row>
    <row r="82" spans="1:28" ht="12">
      <c r="A82" s="41" t="s">
        <v>194</v>
      </c>
      <c r="B82" s="193">
        <v>15</v>
      </c>
      <c r="C82" s="195">
        <f>B82*4.3333</f>
        <v>64.999500000000012</v>
      </c>
      <c r="D82" s="196">
        <v>1.25</v>
      </c>
      <c r="E82" s="198">
        <f t="shared" si="50"/>
        <v>81.249375000000015</v>
      </c>
      <c r="F82" s="201">
        <f t="shared" si="51"/>
        <v>15</v>
      </c>
      <c r="G82" s="162">
        <v>52</v>
      </c>
      <c r="I82" s="203">
        <v>20.16</v>
      </c>
      <c r="J82" s="150">
        <f t="shared" si="33"/>
        <v>1310.3899200000003</v>
      </c>
      <c r="K82" s="154">
        <f t="shared" si="40"/>
        <v>15724.679040000003</v>
      </c>
      <c r="L82" s="206">
        <f t="shared" si="34"/>
        <v>181.25</v>
      </c>
      <c r="M82" s="167">
        <f t="shared" si="41"/>
        <v>129.49088324578889</v>
      </c>
      <c r="N82" s="208">
        <f t="shared" si="35"/>
        <v>70.69</v>
      </c>
      <c r="O82" s="209">
        <f t="shared" si="42"/>
        <v>50.503230547005892</v>
      </c>
      <c r="P82" s="174"/>
      <c r="Q82" s="177">
        <f t="shared" si="52"/>
        <v>0.9336292682021381</v>
      </c>
      <c r="R82" s="178"/>
      <c r="S82" s="178">
        <f t="shared" si="53"/>
        <v>1.7995704144596211E-2</v>
      </c>
      <c r="T82" s="178">
        <f t="shared" si="54"/>
        <v>0.95162497234673427</v>
      </c>
      <c r="V82" s="178">
        <f t="shared" si="55"/>
        <v>21.111624972346736</v>
      </c>
      <c r="W82" s="181">
        <f t="shared" si="56"/>
        <v>1372.2450673900519</v>
      </c>
      <c r="X82" s="181">
        <f t="shared" si="57"/>
        <v>61.85514739005157</v>
      </c>
      <c r="Y82" s="182">
        <f t="shared" si="48"/>
        <v>742.26176868061884</v>
      </c>
      <c r="Z82" s="174"/>
      <c r="AA82" s="181">
        <f t="shared" si="58"/>
        <v>728.25658448782508</v>
      </c>
      <c r="AB82" s="210">
        <f t="shared" si="59"/>
        <v>4.7203619660056262E-2</v>
      </c>
    </row>
    <row r="83" spans="1:28" ht="12">
      <c r="A83" s="41" t="s">
        <v>195</v>
      </c>
      <c r="B83" s="193"/>
      <c r="C83" s="195">
        <f>B83*4.3333*2</f>
        <v>0</v>
      </c>
      <c r="D83" s="196">
        <v>1.25</v>
      </c>
      <c r="E83" s="198">
        <f t="shared" si="50"/>
        <v>0</v>
      </c>
      <c r="F83" s="201">
        <f t="shared" si="51"/>
        <v>0</v>
      </c>
      <c r="G83" s="162">
        <v>52</v>
      </c>
      <c r="I83" s="203">
        <v>20.16</v>
      </c>
      <c r="J83" s="150">
        <f t="shared" si="33"/>
        <v>0</v>
      </c>
      <c r="K83" s="154">
        <f t="shared" si="40"/>
        <v>0</v>
      </c>
      <c r="L83" s="206">
        <f t="shared" si="34"/>
        <v>181.25</v>
      </c>
      <c r="M83" s="167">
        <f t="shared" si="41"/>
        <v>129.49088324578889</v>
      </c>
      <c r="N83" s="208">
        <f t="shared" si="35"/>
        <v>0</v>
      </c>
      <c r="O83" s="209">
        <f t="shared" si="42"/>
        <v>0</v>
      </c>
      <c r="P83" s="174"/>
      <c r="Q83" s="177">
        <f t="shared" si="52"/>
        <v>0.9336292682021381</v>
      </c>
      <c r="R83" s="178"/>
      <c r="S83" s="178">
        <f t="shared" si="53"/>
        <v>1.7995704144596211E-2</v>
      </c>
      <c r="T83" s="178">
        <f t="shared" si="54"/>
        <v>0.95162497234673427</v>
      </c>
      <c r="V83" s="178">
        <f t="shared" si="55"/>
        <v>21.111624972346736</v>
      </c>
      <c r="W83" s="181">
        <f t="shared" si="56"/>
        <v>0</v>
      </c>
      <c r="X83" s="181">
        <f t="shared" si="57"/>
        <v>0</v>
      </c>
      <c r="Y83" s="182">
        <f t="shared" si="48"/>
        <v>0</v>
      </c>
      <c r="Z83" s="174"/>
      <c r="AA83" s="181">
        <f t="shared" si="58"/>
        <v>0</v>
      </c>
      <c r="AB83" s="210">
        <f t="shared" si="59"/>
        <v>4.7203619660056262E-2</v>
      </c>
    </row>
    <row r="84" spans="1:28" ht="12">
      <c r="A84" s="41" t="s">
        <v>196</v>
      </c>
      <c r="B84" s="193"/>
      <c r="C84" s="195">
        <f>B84*4.3333*3</f>
        <v>0</v>
      </c>
      <c r="D84" s="196">
        <v>1.25</v>
      </c>
      <c r="E84" s="198">
        <f t="shared" si="50"/>
        <v>0</v>
      </c>
      <c r="F84" s="201">
        <f t="shared" si="51"/>
        <v>0</v>
      </c>
      <c r="G84" s="162">
        <v>52</v>
      </c>
      <c r="I84" s="203">
        <v>20.16</v>
      </c>
      <c r="J84" s="150">
        <f t="shared" si="33"/>
        <v>0</v>
      </c>
      <c r="K84" s="154">
        <f t="shared" si="40"/>
        <v>0</v>
      </c>
      <c r="L84" s="206">
        <f t="shared" si="34"/>
        <v>181.25</v>
      </c>
      <c r="M84" s="167">
        <f t="shared" si="41"/>
        <v>129.49088324578889</v>
      </c>
      <c r="N84" s="208">
        <f t="shared" si="35"/>
        <v>0</v>
      </c>
      <c r="O84" s="209">
        <f t="shared" si="42"/>
        <v>0</v>
      </c>
      <c r="P84" s="174"/>
      <c r="Q84" s="177">
        <f t="shared" si="52"/>
        <v>0.9336292682021381</v>
      </c>
      <c r="R84" s="178"/>
      <c r="S84" s="178">
        <f t="shared" si="53"/>
        <v>1.7995704144596211E-2</v>
      </c>
      <c r="T84" s="178">
        <f t="shared" si="54"/>
        <v>0.95162497234673427</v>
      </c>
      <c r="V84" s="178">
        <f t="shared" si="55"/>
        <v>21.111624972346736</v>
      </c>
      <c r="W84" s="181">
        <f t="shared" si="56"/>
        <v>0</v>
      </c>
      <c r="X84" s="181">
        <f t="shared" si="57"/>
        <v>0</v>
      </c>
      <c r="Y84" s="182">
        <f t="shared" si="48"/>
        <v>0</v>
      </c>
      <c r="Z84" s="174"/>
      <c r="AA84" s="181">
        <f t="shared" si="58"/>
        <v>0</v>
      </c>
      <c r="AB84" s="210">
        <f t="shared" si="59"/>
        <v>4.7203619660056262E-2</v>
      </c>
    </row>
    <row r="85" spans="1:28" ht="12">
      <c r="A85" s="41" t="s">
        <v>180</v>
      </c>
      <c r="B85" s="193"/>
      <c r="C85" s="195">
        <f>+B85</f>
        <v>0</v>
      </c>
      <c r="D85" s="196">
        <f>2*5</f>
        <v>10</v>
      </c>
      <c r="E85" s="198">
        <f t="shared" si="50"/>
        <v>0</v>
      </c>
      <c r="F85" s="202">
        <f t="shared" si="51"/>
        <v>0</v>
      </c>
      <c r="G85" s="162">
        <v>52</v>
      </c>
      <c r="I85" s="203">
        <v>0</v>
      </c>
      <c r="J85" s="150">
        <f t="shared" si="33"/>
        <v>0</v>
      </c>
      <c r="K85" s="154">
        <f t="shared" si="40"/>
        <v>0</v>
      </c>
      <c r="L85" s="206">
        <f t="shared" si="34"/>
        <v>1450</v>
      </c>
      <c r="M85" s="167">
        <f t="shared" si="41"/>
        <v>1035.9270659663111</v>
      </c>
      <c r="N85" s="208">
        <f t="shared" si="35"/>
        <v>0</v>
      </c>
      <c r="O85" s="209">
        <f t="shared" si="42"/>
        <v>0</v>
      </c>
      <c r="P85" s="174"/>
      <c r="Q85" s="177">
        <f t="shared" si="52"/>
        <v>7.4690341456171048</v>
      </c>
      <c r="R85" s="179"/>
      <c r="S85" s="178">
        <f t="shared" si="53"/>
        <v>0.14396563315676969</v>
      </c>
      <c r="T85" s="178">
        <f t="shared" si="54"/>
        <v>7.6129997787738741</v>
      </c>
      <c r="V85" s="178">
        <f t="shared" si="55"/>
        <v>7.6129997787738741</v>
      </c>
      <c r="W85" s="181">
        <f t="shared" si="56"/>
        <v>0</v>
      </c>
      <c r="X85" s="181">
        <f t="shared" si="57"/>
        <v>0</v>
      </c>
      <c r="Y85" s="182">
        <f t="shared" si="48"/>
        <v>0</v>
      </c>
      <c r="Z85" s="174"/>
      <c r="AA85" s="181">
        <f t="shared" si="58"/>
        <v>0</v>
      </c>
      <c r="AB85" s="210" t="str">
        <f t="shared" si="59"/>
        <v/>
      </c>
    </row>
    <row r="86" spans="1:28" ht="12">
      <c r="A86" s="41" t="s">
        <v>65</v>
      </c>
      <c r="B86" s="193">
        <v>5</v>
      </c>
      <c r="C86" s="195">
        <f>B86*1</f>
        <v>5</v>
      </c>
      <c r="D86" s="196">
        <v>2</v>
      </c>
      <c r="E86" s="198">
        <f t="shared" si="38"/>
        <v>10</v>
      </c>
      <c r="F86" s="201">
        <f t="shared" si="39"/>
        <v>5</v>
      </c>
      <c r="G86" s="162">
        <v>52</v>
      </c>
      <c r="I86" s="203">
        <v>35.32</v>
      </c>
      <c r="J86" s="150">
        <f t="shared" si="33"/>
        <v>176.6</v>
      </c>
      <c r="K86" s="154">
        <f t="shared" si="40"/>
        <v>2119.1999999999998</v>
      </c>
      <c r="L86" s="206">
        <f t="shared" si="34"/>
        <v>290</v>
      </c>
      <c r="M86" s="167">
        <f t="shared" si="41"/>
        <v>207.18541319326224</v>
      </c>
      <c r="N86" s="208">
        <f t="shared" si="35"/>
        <v>8.6999999999999993</v>
      </c>
      <c r="O86" s="209">
        <f t="shared" si="42"/>
        <v>6.2155623957978667</v>
      </c>
      <c r="P86" s="174"/>
      <c r="Q86" s="177">
        <f t="shared" si="36"/>
        <v>1.493806829123421</v>
      </c>
      <c r="R86" s="179"/>
      <c r="S86" s="178">
        <f t="shared" si="43"/>
        <v>2.879312663135394E-2</v>
      </c>
      <c r="T86" s="178">
        <f t="shared" si="44"/>
        <v>1.5225999557547749</v>
      </c>
      <c r="V86" s="178">
        <f t="shared" si="45"/>
        <v>36.842599955754778</v>
      </c>
      <c r="W86" s="181">
        <f t="shared" si="46"/>
        <v>184.21299977877391</v>
      </c>
      <c r="X86" s="181">
        <f t="shared" si="47"/>
        <v>7.6129997787739114</v>
      </c>
      <c r="Y86" s="182">
        <f t="shared" si="48"/>
        <v>91.355997345286937</v>
      </c>
      <c r="Z86" s="174"/>
      <c r="AA86" s="181">
        <f t="shared" si="49"/>
        <v>89.628409747405243</v>
      </c>
      <c r="AB86" s="210">
        <f t="shared" si="37"/>
        <v>4.3108719019104624E-2</v>
      </c>
    </row>
    <row r="87" spans="1:28" ht="12">
      <c r="A87" s="41" t="s">
        <v>66</v>
      </c>
      <c r="B87" s="193">
        <v>22</v>
      </c>
      <c r="C87" s="195">
        <f>B87*4.3333</f>
        <v>95.332600000000014</v>
      </c>
      <c r="D87" s="196">
        <v>2</v>
      </c>
      <c r="E87" s="198">
        <f t="shared" si="38"/>
        <v>190.66520000000003</v>
      </c>
      <c r="F87" s="201">
        <f t="shared" si="39"/>
        <v>22</v>
      </c>
      <c r="G87" s="162">
        <v>52</v>
      </c>
      <c r="I87" s="203">
        <v>31.15</v>
      </c>
      <c r="J87" s="150">
        <f t="shared" si="33"/>
        <v>2969.6104900000005</v>
      </c>
      <c r="K87" s="154">
        <f t="shared" si="40"/>
        <v>35635.325880000004</v>
      </c>
      <c r="L87" s="206">
        <f t="shared" si="34"/>
        <v>290</v>
      </c>
      <c r="M87" s="167">
        <f t="shared" si="41"/>
        <v>207.18541319326224</v>
      </c>
      <c r="N87" s="208">
        <f t="shared" si="35"/>
        <v>165.88</v>
      </c>
      <c r="O87" s="209">
        <f t="shared" si="42"/>
        <v>118.51005634654599</v>
      </c>
      <c r="P87" s="174"/>
      <c r="Q87" s="177">
        <f t="shared" si="36"/>
        <v>1.493806829123421</v>
      </c>
      <c r="R87" s="178"/>
      <c r="S87" s="178">
        <f t="shared" si="43"/>
        <v>2.879312663135394E-2</v>
      </c>
      <c r="T87" s="178">
        <f t="shared" si="44"/>
        <v>1.5225999557547749</v>
      </c>
      <c r="V87" s="178">
        <f t="shared" si="45"/>
        <v>32.672599955754777</v>
      </c>
      <c r="W87" s="181">
        <f t="shared" si="46"/>
        <v>3114.763902541988</v>
      </c>
      <c r="X87" s="181">
        <f t="shared" si="47"/>
        <v>145.15341254198756</v>
      </c>
      <c r="Y87" s="182">
        <f t="shared" si="48"/>
        <v>1741.8409505038508</v>
      </c>
      <c r="Z87" s="174"/>
      <c r="AA87" s="181">
        <f t="shared" si="49"/>
        <v>1708.9150125171934</v>
      </c>
      <c r="AB87" s="210">
        <f t="shared" si="37"/>
        <v>4.8879613346862749E-2</v>
      </c>
    </row>
    <row r="88" spans="1:28" ht="12">
      <c r="A88" s="41" t="s">
        <v>67</v>
      </c>
      <c r="B88" s="193">
        <v>1</v>
      </c>
      <c r="C88" s="195">
        <f>B88*4.3333*2</f>
        <v>8.6666000000000007</v>
      </c>
      <c r="D88" s="196">
        <v>2</v>
      </c>
      <c r="E88" s="198">
        <f t="shared" si="38"/>
        <v>17.333200000000001</v>
      </c>
      <c r="F88" s="201">
        <f t="shared" si="39"/>
        <v>1</v>
      </c>
      <c r="G88" s="162">
        <v>52</v>
      </c>
      <c r="I88" s="203">
        <v>31.15</v>
      </c>
      <c r="J88" s="150">
        <f t="shared" si="33"/>
        <v>269.96458999999999</v>
      </c>
      <c r="K88" s="154">
        <f t="shared" si="40"/>
        <v>3239.5750799999996</v>
      </c>
      <c r="L88" s="206">
        <f t="shared" si="34"/>
        <v>290</v>
      </c>
      <c r="M88" s="167">
        <f t="shared" si="41"/>
        <v>207.18541319326224</v>
      </c>
      <c r="N88" s="208">
        <f t="shared" si="35"/>
        <v>15.08</v>
      </c>
      <c r="O88" s="209">
        <f t="shared" si="42"/>
        <v>10.773641486049637</v>
      </c>
      <c r="P88" s="174"/>
      <c r="Q88" s="177">
        <f t="shared" si="36"/>
        <v>1.493806829123421</v>
      </c>
      <c r="R88" s="178"/>
      <c r="S88" s="178">
        <f t="shared" si="43"/>
        <v>2.879312663135394E-2</v>
      </c>
      <c r="T88" s="178">
        <f t="shared" si="44"/>
        <v>1.5225999557547749</v>
      </c>
      <c r="V88" s="178">
        <f t="shared" si="45"/>
        <v>32.672599955754777</v>
      </c>
      <c r="W88" s="181">
        <f t="shared" si="46"/>
        <v>283.16035477654435</v>
      </c>
      <c r="X88" s="181">
        <f t="shared" si="47"/>
        <v>13.195764776544365</v>
      </c>
      <c r="Y88" s="182">
        <f t="shared" si="48"/>
        <v>158.34917731853238</v>
      </c>
      <c r="Z88" s="174"/>
      <c r="AA88" s="181">
        <f t="shared" si="49"/>
        <v>155.3559102288358</v>
      </c>
      <c r="AB88" s="210">
        <f t="shared" si="37"/>
        <v>4.8879613346862749E-2</v>
      </c>
    </row>
    <row r="89" spans="1:28" ht="12">
      <c r="A89" s="41" t="s">
        <v>68</v>
      </c>
      <c r="B89" s="193"/>
      <c r="C89" s="195">
        <f>B89*4.3333*3</f>
        <v>0</v>
      </c>
      <c r="D89" s="196">
        <v>2</v>
      </c>
      <c r="E89" s="198">
        <f t="shared" si="38"/>
        <v>0</v>
      </c>
      <c r="F89" s="201">
        <f t="shared" si="39"/>
        <v>0</v>
      </c>
      <c r="G89" s="162">
        <v>52</v>
      </c>
      <c r="I89" s="203">
        <v>31.15</v>
      </c>
      <c r="J89" s="150">
        <f t="shared" si="33"/>
        <v>0</v>
      </c>
      <c r="K89" s="154">
        <f t="shared" si="40"/>
        <v>0</v>
      </c>
      <c r="L89" s="206">
        <f t="shared" si="34"/>
        <v>290</v>
      </c>
      <c r="M89" s="167">
        <f t="shared" si="41"/>
        <v>207.18541319326224</v>
      </c>
      <c r="N89" s="208">
        <f t="shared" si="35"/>
        <v>0</v>
      </c>
      <c r="O89" s="209">
        <f t="shared" si="42"/>
        <v>0</v>
      </c>
      <c r="P89" s="174"/>
      <c r="Q89" s="177">
        <f t="shared" si="36"/>
        <v>1.493806829123421</v>
      </c>
      <c r="R89" s="178"/>
      <c r="S89" s="178">
        <f t="shared" si="43"/>
        <v>2.879312663135394E-2</v>
      </c>
      <c r="T89" s="178">
        <f t="shared" si="44"/>
        <v>1.5225999557547749</v>
      </c>
      <c r="V89" s="178">
        <f t="shared" si="45"/>
        <v>32.672599955754777</v>
      </c>
      <c r="W89" s="181">
        <f t="shared" si="46"/>
        <v>0</v>
      </c>
      <c r="X89" s="181">
        <f t="shared" si="47"/>
        <v>0</v>
      </c>
      <c r="Y89" s="182">
        <f t="shared" si="48"/>
        <v>0</v>
      </c>
      <c r="Z89" s="174"/>
      <c r="AA89" s="181">
        <f t="shared" si="49"/>
        <v>0</v>
      </c>
      <c r="AB89" s="210">
        <f t="shared" si="37"/>
        <v>4.8879613346862749E-2</v>
      </c>
    </row>
    <row r="90" spans="1:28" ht="12">
      <c r="A90" s="41" t="s">
        <v>69</v>
      </c>
      <c r="B90" s="193"/>
      <c r="C90" s="195">
        <f>B90*4.3333*4</f>
        <v>0</v>
      </c>
      <c r="D90" s="196">
        <v>2</v>
      </c>
      <c r="E90" s="198">
        <f t="shared" si="38"/>
        <v>0</v>
      </c>
      <c r="F90" s="201">
        <f t="shared" si="39"/>
        <v>0</v>
      </c>
      <c r="G90" s="162">
        <v>52</v>
      </c>
      <c r="I90" s="203">
        <v>31.15</v>
      </c>
      <c r="J90" s="150">
        <f t="shared" si="33"/>
        <v>0</v>
      </c>
      <c r="K90" s="154">
        <f t="shared" si="40"/>
        <v>0</v>
      </c>
      <c r="L90" s="206">
        <f t="shared" si="34"/>
        <v>290</v>
      </c>
      <c r="M90" s="167">
        <f t="shared" si="41"/>
        <v>207.18541319326224</v>
      </c>
      <c r="N90" s="208">
        <f t="shared" si="35"/>
        <v>0</v>
      </c>
      <c r="O90" s="209">
        <f t="shared" si="42"/>
        <v>0</v>
      </c>
      <c r="P90" s="174"/>
      <c r="Q90" s="177">
        <f t="shared" si="36"/>
        <v>1.493806829123421</v>
      </c>
      <c r="R90" s="178"/>
      <c r="S90" s="178">
        <f t="shared" si="43"/>
        <v>2.879312663135394E-2</v>
      </c>
      <c r="T90" s="178">
        <f t="shared" si="44"/>
        <v>1.5225999557547749</v>
      </c>
      <c r="V90" s="178">
        <f t="shared" si="45"/>
        <v>32.672599955754777</v>
      </c>
      <c r="W90" s="181">
        <f t="shared" si="46"/>
        <v>0</v>
      </c>
      <c r="X90" s="181">
        <f t="shared" si="47"/>
        <v>0</v>
      </c>
      <c r="Y90" s="182">
        <f t="shared" si="48"/>
        <v>0</v>
      </c>
      <c r="Z90" s="174"/>
      <c r="AA90" s="181">
        <f t="shared" si="49"/>
        <v>0</v>
      </c>
      <c r="AB90" s="210">
        <f t="shared" si="37"/>
        <v>4.8879613346862749E-2</v>
      </c>
    </row>
    <row r="91" spans="1:28" ht="12">
      <c r="A91" s="41" t="s">
        <v>169</v>
      </c>
      <c r="B91" s="193"/>
      <c r="C91" s="195">
        <f>B91*4.3333*5</f>
        <v>0</v>
      </c>
      <c r="D91" s="196">
        <v>2</v>
      </c>
      <c r="E91" s="198">
        <f>C91*D91</f>
        <v>0</v>
      </c>
      <c r="F91" s="201">
        <f>B91</f>
        <v>0</v>
      </c>
      <c r="G91" s="162">
        <v>52</v>
      </c>
      <c r="I91" s="203">
        <v>31.15</v>
      </c>
      <c r="J91" s="150">
        <f t="shared" si="33"/>
        <v>0</v>
      </c>
      <c r="K91" s="154">
        <f t="shared" si="40"/>
        <v>0</v>
      </c>
      <c r="L91" s="206">
        <f t="shared" si="34"/>
        <v>290</v>
      </c>
      <c r="M91" s="167">
        <f t="shared" si="41"/>
        <v>207.18541319326224</v>
      </c>
      <c r="N91" s="208">
        <f t="shared" si="35"/>
        <v>0</v>
      </c>
      <c r="O91" s="209">
        <f t="shared" si="42"/>
        <v>0</v>
      </c>
      <c r="P91" s="174"/>
      <c r="Q91" s="177">
        <f>M91*$R$12</f>
        <v>1.493806829123421</v>
      </c>
      <c r="R91" s="178"/>
      <c r="S91" s="178">
        <f>Q91*$U$11</f>
        <v>2.879312663135394E-2</v>
      </c>
      <c r="T91" s="178">
        <f>+Q91+S91</f>
        <v>1.5225999557547749</v>
      </c>
      <c r="V91" s="178">
        <f>I91+T91</f>
        <v>32.672599955754777</v>
      </c>
      <c r="W91" s="181">
        <f>C91*V91</f>
        <v>0</v>
      </c>
      <c r="X91" s="181">
        <f>W91-J91</f>
        <v>0</v>
      </c>
      <c r="Y91" s="182">
        <f t="shared" si="48"/>
        <v>0</v>
      </c>
      <c r="Z91" s="174"/>
      <c r="AA91" s="181">
        <f>O91*$R$11</f>
        <v>0</v>
      </c>
      <c r="AB91" s="210">
        <f>IF(I91=0,"",V91/I91-1)</f>
        <v>4.8879613346862749E-2</v>
      </c>
    </row>
    <row r="92" spans="1:28" ht="12">
      <c r="A92" s="41" t="s">
        <v>170</v>
      </c>
      <c r="B92" s="193"/>
      <c r="C92" s="195">
        <f>B92*4.3333*6</f>
        <v>0</v>
      </c>
      <c r="D92" s="196">
        <v>2</v>
      </c>
      <c r="E92" s="198">
        <f>C92*D92</f>
        <v>0</v>
      </c>
      <c r="F92" s="201">
        <f>B92</f>
        <v>0</v>
      </c>
      <c r="G92" s="162">
        <v>52</v>
      </c>
      <c r="I92" s="203">
        <v>31.15</v>
      </c>
      <c r="J92" s="150">
        <f t="shared" si="33"/>
        <v>0</v>
      </c>
      <c r="K92" s="154">
        <f t="shared" si="40"/>
        <v>0</v>
      </c>
      <c r="L92" s="206">
        <f t="shared" si="34"/>
        <v>290</v>
      </c>
      <c r="M92" s="167">
        <f t="shared" si="41"/>
        <v>207.18541319326224</v>
      </c>
      <c r="N92" s="208">
        <f t="shared" si="35"/>
        <v>0</v>
      </c>
      <c r="O92" s="209">
        <f t="shared" si="42"/>
        <v>0</v>
      </c>
      <c r="P92" s="174"/>
      <c r="Q92" s="177">
        <f>M92*$R$12</f>
        <v>1.493806829123421</v>
      </c>
      <c r="R92" s="178"/>
      <c r="S92" s="178">
        <f>Q92*$U$11</f>
        <v>2.879312663135394E-2</v>
      </c>
      <c r="T92" s="178">
        <f>+Q92+S92</f>
        <v>1.5225999557547749</v>
      </c>
      <c r="V92" s="178">
        <f>I92+T92</f>
        <v>32.672599955754777</v>
      </c>
      <c r="W92" s="181">
        <f>C92*V92</f>
        <v>0</v>
      </c>
      <c r="X92" s="181">
        <f>W92-J92</f>
        <v>0</v>
      </c>
      <c r="Y92" s="182">
        <f t="shared" si="48"/>
        <v>0</v>
      </c>
      <c r="Z92" s="174"/>
      <c r="AA92" s="181">
        <f>O92*$R$11</f>
        <v>0</v>
      </c>
      <c r="AB92" s="210">
        <f>IF(I92=0,"",V92/I92-1)</f>
        <v>4.8879613346862749E-2</v>
      </c>
    </row>
    <row r="93" spans="1:28" ht="12">
      <c r="A93" s="41" t="s">
        <v>70</v>
      </c>
      <c r="B93" s="193"/>
      <c r="C93" s="195">
        <f>B93*4.33</f>
        <v>0</v>
      </c>
      <c r="D93" s="196">
        <f>3*3.5</f>
        <v>10.5</v>
      </c>
      <c r="E93" s="198">
        <f t="shared" si="38"/>
        <v>0</v>
      </c>
      <c r="F93" s="201">
        <f t="shared" si="39"/>
        <v>0</v>
      </c>
      <c r="G93" s="162">
        <v>52</v>
      </c>
      <c r="I93" s="203">
        <v>158.13999999999999</v>
      </c>
      <c r="J93" s="150">
        <f t="shared" si="33"/>
        <v>0</v>
      </c>
      <c r="K93" s="154">
        <f t="shared" si="40"/>
        <v>0</v>
      </c>
      <c r="L93" s="206">
        <f t="shared" si="34"/>
        <v>1522.5</v>
      </c>
      <c r="M93" s="167">
        <f t="shared" si="41"/>
        <v>1087.7234192646267</v>
      </c>
      <c r="N93" s="208">
        <f t="shared" si="35"/>
        <v>0</v>
      </c>
      <c r="O93" s="209">
        <f t="shared" si="42"/>
        <v>0</v>
      </c>
      <c r="P93" s="174"/>
      <c r="Q93" s="177">
        <f t="shared" si="36"/>
        <v>7.8424858528979602</v>
      </c>
      <c r="R93" s="178"/>
      <c r="S93" s="178">
        <f t="shared" si="43"/>
        <v>0.1511639148146082</v>
      </c>
      <c r="T93" s="178">
        <f t="shared" si="44"/>
        <v>7.9936497677125686</v>
      </c>
      <c r="V93" s="178">
        <f t="shared" si="45"/>
        <v>166.13364976771254</v>
      </c>
      <c r="W93" s="181">
        <f t="shared" si="46"/>
        <v>0</v>
      </c>
      <c r="X93" s="181">
        <f t="shared" si="47"/>
        <v>0</v>
      </c>
      <c r="Y93" s="182">
        <f t="shared" si="48"/>
        <v>0</v>
      </c>
      <c r="Z93" s="174"/>
      <c r="AA93" s="181">
        <f t="shared" si="49"/>
        <v>0</v>
      </c>
      <c r="AB93" s="210">
        <f t="shared" si="37"/>
        <v>5.0547930743091829E-2</v>
      </c>
    </row>
    <row r="94" spans="1:28" ht="12">
      <c r="A94" s="41" t="s">
        <v>175</v>
      </c>
      <c r="B94" s="193"/>
      <c r="C94" s="195">
        <f>B94*4.33</f>
        <v>0</v>
      </c>
      <c r="D94" s="196">
        <f>3*5</f>
        <v>15</v>
      </c>
      <c r="E94" s="198">
        <f>C94*D94</f>
        <v>0</v>
      </c>
      <c r="F94" s="202">
        <f>B94</f>
        <v>0</v>
      </c>
      <c r="G94" s="162">
        <v>52</v>
      </c>
      <c r="I94" s="203">
        <v>0</v>
      </c>
      <c r="J94" s="150">
        <f t="shared" si="33"/>
        <v>0</v>
      </c>
      <c r="K94" s="154">
        <f>J94*12</f>
        <v>0</v>
      </c>
      <c r="L94" s="206">
        <f t="shared" si="34"/>
        <v>2175</v>
      </c>
      <c r="M94" s="167">
        <f t="shared" si="41"/>
        <v>1553.8905989494667</v>
      </c>
      <c r="N94" s="208">
        <f t="shared" si="35"/>
        <v>0</v>
      </c>
      <c r="O94" s="209">
        <f t="shared" si="42"/>
        <v>0</v>
      </c>
      <c r="P94" s="174"/>
      <c r="Q94" s="177">
        <f>M94*$R$12</f>
        <v>11.203551218425657</v>
      </c>
      <c r="R94" s="178"/>
      <c r="S94" s="178">
        <f>Q94*$U$11</f>
        <v>0.21594844973515454</v>
      </c>
      <c r="T94" s="178">
        <f>+Q94+S94</f>
        <v>11.419499668160812</v>
      </c>
      <c r="V94" s="178">
        <f>I94+T94</f>
        <v>11.419499668160812</v>
      </c>
      <c r="W94" s="181">
        <f>C94*V94</f>
        <v>0</v>
      </c>
      <c r="X94" s="181">
        <f>W94-J94</f>
        <v>0</v>
      </c>
      <c r="Y94" s="182">
        <f>X94*12</f>
        <v>0</v>
      </c>
      <c r="Z94" s="174"/>
      <c r="AA94" s="181">
        <f>O94*$R$11</f>
        <v>0</v>
      </c>
      <c r="AB94" s="210" t="str">
        <f>IF(I94=0,"",V94/I94-1)</f>
        <v/>
      </c>
    </row>
    <row r="95" spans="1:28" ht="12">
      <c r="A95" s="41" t="s">
        <v>71</v>
      </c>
      <c r="B95" s="193">
        <v>2</v>
      </c>
      <c r="C95" s="195">
        <f>+B95*1</f>
        <v>2</v>
      </c>
      <c r="D95" s="196">
        <v>3</v>
      </c>
      <c r="E95" s="198">
        <f t="shared" si="38"/>
        <v>6</v>
      </c>
      <c r="F95" s="201">
        <f t="shared" si="39"/>
        <v>2</v>
      </c>
      <c r="G95" s="162">
        <v>52</v>
      </c>
      <c r="I95" s="203">
        <v>49.34</v>
      </c>
      <c r="J95" s="150">
        <f t="shared" si="33"/>
        <v>98.68</v>
      </c>
      <c r="K95" s="154">
        <f t="shared" si="40"/>
        <v>1184.1600000000001</v>
      </c>
      <c r="L95" s="206">
        <f t="shared" si="34"/>
        <v>435</v>
      </c>
      <c r="M95" s="167">
        <f t="shared" si="41"/>
        <v>310.77811978989337</v>
      </c>
      <c r="N95" s="208">
        <f t="shared" si="35"/>
        <v>5.22</v>
      </c>
      <c r="O95" s="209">
        <f t="shared" si="42"/>
        <v>3.72933743747872</v>
      </c>
      <c r="P95" s="174"/>
      <c r="Q95" s="177">
        <f t="shared" si="36"/>
        <v>2.2407102436851316</v>
      </c>
      <c r="R95" s="179"/>
      <c r="S95" s="178">
        <f t="shared" si="43"/>
        <v>4.3189689947030915E-2</v>
      </c>
      <c r="T95" s="178">
        <f t="shared" si="44"/>
        <v>2.2838999336321626</v>
      </c>
      <c r="V95" s="178">
        <f t="shared" si="45"/>
        <v>51.623899933632167</v>
      </c>
      <c r="W95" s="181">
        <f t="shared" si="46"/>
        <v>103.24779986726433</v>
      </c>
      <c r="X95" s="181">
        <f t="shared" si="47"/>
        <v>4.567799867264327</v>
      </c>
      <c r="Y95" s="182">
        <f t="shared" si="48"/>
        <v>54.813598407171924</v>
      </c>
      <c r="Z95" s="174"/>
      <c r="AA95" s="181">
        <f t="shared" si="49"/>
        <v>53.777045848443151</v>
      </c>
      <c r="AB95" s="210">
        <f t="shared" si="37"/>
        <v>4.6289013652861088E-2</v>
      </c>
    </row>
    <row r="96" spans="1:28" ht="12">
      <c r="A96" s="41" t="s">
        <v>72</v>
      </c>
      <c r="B96" s="193">
        <v>18</v>
      </c>
      <c r="C96" s="195">
        <f>B96*4.3333</f>
        <v>77.999400000000009</v>
      </c>
      <c r="D96" s="196">
        <v>3</v>
      </c>
      <c r="E96" s="198">
        <f t="shared" si="38"/>
        <v>233.99820000000003</v>
      </c>
      <c r="F96" s="201">
        <f t="shared" si="39"/>
        <v>18</v>
      </c>
      <c r="G96" s="162">
        <v>52</v>
      </c>
      <c r="I96" s="203">
        <v>45.8</v>
      </c>
      <c r="J96" s="150">
        <f t="shared" si="33"/>
        <v>3572.3725200000003</v>
      </c>
      <c r="K96" s="154">
        <f t="shared" si="40"/>
        <v>42868.470240000002</v>
      </c>
      <c r="L96" s="206">
        <f t="shared" si="34"/>
        <v>435</v>
      </c>
      <c r="M96" s="167">
        <f t="shared" si="41"/>
        <v>310.77811978989337</v>
      </c>
      <c r="N96" s="208">
        <f t="shared" si="35"/>
        <v>203.58</v>
      </c>
      <c r="O96" s="209">
        <f t="shared" si="42"/>
        <v>145.44416006167012</v>
      </c>
      <c r="P96" s="174"/>
      <c r="Q96" s="177">
        <f t="shared" si="36"/>
        <v>2.2407102436851316</v>
      </c>
      <c r="R96" s="178"/>
      <c r="S96" s="178">
        <f t="shared" si="43"/>
        <v>4.3189689947030915E-2</v>
      </c>
      <c r="T96" s="178">
        <f t="shared" si="44"/>
        <v>2.2838999336321626</v>
      </c>
      <c r="V96" s="178">
        <f t="shared" si="45"/>
        <v>48.083899933632161</v>
      </c>
      <c r="W96" s="181">
        <f t="shared" si="46"/>
        <v>3750.5153444833486</v>
      </c>
      <c r="X96" s="181">
        <f t="shared" si="47"/>
        <v>178.14282448334825</v>
      </c>
      <c r="Y96" s="182">
        <f t="shared" si="48"/>
        <v>2137.713893800179</v>
      </c>
      <c r="Z96" s="174"/>
      <c r="AA96" s="181">
        <f t="shared" si="49"/>
        <v>2097.3047880892832</v>
      </c>
      <c r="AB96" s="210">
        <f t="shared" si="37"/>
        <v>4.986681077799493E-2</v>
      </c>
    </row>
    <row r="97" spans="1:28" ht="12">
      <c r="A97" s="41" t="s">
        <v>73</v>
      </c>
      <c r="B97" s="193">
        <v>2</v>
      </c>
      <c r="C97" s="195">
        <f>B97*4.3333*2</f>
        <v>17.333200000000001</v>
      </c>
      <c r="D97" s="196">
        <v>3</v>
      </c>
      <c r="E97" s="198">
        <f t="shared" si="38"/>
        <v>51.999600000000001</v>
      </c>
      <c r="F97" s="201">
        <f t="shared" si="39"/>
        <v>2</v>
      </c>
      <c r="G97" s="162">
        <v>52</v>
      </c>
      <c r="I97" s="203">
        <v>45.8</v>
      </c>
      <c r="J97" s="150">
        <f t="shared" si="33"/>
        <v>793.86055999999996</v>
      </c>
      <c r="K97" s="154">
        <f t="shared" si="40"/>
        <v>9526.3267199999991</v>
      </c>
      <c r="L97" s="206">
        <f t="shared" si="34"/>
        <v>435</v>
      </c>
      <c r="M97" s="167">
        <f t="shared" si="41"/>
        <v>310.77811978989337</v>
      </c>
      <c r="N97" s="208">
        <f t="shared" si="35"/>
        <v>45.24</v>
      </c>
      <c r="O97" s="209">
        <f t="shared" si="42"/>
        <v>32.320924458148909</v>
      </c>
      <c r="P97" s="174"/>
      <c r="Q97" s="177">
        <f t="shared" si="36"/>
        <v>2.2407102436851316</v>
      </c>
      <c r="R97" s="178"/>
      <c r="S97" s="178">
        <f t="shared" si="43"/>
        <v>4.3189689947030915E-2</v>
      </c>
      <c r="T97" s="178">
        <f t="shared" si="44"/>
        <v>2.2838999336321626</v>
      </c>
      <c r="V97" s="178">
        <f t="shared" si="45"/>
        <v>48.083899933632161</v>
      </c>
      <c r="W97" s="181">
        <f t="shared" si="46"/>
        <v>833.44785432963306</v>
      </c>
      <c r="X97" s="181">
        <f t="shared" si="47"/>
        <v>39.587294329633096</v>
      </c>
      <c r="Y97" s="182">
        <f t="shared" si="48"/>
        <v>475.04753195559715</v>
      </c>
      <c r="Z97" s="174"/>
      <c r="AA97" s="181">
        <f t="shared" si="49"/>
        <v>466.06773068650733</v>
      </c>
      <c r="AB97" s="210">
        <f t="shared" si="37"/>
        <v>4.986681077799493E-2</v>
      </c>
    </row>
    <row r="98" spans="1:28" ht="12">
      <c r="A98" s="41" t="s">
        <v>74</v>
      </c>
      <c r="B98" s="193">
        <v>2</v>
      </c>
      <c r="C98" s="195">
        <f>B98*4.3333*3</f>
        <v>25.9998</v>
      </c>
      <c r="D98" s="196">
        <v>3</v>
      </c>
      <c r="E98" s="198">
        <f>C98*D98</f>
        <v>77.999400000000009</v>
      </c>
      <c r="F98" s="201">
        <f>B98</f>
        <v>2</v>
      </c>
      <c r="G98" s="162">
        <v>52</v>
      </c>
      <c r="I98" s="203">
        <v>45.8</v>
      </c>
      <c r="J98" s="150">
        <f t="shared" si="33"/>
        <v>1190.7908399999999</v>
      </c>
      <c r="K98" s="154">
        <f t="shared" si="40"/>
        <v>14289.49008</v>
      </c>
      <c r="L98" s="206">
        <f t="shared" si="34"/>
        <v>435</v>
      </c>
      <c r="M98" s="167">
        <f t="shared" si="41"/>
        <v>310.77811978989337</v>
      </c>
      <c r="N98" s="208">
        <f t="shared" si="35"/>
        <v>67.86</v>
      </c>
      <c r="O98" s="209">
        <f t="shared" si="42"/>
        <v>48.481386687223363</v>
      </c>
      <c r="P98" s="174"/>
      <c r="Q98" s="177">
        <f>M98*$R$12</f>
        <v>2.2407102436851316</v>
      </c>
      <c r="R98" s="178"/>
      <c r="S98" s="178">
        <f>Q98*$U$11</f>
        <v>4.3189689947030915E-2</v>
      </c>
      <c r="T98" s="178">
        <f>+Q98+S98</f>
        <v>2.2838999336321626</v>
      </c>
      <c r="V98" s="178">
        <f>I98+T98</f>
        <v>48.083899933632161</v>
      </c>
      <c r="W98" s="181">
        <f>C98*V98</f>
        <v>1250.1717814944495</v>
      </c>
      <c r="X98" s="181">
        <f>W98-J98</f>
        <v>59.380941494449644</v>
      </c>
      <c r="Y98" s="182">
        <f t="shared" si="48"/>
        <v>712.57129793339573</v>
      </c>
      <c r="Z98" s="174"/>
      <c r="AA98" s="181">
        <f>O98*$R$11</f>
        <v>699.10159602976103</v>
      </c>
      <c r="AB98" s="210">
        <f>IF(I98=0,"",V98/I98-1)</f>
        <v>4.986681077799493E-2</v>
      </c>
    </row>
    <row r="99" spans="1:28" ht="12">
      <c r="A99" s="41" t="s">
        <v>171</v>
      </c>
      <c r="B99" s="193"/>
      <c r="C99" s="195">
        <f>B99*4.3333*4</f>
        <v>0</v>
      </c>
      <c r="D99" s="196">
        <v>3</v>
      </c>
      <c r="E99" s="198">
        <f t="shared" si="38"/>
        <v>0</v>
      </c>
      <c r="F99" s="201">
        <f t="shared" si="39"/>
        <v>0</v>
      </c>
      <c r="G99" s="162">
        <v>52</v>
      </c>
      <c r="I99" s="203">
        <v>45.8</v>
      </c>
      <c r="J99" s="150">
        <f t="shared" si="33"/>
        <v>0</v>
      </c>
      <c r="K99" s="154">
        <f t="shared" si="40"/>
        <v>0</v>
      </c>
      <c r="L99" s="206">
        <f t="shared" si="34"/>
        <v>435</v>
      </c>
      <c r="M99" s="167">
        <f t="shared" si="41"/>
        <v>310.77811978989337</v>
      </c>
      <c r="N99" s="208">
        <f t="shared" si="35"/>
        <v>0</v>
      </c>
      <c r="O99" s="209">
        <f t="shared" si="42"/>
        <v>0</v>
      </c>
      <c r="P99" s="174"/>
      <c r="Q99" s="177">
        <f t="shared" si="36"/>
        <v>2.2407102436851316</v>
      </c>
      <c r="R99" s="178"/>
      <c r="S99" s="178">
        <f t="shared" si="43"/>
        <v>4.3189689947030915E-2</v>
      </c>
      <c r="T99" s="178">
        <f t="shared" si="44"/>
        <v>2.2838999336321626</v>
      </c>
      <c r="V99" s="178">
        <f t="shared" si="45"/>
        <v>48.083899933632161</v>
      </c>
      <c r="W99" s="181">
        <f t="shared" si="46"/>
        <v>0</v>
      </c>
      <c r="X99" s="181">
        <f t="shared" si="47"/>
        <v>0</v>
      </c>
      <c r="Y99" s="182">
        <f t="shared" si="48"/>
        <v>0</v>
      </c>
      <c r="Z99" s="174"/>
      <c r="AA99" s="181">
        <f t="shared" si="49"/>
        <v>0</v>
      </c>
      <c r="AB99" s="210">
        <f t="shared" si="37"/>
        <v>4.986681077799493E-2</v>
      </c>
    </row>
    <row r="100" spans="1:28" ht="12">
      <c r="A100" s="41" t="s">
        <v>75</v>
      </c>
      <c r="B100" s="193"/>
      <c r="C100" s="195">
        <f>B100*4.33</f>
        <v>0</v>
      </c>
      <c r="D100" s="196">
        <f>4*3.5</f>
        <v>14</v>
      </c>
      <c r="E100" s="198">
        <f t="shared" si="38"/>
        <v>0</v>
      </c>
      <c r="F100" s="201">
        <f t="shared" si="39"/>
        <v>0</v>
      </c>
      <c r="G100" s="162">
        <v>52</v>
      </c>
      <c r="I100" s="203">
        <v>275.55</v>
      </c>
      <c r="J100" s="150">
        <f t="shared" si="33"/>
        <v>0</v>
      </c>
      <c r="K100" s="154">
        <f t="shared" si="40"/>
        <v>0</v>
      </c>
      <c r="L100" s="206">
        <f t="shared" si="34"/>
        <v>2030</v>
      </c>
      <c r="M100" s="167">
        <f t="shared" si="41"/>
        <v>1450.2978923528358</v>
      </c>
      <c r="N100" s="208">
        <f t="shared" si="35"/>
        <v>0</v>
      </c>
      <c r="O100" s="209">
        <f t="shared" si="42"/>
        <v>0</v>
      </c>
      <c r="P100" s="174"/>
      <c r="Q100" s="177">
        <f t="shared" si="36"/>
        <v>10.456647803863948</v>
      </c>
      <c r="R100" s="178"/>
      <c r="S100" s="178">
        <f t="shared" si="43"/>
        <v>0.2015518864194776</v>
      </c>
      <c r="T100" s="178">
        <f t="shared" si="44"/>
        <v>10.658199690283425</v>
      </c>
      <c r="V100" s="178">
        <f t="shared" si="45"/>
        <v>286.20819969028344</v>
      </c>
      <c r="W100" s="181">
        <f t="shared" si="46"/>
        <v>0</v>
      </c>
      <c r="X100" s="181">
        <f t="shared" si="47"/>
        <v>0</v>
      </c>
      <c r="Y100" s="182">
        <f t="shared" si="48"/>
        <v>0</v>
      </c>
      <c r="Z100" s="174"/>
      <c r="AA100" s="181">
        <f t="shared" si="49"/>
        <v>0</v>
      </c>
      <c r="AB100" s="210">
        <f t="shared" si="37"/>
        <v>3.8679730322204398E-2</v>
      </c>
    </row>
    <row r="101" spans="1:28" ht="12">
      <c r="A101" s="41" t="s">
        <v>176</v>
      </c>
      <c r="B101" s="193"/>
      <c r="C101" s="195">
        <f>B101*4.33</f>
        <v>0</v>
      </c>
      <c r="D101" s="196">
        <f>4*5</f>
        <v>20</v>
      </c>
      <c r="E101" s="198">
        <f t="shared" si="38"/>
        <v>0</v>
      </c>
      <c r="F101" s="202">
        <f t="shared" si="39"/>
        <v>0</v>
      </c>
      <c r="G101" s="162">
        <v>52</v>
      </c>
      <c r="I101" s="203">
        <v>0</v>
      </c>
      <c r="J101" s="150">
        <f t="shared" si="33"/>
        <v>0</v>
      </c>
      <c r="K101" s="154">
        <f t="shared" si="40"/>
        <v>0</v>
      </c>
      <c r="L101" s="206">
        <f t="shared" si="34"/>
        <v>2900</v>
      </c>
      <c r="M101" s="167">
        <f t="shared" si="41"/>
        <v>2071.8541319326223</v>
      </c>
      <c r="N101" s="208">
        <f t="shared" si="35"/>
        <v>0</v>
      </c>
      <c r="O101" s="209">
        <f t="shared" si="42"/>
        <v>0</v>
      </c>
      <c r="P101" s="174"/>
      <c r="Q101" s="177">
        <f t="shared" si="36"/>
        <v>14.93806829123421</v>
      </c>
      <c r="R101" s="178"/>
      <c r="S101" s="178">
        <f t="shared" si="43"/>
        <v>0.28793126631353938</v>
      </c>
      <c r="T101" s="178">
        <f t="shared" si="44"/>
        <v>15.225999557547748</v>
      </c>
      <c r="V101" s="178">
        <f t="shared" si="45"/>
        <v>15.225999557547748</v>
      </c>
      <c r="W101" s="181">
        <f t="shared" si="46"/>
        <v>0</v>
      </c>
      <c r="X101" s="181">
        <f t="shared" si="47"/>
        <v>0</v>
      </c>
      <c r="Y101" s="182">
        <f t="shared" si="48"/>
        <v>0</v>
      </c>
      <c r="Z101" s="174"/>
      <c r="AA101" s="181">
        <f t="shared" si="49"/>
        <v>0</v>
      </c>
      <c r="AB101" s="210" t="str">
        <f t="shared" si="37"/>
        <v/>
      </c>
    </row>
    <row r="102" spans="1:28" ht="12">
      <c r="A102" s="41" t="s">
        <v>76</v>
      </c>
      <c r="B102" s="193">
        <v>8</v>
      </c>
      <c r="C102" s="195">
        <f>+B102*1</f>
        <v>8</v>
      </c>
      <c r="D102" s="196">
        <v>4</v>
      </c>
      <c r="E102" s="198">
        <f t="shared" si="38"/>
        <v>32</v>
      </c>
      <c r="F102" s="201">
        <f t="shared" si="39"/>
        <v>8</v>
      </c>
      <c r="G102" s="162">
        <v>52</v>
      </c>
      <c r="I102" s="203">
        <v>64.569999999999993</v>
      </c>
      <c r="J102" s="150">
        <f t="shared" si="33"/>
        <v>516.55999999999995</v>
      </c>
      <c r="K102" s="154">
        <f t="shared" si="40"/>
        <v>6198.7199999999993</v>
      </c>
      <c r="L102" s="206">
        <f t="shared" si="34"/>
        <v>580</v>
      </c>
      <c r="M102" s="167">
        <f t="shared" si="41"/>
        <v>414.37082638652447</v>
      </c>
      <c r="N102" s="208">
        <f t="shared" si="35"/>
        <v>27.84</v>
      </c>
      <c r="O102" s="209">
        <f t="shared" si="42"/>
        <v>19.889799666553177</v>
      </c>
      <c r="P102" s="174"/>
      <c r="Q102" s="177">
        <f t="shared" si="36"/>
        <v>2.987613658246842</v>
      </c>
      <c r="R102" s="179"/>
      <c r="S102" s="178">
        <f t="shared" si="43"/>
        <v>5.758625326270788E-2</v>
      </c>
      <c r="T102" s="178">
        <f t="shared" si="44"/>
        <v>3.0451999115095498</v>
      </c>
      <c r="V102" s="178">
        <f t="shared" si="45"/>
        <v>67.615199911509549</v>
      </c>
      <c r="W102" s="181">
        <f t="shared" si="46"/>
        <v>540.92159929207639</v>
      </c>
      <c r="X102" s="181">
        <f t="shared" si="47"/>
        <v>24.361599292076448</v>
      </c>
      <c r="Y102" s="182">
        <f t="shared" si="48"/>
        <v>292.33919150491738</v>
      </c>
      <c r="Z102" s="174"/>
      <c r="AA102" s="181">
        <f t="shared" si="49"/>
        <v>286.81091119169685</v>
      </c>
      <c r="AB102" s="210">
        <f t="shared" si="37"/>
        <v>4.7161219010524391E-2</v>
      </c>
    </row>
    <row r="103" spans="1:28" ht="12">
      <c r="A103" s="41" t="s">
        <v>77</v>
      </c>
      <c r="B103" s="193">
        <v>30</v>
      </c>
      <c r="C103" s="195">
        <f>B103*4.3333</f>
        <v>129.99900000000002</v>
      </c>
      <c r="D103" s="196">
        <v>4</v>
      </c>
      <c r="E103" s="198">
        <f t="shared" si="38"/>
        <v>519.99600000000009</v>
      </c>
      <c r="F103" s="201">
        <f t="shared" si="39"/>
        <v>30</v>
      </c>
      <c r="G103" s="162">
        <v>52</v>
      </c>
      <c r="I103" s="203">
        <v>58.63</v>
      </c>
      <c r="J103" s="150">
        <f t="shared" si="33"/>
        <v>7621.8413700000019</v>
      </c>
      <c r="K103" s="154">
        <f t="shared" si="40"/>
        <v>91462.096440000023</v>
      </c>
      <c r="L103" s="206">
        <f t="shared" si="34"/>
        <v>580</v>
      </c>
      <c r="M103" s="167">
        <f t="shared" si="41"/>
        <v>414.37082638652447</v>
      </c>
      <c r="N103" s="208">
        <f t="shared" si="35"/>
        <v>452.4</v>
      </c>
      <c r="O103" s="209">
        <f t="shared" si="42"/>
        <v>323.20924458148909</v>
      </c>
      <c r="P103" s="174"/>
      <c r="Q103" s="177">
        <f t="shared" si="36"/>
        <v>2.987613658246842</v>
      </c>
      <c r="R103" s="178"/>
      <c r="S103" s="178">
        <f t="shared" si="43"/>
        <v>5.758625326270788E-2</v>
      </c>
      <c r="T103" s="178">
        <f t="shared" si="44"/>
        <v>3.0451999115095498</v>
      </c>
      <c r="V103" s="178">
        <f t="shared" si="45"/>
        <v>61.675199911509551</v>
      </c>
      <c r="W103" s="181">
        <f t="shared" si="46"/>
        <v>8017.714313296332</v>
      </c>
      <c r="X103" s="181">
        <f t="shared" si="47"/>
        <v>395.87294329633005</v>
      </c>
      <c r="Y103" s="182">
        <f t="shared" si="48"/>
        <v>4750.4753195559606</v>
      </c>
      <c r="Z103" s="174"/>
      <c r="AA103" s="181">
        <f t="shared" si="49"/>
        <v>4660.6773068650728</v>
      </c>
      <c r="AB103" s="210">
        <f t="shared" si="37"/>
        <v>5.1939278722659799E-2</v>
      </c>
    </row>
    <row r="104" spans="1:28" ht="12">
      <c r="A104" s="41" t="s">
        <v>78</v>
      </c>
      <c r="B104" s="193">
        <v>9</v>
      </c>
      <c r="C104" s="195">
        <f>B104*4.3333*2</f>
        <v>77.999400000000009</v>
      </c>
      <c r="D104" s="196">
        <v>4</v>
      </c>
      <c r="E104" s="198">
        <f t="shared" si="38"/>
        <v>311.99760000000003</v>
      </c>
      <c r="F104" s="201">
        <f t="shared" si="39"/>
        <v>9</v>
      </c>
      <c r="G104" s="162">
        <v>52</v>
      </c>
      <c r="I104" s="203">
        <v>58.63</v>
      </c>
      <c r="J104" s="150">
        <f t="shared" si="33"/>
        <v>4573.1048220000011</v>
      </c>
      <c r="K104" s="154">
        <f t="shared" si="40"/>
        <v>54877.257864000014</v>
      </c>
      <c r="L104" s="206">
        <f t="shared" si="34"/>
        <v>580</v>
      </c>
      <c r="M104" s="167">
        <f t="shared" si="41"/>
        <v>414.37082638652447</v>
      </c>
      <c r="N104" s="208">
        <f t="shared" si="35"/>
        <v>271.44</v>
      </c>
      <c r="O104" s="209">
        <f t="shared" si="42"/>
        <v>193.92554674889345</v>
      </c>
      <c r="P104" s="174"/>
      <c r="Q104" s="177">
        <f t="shared" si="36"/>
        <v>2.987613658246842</v>
      </c>
      <c r="R104" s="178"/>
      <c r="S104" s="178">
        <f t="shared" si="43"/>
        <v>5.758625326270788E-2</v>
      </c>
      <c r="T104" s="178">
        <f t="shared" si="44"/>
        <v>3.0451999115095498</v>
      </c>
      <c r="V104" s="178">
        <f t="shared" si="45"/>
        <v>61.675199911509551</v>
      </c>
      <c r="W104" s="181">
        <f t="shared" si="46"/>
        <v>4810.6285879777988</v>
      </c>
      <c r="X104" s="181">
        <f t="shared" si="47"/>
        <v>237.52376597779767</v>
      </c>
      <c r="Y104" s="182">
        <f t="shared" si="48"/>
        <v>2850.285191733572</v>
      </c>
      <c r="Z104" s="174"/>
      <c r="AA104" s="181">
        <f t="shared" si="49"/>
        <v>2796.4063841190441</v>
      </c>
      <c r="AB104" s="210">
        <f t="shared" si="37"/>
        <v>5.1939278722659799E-2</v>
      </c>
    </row>
    <row r="105" spans="1:28" ht="12">
      <c r="A105" s="41" t="s">
        <v>79</v>
      </c>
      <c r="B105" s="193">
        <v>3</v>
      </c>
      <c r="C105" s="195">
        <f>B105*4.3333*3</f>
        <v>38.999700000000004</v>
      </c>
      <c r="D105" s="196">
        <v>4</v>
      </c>
      <c r="E105" s="198">
        <f t="shared" si="38"/>
        <v>155.99880000000002</v>
      </c>
      <c r="F105" s="201">
        <f t="shared" si="39"/>
        <v>3</v>
      </c>
      <c r="G105" s="162">
        <v>52</v>
      </c>
      <c r="I105" s="203">
        <v>58.63</v>
      </c>
      <c r="J105" s="150">
        <f t="shared" si="33"/>
        <v>2286.5524110000006</v>
      </c>
      <c r="K105" s="154">
        <f t="shared" si="40"/>
        <v>27438.628932000007</v>
      </c>
      <c r="L105" s="206">
        <f t="shared" si="34"/>
        <v>580</v>
      </c>
      <c r="M105" s="167">
        <f t="shared" si="41"/>
        <v>414.37082638652447</v>
      </c>
      <c r="N105" s="208">
        <f t="shared" si="35"/>
        <v>135.72</v>
      </c>
      <c r="O105" s="209">
        <f t="shared" si="42"/>
        <v>96.962773374446726</v>
      </c>
      <c r="P105" s="174"/>
      <c r="Q105" s="177">
        <f t="shared" si="36"/>
        <v>2.987613658246842</v>
      </c>
      <c r="R105" s="178"/>
      <c r="S105" s="178">
        <f t="shared" si="43"/>
        <v>5.758625326270788E-2</v>
      </c>
      <c r="T105" s="178">
        <f t="shared" si="44"/>
        <v>3.0451999115095498</v>
      </c>
      <c r="V105" s="178">
        <f t="shared" si="45"/>
        <v>61.675199911509551</v>
      </c>
      <c r="W105" s="181">
        <f t="shared" si="46"/>
        <v>2405.3142939888994</v>
      </c>
      <c r="X105" s="181">
        <f t="shared" si="47"/>
        <v>118.76188298889883</v>
      </c>
      <c r="Y105" s="182">
        <f t="shared" si="48"/>
        <v>1425.142595866786</v>
      </c>
      <c r="Z105" s="174"/>
      <c r="AA105" s="181">
        <f t="shared" si="49"/>
        <v>1398.2031920595221</v>
      </c>
      <c r="AB105" s="210">
        <f t="shared" si="37"/>
        <v>5.1939278722659799E-2</v>
      </c>
    </row>
    <row r="106" spans="1:28" ht="12">
      <c r="A106" s="41" t="s">
        <v>80</v>
      </c>
      <c r="B106" s="193"/>
      <c r="C106" s="195">
        <f>(B106*4.3333)*4</f>
        <v>0</v>
      </c>
      <c r="D106" s="196">
        <v>4</v>
      </c>
      <c r="E106" s="198">
        <f>C106*D106</f>
        <v>0</v>
      </c>
      <c r="F106" s="201">
        <f>B106</f>
        <v>0</v>
      </c>
      <c r="G106" s="162">
        <v>52</v>
      </c>
      <c r="I106" s="203">
        <v>58.63</v>
      </c>
      <c r="J106" s="150">
        <f t="shared" ref="J106:J122" si="60">+C106*I106</f>
        <v>0</v>
      </c>
      <c r="K106" s="154">
        <f t="shared" si="40"/>
        <v>0</v>
      </c>
      <c r="L106" s="206">
        <f t="shared" ref="L106:L133" si="61">+D106*L$16</f>
        <v>580</v>
      </c>
      <c r="M106" s="167">
        <f t="shared" si="41"/>
        <v>414.37082638652447</v>
      </c>
      <c r="N106" s="208">
        <f t="shared" ref="N106:N133" si="62">ROUND((C106*L106*12)/2000,2)</f>
        <v>0</v>
      </c>
      <c r="O106" s="209">
        <f t="shared" si="42"/>
        <v>0</v>
      </c>
      <c r="P106" s="174"/>
      <c r="Q106" s="177">
        <f>M106*$R$12</f>
        <v>2.987613658246842</v>
      </c>
      <c r="R106" s="178"/>
      <c r="S106" s="178">
        <f>Q106*$U$11</f>
        <v>5.758625326270788E-2</v>
      </c>
      <c r="T106" s="178">
        <f>+Q106+S106</f>
        <v>3.0451999115095498</v>
      </c>
      <c r="V106" s="178">
        <f>I106+T106</f>
        <v>61.675199911509551</v>
      </c>
      <c r="W106" s="181">
        <f>C106*V106</f>
        <v>0</v>
      </c>
      <c r="X106" s="181">
        <f>W106-J106</f>
        <v>0</v>
      </c>
      <c r="Y106" s="182">
        <f t="shared" si="48"/>
        <v>0</v>
      </c>
      <c r="Z106" s="174"/>
      <c r="AA106" s="181">
        <f>O106*$R$11</f>
        <v>0</v>
      </c>
      <c r="AB106" s="210">
        <f>IF(I106=0,"",V106/I106-1)</f>
        <v>5.1939278722659799E-2</v>
      </c>
    </row>
    <row r="107" spans="1:28" ht="12">
      <c r="A107" s="41" t="s">
        <v>172</v>
      </c>
      <c r="B107" s="193"/>
      <c r="C107" s="195">
        <f>(B107*4.3333)*6</f>
        <v>0</v>
      </c>
      <c r="D107" s="196">
        <v>4</v>
      </c>
      <c r="E107" s="198">
        <f t="shared" si="38"/>
        <v>0</v>
      </c>
      <c r="F107" s="201">
        <f t="shared" si="39"/>
        <v>0</v>
      </c>
      <c r="G107" s="162">
        <v>52</v>
      </c>
      <c r="I107" s="203">
        <v>58.63</v>
      </c>
      <c r="J107" s="150">
        <f t="shared" si="60"/>
        <v>0</v>
      </c>
      <c r="K107" s="154">
        <f t="shared" si="40"/>
        <v>0</v>
      </c>
      <c r="L107" s="206">
        <f t="shared" si="61"/>
        <v>580</v>
      </c>
      <c r="M107" s="167">
        <f t="shared" si="41"/>
        <v>414.37082638652447</v>
      </c>
      <c r="N107" s="208">
        <f t="shared" si="62"/>
        <v>0</v>
      </c>
      <c r="O107" s="209">
        <f t="shared" si="42"/>
        <v>0</v>
      </c>
      <c r="P107" s="174"/>
      <c r="Q107" s="177">
        <f t="shared" si="36"/>
        <v>2.987613658246842</v>
      </c>
      <c r="R107" s="178"/>
      <c r="S107" s="178">
        <f t="shared" si="43"/>
        <v>5.758625326270788E-2</v>
      </c>
      <c r="T107" s="178">
        <f t="shared" si="44"/>
        <v>3.0451999115095498</v>
      </c>
      <c r="V107" s="178">
        <f t="shared" si="45"/>
        <v>61.675199911509551</v>
      </c>
      <c r="W107" s="181">
        <f t="shared" si="46"/>
        <v>0</v>
      </c>
      <c r="X107" s="181">
        <f t="shared" si="47"/>
        <v>0</v>
      </c>
      <c r="Y107" s="182">
        <f t="shared" si="48"/>
        <v>0</v>
      </c>
      <c r="Z107" s="174"/>
      <c r="AA107" s="181">
        <f t="shared" si="49"/>
        <v>0</v>
      </c>
      <c r="AB107" s="210">
        <f t="shared" si="37"/>
        <v>5.1939278722659799E-2</v>
      </c>
    </row>
    <row r="108" spans="1:28" ht="12">
      <c r="A108" s="41" t="s">
        <v>173</v>
      </c>
      <c r="B108" s="193"/>
      <c r="C108" s="195">
        <f>B108*4.33</f>
        <v>0</v>
      </c>
      <c r="D108" s="196">
        <f>5*3.5</f>
        <v>17.5</v>
      </c>
      <c r="E108" s="198">
        <f>C108*D108</f>
        <v>0</v>
      </c>
      <c r="F108" s="201">
        <f>B108</f>
        <v>0</v>
      </c>
      <c r="G108" s="162">
        <v>52</v>
      </c>
      <c r="I108" s="203">
        <v>0</v>
      </c>
      <c r="J108" s="150">
        <f t="shared" si="60"/>
        <v>0</v>
      </c>
      <c r="K108" s="154">
        <f t="shared" si="40"/>
        <v>0</v>
      </c>
      <c r="L108" s="206">
        <f t="shared" si="61"/>
        <v>2537.5</v>
      </c>
      <c r="M108" s="167">
        <f t="shared" si="41"/>
        <v>1812.8723654410446</v>
      </c>
      <c r="N108" s="208">
        <f t="shared" si="62"/>
        <v>0</v>
      </c>
      <c r="O108" s="209">
        <f t="shared" si="42"/>
        <v>0</v>
      </c>
      <c r="P108" s="174"/>
      <c r="Q108" s="177">
        <f>M108*$R$12</f>
        <v>13.070809754829934</v>
      </c>
      <c r="R108" s="178"/>
      <c r="S108" s="178">
        <f>Q108*$U$11</f>
        <v>0.25193985802434699</v>
      </c>
      <c r="T108" s="178">
        <f>+Q108+S108</f>
        <v>13.322749612854281</v>
      </c>
      <c r="V108" s="178">
        <f>I108+T108</f>
        <v>13.322749612854281</v>
      </c>
      <c r="W108" s="181">
        <f>C108*V108</f>
        <v>0</v>
      </c>
      <c r="X108" s="181">
        <f>W108-J108</f>
        <v>0</v>
      </c>
      <c r="Y108" s="182">
        <f t="shared" si="48"/>
        <v>0</v>
      </c>
      <c r="Z108" s="174"/>
      <c r="AA108" s="181">
        <f>O108*$R$11</f>
        <v>0</v>
      </c>
      <c r="AB108" s="210" t="str">
        <f>IF(I108=0,"",V108/I108-1)</f>
        <v/>
      </c>
    </row>
    <row r="109" spans="1:28" ht="12">
      <c r="A109" s="41" t="s">
        <v>177</v>
      </c>
      <c r="B109" s="193"/>
      <c r="C109" s="195">
        <f>B109*4.33</f>
        <v>0</v>
      </c>
      <c r="D109" s="196">
        <f>5*5</f>
        <v>25</v>
      </c>
      <c r="E109" s="198">
        <f>C109*D109</f>
        <v>0</v>
      </c>
      <c r="F109" s="202">
        <f>B109</f>
        <v>0</v>
      </c>
      <c r="G109" s="162">
        <v>52</v>
      </c>
      <c r="I109" s="203">
        <v>0</v>
      </c>
      <c r="J109" s="150">
        <f t="shared" si="60"/>
        <v>0</v>
      </c>
      <c r="K109" s="154">
        <f t="shared" si="40"/>
        <v>0</v>
      </c>
      <c r="L109" s="206">
        <f t="shared" si="61"/>
        <v>3625</v>
      </c>
      <c r="M109" s="167">
        <f t="shared" si="41"/>
        <v>2589.8176649157781</v>
      </c>
      <c r="N109" s="208">
        <f t="shared" si="62"/>
        <v>0</v>
      </c>
      <c r="O109" s="209">
        <f t="shared" si="42"/>
        <v>0</v>
      </c>
      <c r="P109" s="174"/>
      <c r="Q109" s="177">
        <f>M109*$R$12</f>
        <v>18.672585364042764</v>
      </c>
      <c r="R109" s="178"/>
      <c r="S109" s="178">
        <f>Q109*$U$11</f>
        <v>0.35991408289192428</v>
      </c>
      <c r="T109" s="178">
        <f>+Q109+S109</f>
        <v>19.032499446934686</v>
      </c>
      <c r="V109" s="178">
        <f>I109+T109</f>
        <v>19.032499446934686</v>
      </c>
      <c r="W109" s="181">
        <f>C109*V109</f>
        <v>0</v>
      </c>
      <c r="X109" s="181">
        <f>W109-J109</f>
        <v>0</v>
      </c>
      <c r="Y109" s="182">
        <f t="shared" si="48"/>
        <v>0</v>
      </c>
      <c r="Z109" s="174"/>
      <c r="AA109" s="181">
        <f>O109*$R$11</f>
        <v>0</v>
      </c>
      <c r="AB109" s="210" t="str">
        <f>IF(I109=0,"",V109/I109-1)</f>
        <v/>
      </c>
    </row>
    <row r="110" spans="1:28" ht="12">
      <c r="A110" s="41" t="s">
        <v>81</v>
      </c>
      <c r="B110" s="193"/>
      <c r="C110" s="195">
        <f>B110*4.33</f>
        <v>0</v>
      </c>
      <c r="D110" s="196">
        <f>6*3.5</f>
        <v>21</v>
      </c>
      <c r="E110" s="198">
        <f t="shared" si="38"/>
        <v>0</v>
      </c>
      <c r="F110" s="201">
        <f t="shared" si="39"/>
        <v>0</v>
      </c>
      <c r="G110" s="162">
        <v>52</v>
      </c>
      <c r="I110" s="203">
        <v>352.91</v>
      </c>
      <c r="J110" s="150">
        <f t="shared" si="60"/>
        <v>0</v>
      </c>
      <c r="K110" s="154">
        <f t="shared" si="40"/>
        <v>0</v>
      </c>
      <c r="L110" s="206">
        <f t="shared" si="61"/>
        <v>3045</v>
      </c>
      <c r="M110" s="167">
        <f t="shared" si="41"/>
        <v>2175.4468385292535</v>
      </c>
      <c r="N110" s="208">
        <f t="shared" si="62"/>
        <v>0</v>
      </c>
      <c r="O110" s="209">
        <f t="shared" si="42"/>
        <v>0</v>
      </c>
      <c r="P110" s="174"/>
      <c r="Q110" s="177">
        <f t="shared" si="36"/>
        <v>15.68497170579592</v>
      </c>
      <c r="R110" s="178"/>
      <c r="S110" s="178">
        <f t="shared" si="43"/>
        <v>0.30232782962921639</v>
      </c>
      <c r="T110" s="178">
        <f t="shared" si="44"/>
        <v>15.987299535425137</v>
      </c>
      <c r="V110" s="178">
        <f t="shared" si="45"/>
        <v>368.89729953542519</v>
      </c>
      <c r="W110" s="181">
        <f t="shared" si="46"/>
        <v>0</v>
      </c>
      <c r="X110" s="181">
        <f t="shared" si="47"/>
        <v>0</v>
      </c>
      <c r="Y110" s="182">
        <f t="shared" si="48"/>
        <v>0</v>
      </c>
      <c r="Z110" s="174"/>
      <c r="AA110" s="181">
        <f t="shared" si="49"/>
        <v>0</v>
      </c>
      <c r="AB110" s="210">
        <f t="shared" si="37"/>
        <v>4.5301350302981325E-2</v>
      </c>
    </row>
    <row r="111" spans="1:28" ht="12">
      <c r="A111" s="41" t="s">
        <v>178</v>
      </c>
      <c r="B111" s="193"/>
      <c r="C111" s="195">
        <f>B111*4.33</f>
        <v>0</v>
      </c>
      <c r="D111" s="196">
        <f>6*5</f>
        <v>30</v>
      </c>
      <c r="E111" s="198">
        <f t="shared" si="38"/>
        <v>0</v>
      </c>
      <c r="F111" s="202">
        <f t="shared" si="39"/>
        <v>0</v>
      </c>
      <c r="G111" s="162">
        <v>52</v>
      </c>
      <c r="I111" s="203">
        <v>0</v>
      </c>
      <c r="J111" s="150">
        <f t="shared" si="60"/>
        <v>0</v>
      </c>
      <c r="K111" s="154">
        <f t="shared" si="40"/>
        <v>0</v>
      </c>
      <c r="L111" s="206">
        <f t="shared" si="61"/>
        <v>4350</v>
      </c>
      <c r="M111" s="167">
        <f t="shared" si="41"/>
        <v>3107.7811978989334</v>
      </c>
      <c r="N111" s="208">
        <f t="shared" si="62"/>
        <v>0</v>
      </c>
      <c r="O111" s="209">
        <f t="shared" si="42"/>
        <v>0</v>
      </c>
      <c r="P111" s="174"/>
      <c r="Q111" s="177">
        <f t="shared" si="36"/>
        <v>22.407102436851314</v>
      </c>
      <c r="R111" s="178"/>
      <c r="S111" s="178">
        <f t="shared" si="43"/>
        <v>0.43189689947030907</v>
      </c>
      <c r="T111" s="178">
        <f t="shared" si="44"/>
        <v>22.838999336321624</v>
      </c>
      <c r="V111" s="178">
        <f t="shared" si="45"/>
        <v>22.838999336321624</v>
      </c>
      <c r="W111" s="181">
        <f t="shared" si="46"/>
        <v>0</v>
      </c>
      <c r="X111" s="181">
        <f t="shared" si="47"/>
        <v>0</v>
      </c>
      <c r="Y111" s="182">
        <f t="shared" si="48"/>
        <v>0</v>
      </c>
      <c r="Z111" s="174"/>
      <c r="AA111" s="181">
        <f t="shared" si="49"/>
        <v>0</v>
      </c>
      <c r="AB111" s="210" t="str">
        <f t="shared" si="37"/>
        <v/>
      </c>
    </row>
    <row r="112" spans="1:28" ht="12">
      <c r="A112" s="41" t="s">
        <v>82</v>
      </c>
      <c r="B112" s="193">
        <v>8</v>
      </c>
      <c r="C112" s="195">
        <f>+B112*1</f>
        <v>8</v>
      </c>
      <c r="D112" s="196">
        <v>6</v>
      </c>
      <c r="E112" s="198">
        <f t="shared" si="38"/>
        <v>48</v>
      </c>
      <c r="F112" s="201">
        <f t="shared" si="39"/>
        <v>8</v>
      </c>
      <c r="G112" s="162">
        <v>52</v>
      </c>
      <c r="I112" s="203">
        <v>96.24</v>
      </c>
      <c r="J112" s="150">
        <f t="shared" si="60"/>
        <v>769.92</v>
      </c>
      <c r="K112" s="154">
        <f t="shared" si="40"/>
        <v>9239.0399999999991</v>
      </c>
      <c r="L112" s="206">
        <f t="shared" si="61"/>
        <v>870</v>
      </c>
      <c r="M112" s="167">
        <f t="shared" si="41"/>
        <v>621.55623957978673</v>
      </c>
      <c r="N112" s="208">
        <f t="shared" si="62"/>
        <v>41.76</v>
      </c>
      <c r="O112" s="209">
        <f t="shared" si="42"/>
        <v>29.83469949982976</v>
      </c>
      <c r="P112" s="174"/>
      <c r="Q112" s="177">
        <f t="shared" si="36"/>
        <v>4.4814204873702632</v>
      </c>
      <c r="R112" s="179"/>
      <c r="S112" s="178">
        <f t="shared" si="43"/>
        <v>8.6379379894061831E-2</v>
      </c>
      <c r="T112" s="178">
        <f t="shared" si="44"/>
        <v>4.5677998672643252</v>
      </c>
      <c r="V112" s="178">
        <f t="shared" si="45"/>
        <v>100.80779986726432</v>
      </c>
      <c r="W112" s="181">
        <f t="shared" si="46"/>
        <v>806.46239893811457</v>
      </c>
      <c r="X112" s="181">
        <f t="shared" si="47"/>
        <v>36.542398938114616</v>
      </c>
      <c r="Y112" s="182">
        <f t="shared" si="48"/>
        <v>438.50878725737539</v>
      </c>
      <c r="Z112" s="174"/>
      <c r="AA112" s="181">
        <f t="shared" si="49"/>
        <v>430.21636678754521</v>
      </c>
      <c r="AB112" s="210">
        <f t="shared" si="37"/>
        <v>4.7462592136994219E-2</v>
      </c>
    </row>
    <row r="113" spans="1:28" ht="12">
      <c r="A113" s="41" t="s">
        <v>83</v>
      </c>
      <c r="B113" s="193">
        <v>14</v>
      </c>
      <c r="C113" s="195">
        <f>B113*4.3333</f>
        <v>60.666200000000003</v>
      </c>
      <c r="D113" s="196">
        <v>6</v>
      </c>
      <c r="E113" s="198">
        <f t="shared" si="38"/>
        <v>363.99720000000002</v>
      </c>
      <c r="F113" s="201">
        <f t="shared" si="39"/>
        <v>14</v>
      </c>
      <c r="G113" s="162">
        <v>52</v>
      </c>
      <c r="I113" s="203">
        <v>87.93</v>
      </c>
      <c r="J113" s="150">
        <f t="shared" si="60"/>
        <v>5334.3789660000011</v>
      </c>
      <c r="K113" s="154">
        <f t="shared" ref="K113:K133" si="63">J113*12</f>
        <v>64012.547592000017</v>
      </c>
      <c r="L113" s="206">
        <f t="shared" si="61"/>
        <v>870</v>
      </c>
      <c r="M113" s="167">
        <f t="shared" si="41"/>
        <v>621.55623957978673</v>
      </c>
      <c r="N113" s="208">
        <f t="shared" si="62"/>
        <v>316.68</v>
      </c>
      <c r="O113" s="209">
        <f t="shared" si="42"/>
        <v>226.24647120704239</v>
      </c>
      <c r="P113" s="174"/>
      <c r="Q113" s="177">
        <f t="shared" si="36"/>
        <v>4.4814204873702632</v>
      </c>
      <c r="R113" s="178"/>
      <c r="S113" s="178">
        <f t="shared" si="43"/>
        <v>8.6379379894061831E-2</v>
      </c>
      <c r="T113" s="178">
        <f t="shared" si="44"/>
        <v>4.5677998672643252</v>
      </c>
      <c r="V113" s="178">
        <f t="shared" si="45"/>
        <v>92.497799867264334</v>
      </c>
      <c r="W113" s="181">
        <f t="shared" si="46"/>
        <v>5611.4900263074314</v>
      </c>
      <c r="X113" s="181">
        <f t="shared" si="47"/>
        <v>277.11106030743031</v>
      </c>
      <c r="Y113" s="182">
        <f t="shared" si="48"/>
        <v>3325.3327236891637</v>
      </c>
      <c r="Z113" s="174"/>
      <c r="AA113" s="181">
        <f t="shared" si="49"/>
        <v>3262.4741148055518</v>
      </c>
      <c r="AB113" s="210">
        <f t="shared" si="37"/>
        <v>5.1948139056798848E-2</v>
      </c>
    </row>
    <row r="114" spans="1:28" ht="12">
      <c r="A114" s="41" t="s">
        <v>84</v>
      </c>
      <c r="B114" s="193">
        <v>4</v>
      </c>
      <c r="C114" s="195">
        <f>B114*4.3333*2</f>
        <v>34.666400000000003</v>
      </c>
      <c r="D114" s="196">
        <v>6</v>
      </c>
      <c r="E114" s="198">
        <f t="shared" si="38"/>
        <v>207.9984</v>
      </c>
      <c r="F114" s="201">
        <f t="shared" si="39"/>
        <v>4</v>
      </c>
      <c r="G114" s="162">
        <v>52</v>
      </c>
      <c r="I114" s="203">
        <v>87.93</v>
      </c>
      <c r="J114" s="150">
        <f t="shared" si="60"/>
        <v>3048.2165520000003</v>
      </c>
      <c r="K114" s="154">
        <f t="shared" si="63"/>
        <v>36578.598624000006</v>
      </c>
      <c r="L114" s="206">
        <f t="shared" si="61"/>
        <v>870</v>
      </c>
      <c r="M114" s="167">
        <f t="shared" si="41"/>
        <v>621.55623957978673</v>
      </c>
      <c r="N114" s="208">
        <f t="shared" si="62"/>
        <v>180.96</v>
      </c>
      <c r="O114" s="209">
        <f t="shared" si="42"/>
        <v>129.28369783259564</v>
      </c>
      <c r="P114" s="174"/>
      <c r="Q114" s="177">
        <f t="shared" si="36"/>
        <v>4.4814204873702632</v>
      </c>
      <c r="R114" s="178"/>
      <c r="S114" s="178">
        <f t="shared" si="43"/>
        <v>8.6379379894061831E-2</v>
      </c>
      <c r="T114" s="178">
        <f t="shared" si="44"/>
        <v>4.5677998672643252</v>
      </c>
      <c r="V114" s="178">
        <f t="shared" si="45"/>
        <v>92.497799867264334</v>
      </c>
      <c r="W114" s="181">
        <f t="shared" si="46"/>
        <v>3206.5657293185327</v>
      </c>
      <c r="X114" s="181">
        <f t="shared" si="47"/>
        <v>158.34917731853238</v>
      </c>
      <c r="Y114" s="182">
        <f t="shared" si="48"/>
        <v>1900.1901278223886</v>
      </c>
      <c r="Z114" s="174"/>
      <c r="AA114" s="181">
        <f t="shared" si="49"/>
        <v>1864.2709227460293</v>
      </c>
      <c r="AB114" s="210">
        <f t="shared" si="37"/>
        <v>5.1948139056798848E-2</v>
      </c>
    </row>
    <row r="115" spans="1:28" ht="12">
      <c r="A115" s="41" t="s">
        <v>85</v>
      </c>
      <c r="B115" s="193"/>
      <c r="C115" s="195">
        <f>B115*4.3333*3</f>
        <v>0</v>
      </c>
      <c r="D115" s="196">
        <v>6</v>
      </c>
      <c r="E115" s="198">
        <f t="shared" si="38"/>
        <v>0</v>
      </c>
      <c r="F115" s="201">
        <f t="shared" si="39"/>
        <v>0</v>
      </c>
      <c r="G115" s="162">
        <v>52</v>
      </c>
      <c r="I115" s="203">
        <v>87.93</v>
      </c>
      <c r="J115" s="150">
        <f t="shared" si="60"/>
        <v>0</v>
      </c>
      <c r="K115" s="154">
        <f t="shared" si="63"/>
        <v>0</v>
      </c>
      <c r="L115" s="206">
        <f t="shared" si="61"/>
        <v>870</v>
      </c>
      <c r="M115" s="167">
        <f t="shared" si="41"/>
        <v>621.55623957978673</v>
      </c>
      <c r="N115" s="208">
        <f t="shared" si="62"/>
        <v>0</v>
      </c>
      <c r="O115" s="209">
        <f t="shared" si="42"/>
        <v>0</v>
      </c>
      <c r="P115" s="174"/>
      <c r="Q115" s="177">
        <f t="shared" si="36"/>
        <v>4.4814204873702632</v>
      </c>
      <c r="R115" s="178"/>
      <c r="S115" s="178">
        <f t="shared" si="43"/>
        <v>8.6379379894061831E-2</v>
      </c>
      <c r="T115" s="178">
        <f t="shared" si="44"/>
        <v>4.5677998672643252</v>
      </c>
      <c r="V115" s="178">
        <f t="shared" si="45"/>
        <v>92.497799867264334</v>
      </c>
      <c r="W115" s="181">
        <f t="shared" si="46"/>
        <v>0</v>
      </c>
      <c r="X115" s="181">
        <f t="shared" si="47"/>
        <v>0</v>
      </c>
      <c r="Y115" s="182">
        <f t="shared" si="48"/>
        <v>0</v>
      </c>
      <c r="Z115" s="174"/>
      <c r="AA115" s="181">
        <f t="shared" si="49"/>
        <v>0</v>
      </c>
      <c r="AB115" s="210">
        <f t="shared" si="37"/>
        <v>5.1948139056798848E-2</v>
      </c>
    </row>
    <row r="116" spans="1:28" ht="12">
      <c r="A116" s="41" t="s">
        <v>86</v>
      </c>
      <c r="B116" s="193"/>
      <c r="C116" s="195">
        <f>B116*4.3333*4</f>
        <v>0</v>
      </c>
      <c r="D116" s="196">
        <v>6</v>
      </c>
      <c r="E116" s="198">
        <f t="shared" si="38"/>
        <v>0</v>
      </c>
      <c r="F116" s="201">
        <f t="shared" si="39"/>
        <v>0</v>
      </c>
      <c r="G116" s="162">
        <v>52</v>
      </c>
      <c r="I116" s="203">
        <v>87.93</v>
      </c>
      <c r="J116" s="150">
        <f t="shared" si="60"/>
        <v>0</v>
      </c>
      <c r="K116" s="154">
        <f t="shared" si="63"/>
        <v>0</v>
      </c>
      <c r="L116" s="206">
        <f t="shared" si="61"/>
        <v>870</v>
      </c>
      <c r="M116" s="167">
        <f t="shared" si="41"/>
        <v>621.55623957978673</v>
      </c>
      <c r="N116" s="208">
        <f t="shared" si="62"/>
        <v>0</v>
      </c>
      <c r="O116" s="209">
        <f t="shared" si="42"/>
        <v>0</v>
      </c>
      <c r="P116" s="174"/>
      <c r="Q116" s="177">
        <f t="shared" si="36"/>
        <v>4.4814204873702632</v>
      </c>
      <c r="R116" s="178"/>
      <c r="S116" s="178">
        <f t="shared" si="43"/>
        <v>8.6379379894061831E-2</v>
      </c>
      <c r="T116" s="178">
        <f t="shared" si="44"/>
        <v>4.5677998672643252</v>
      </c>
      <c r="V116" s="178">
        <f t="shared" si="45"/>
        <v>92.497799867264334</v>
      </c>
      <c r="W116" s="181">
        <f t="shared" si="46"/>
        <v>0</v>
      </c>
      <c r="X116" s="181">
        <f t="shared" si="47"/>
        <v>0</v>
      </c>
      <c r="Y116" s="182">
        <f t="shared" si="48"/>
        <v>0</v>
      </c>
      <c r="Z116" s="174"/>
      <c r="AA116" s="181">
        <f t="shared" si="49"/>
        <v>0</v>
      </c>
      <c r="AB116" s="210">
        <f t="shared" si="37"/>
        <v>5.1948139056798848E-2</v>
      </c>
    </row>
    <row r="117" spans="1:28" ht="12">
      <c r="A117" s="41" t="s">
        <v>87</v>
      </c>
      <c r="B117" s="193">
        <v>4</v>
      </c>
      <c r="C117" s="195">
        <f>+B117*1</f>
        <v>4</v>
      </c>
      <c r="D117" s="196">
        <v>8</v>
      </c>
      <c r="E117" s="198">
        <f t="shared" si="38"/>
        <v>32</v>
      </c>
      <c r="F117" s="201">
        <f t="shared" si="39"/>
        <v>4</v>
      </c>
      <c r="G117" s="162">
        <v>52</v>
      </c>
      <c r="I117" s="203">
        <v>116.97</v>
      </c>
      <c r="J117" s="150">
        <f t="shared" si="60"/>
        <v>467.88</v>
      </c>
      <c r="K117" s="154">
        <f t="shared" si="63"/>
        <v>5614.5599999999995</v>
      </c>
      <c r="L117" s="206">
        <f t="shared" si="61"/>
        <v>1160</v>
      </c>
      <c r="M117" s="167">
        <f t="shared" si="41"/>
        <v>828.74165277304894</v>
      </c>
      <c r="N117" s="208">
        <f t="shared" si="62"/>
        <v>27.84</v>
      </c>
      <c r="O117" s="209">
        <f t="shared" si="42"/>
        <v>19.889799666553177</v>
      </c>
      <c r="P117" s="174"/>
      <c r="Q117" s="177">
        <f t="shared" si="36"/>
        <v>5.975227316493684</v>
      </c>
      <c r="R117" s="179"/>
      <c r="S117" s="178">
        <f t="shared" si="43"/>
        <v>0.11517250652541576</v>
      </c>
      <c r="T117" s="178">
        <f t="shared" si="44"/>
        <v>6.0903998230190997</v>
      </c>
      <c r="V117" s="178">
        <f t="shared" si="45"/>
        <v>123.0603998230191</v>
      </c>
      <c r="W117" s="181">
        <f t="shared" si="46"/>
        <v>492.24159929207639</v>
      </c>
      <c r="X117" s="181">
        <f t="shared" si="47"/>
        <v>24.361599292076392</v>
      </c>
      <c r="Y117" s="182">
        <f t="shared" si="48"/>
        <v>292.3391915049167</v>
      </c>
      <c r="Z117" s="174"/>
      <c r="AA117" s="181">
        <f t="shared" si="49"/>
        <v>286.81091119169685</v>
      </c>
      <c r="AB117" s="210">
        <f t="shared" si="37"/>
        <v>5.206805012412663E-2</v>
      </c>
    </row>
    <row r="118" spans="1:28" ht="12">
      <c r="A118" s="41" t="s">
        <v>88</v>
      </c>
      <c r="B118" s="193">
        <v>4</v>
      </c>
      <c r="C118" s="195">
        <f>B118*4.3333</f>
        <v>17.333200000000001</v>
      </c>
      <c r="D118" s="196">
        <v>8</v>
      </c>
      <c r="E118" s="198">
        <f t="shared" si="38"/>
        <v>138.66560000000001</v>
      </c>
      <c r="F118" s="201">
        <f t="shared" si="39"/>
        <v>4</v>
      </c>
      <c r="G118" s="162">
        <v>52</v>
      </c>
      <c r="I118" s="203">
        <v>114.83</v>
      </c>
      <c r="J118" s="150">
        <f t="shared" si="60"/>
        <v>1990.3713560000001</v>
      </c>
      <c r="K118" s="154">
        <f t="shared" si="63"/>
        <v>23884.456272000003</v>
      </c>
      <c r="L118" s="206">
        <f t="shared" si="61"/>
        <v>1160</v>
      </c>
      <c r="M118" s="167">
        <f t="shared" si="41"/>
        <v>828.74165277304894</v>
      </c>
      <c r="N118" s="208">
        <f t="shared" si="62"/>
        <v>120.64</v>
      </c>
      <c r="O118" s="209">
        <f t="shared" si="42"/>
        <v>86.1891318883971</v>
      </c>
      <c r="P118" s="174"/>
      <c r="Q118" s="177">
        <f t="shared" si="36"/>
        <v>5.975227316493684</v>
      </c>
      <c r="R118" s="178"/>
      <c r="S118" s="178">
        <f t="shared" si="43"/>
        <v>0.11517250652541576</v>
      </c>
      <c r="T118" s="178">
        <f t="shared" si="44"/>
        <v>6.0903998230190997</v>
      </c>
      <c r="V118" s="178">
        <f t="shared" si="45"/>
        <v>120.9203998230191</v>
      </c>
      <c r="W118" s="181">
        <f t="shared" si="46"/>
        <v>2095.9374742123546</v>
      </c>
      <c r="X118" s="181">
        <f t="shared" si="47"/>
        <v>105.56611821235447</v>
      </c>
      <c r="Y118" s="182">
        <f t="shared" si="48"/>
        <v>1266.7934185482536</v>
      </c>
      <c r="Z118" s="174"/>
      <c r="AA118" s="181">
        <f t="shared" si="49"/>
        <v>1242.8472818306864</v>
      </c>
      <c r="AB118" s="210">
        <f t="shared" si="37"/>
        <v>5.3038403056858918E-2</v>
      </c>
    </row>
    <row r="119" spans="1:28" ht="12">
      <c r="A119" s="41" t="s">
        <v>89</v>
      </c>
      <c r="B119" s="193">
        <v>5</v>
      </c>
      <c r="C119" s="195">
        <f>B119*4.3333*2</f>
        <v>43.333000000000006</v>
      </c>
      <c r="D119" s="196">
        <v>8</v>
      </c>
      <c r="E119" s="198">
        <f t="shared" si="38"/>
        <v>346.66400000000004</v>
      </c>
      <c r="F119" s="201">
        <f t="shared" si="39"/>
        <v>5</v>
      </c>
      <c r="G119" s="162">
        <v>52</v>
      </c>
      <c r="I119" s="203">
        <v>114.83</v>
      </c>
      <c r="J119" s="150">
        <f t="shared" si="60"/>
        <v>4975.9283900000009</v>
      </c>
      <c r="K119" s="154">
        <f t="shared" si="63"/>
        <v>59711.140680000011</v>
      </c>
      <c r="L119" s="206">
        <f t="shared" si="61"/>
        <v>1160</v>
      </c>
      <c r="M119" s="167">
        <f t="shared" si="41"/>
        <v>828.74165277304894</v>
      </c>
      <c r="N119" s="208">
        <f t="shared" si="62"/>
        <v>301.60000000000002</v>
      </c>
      <c r="O119" s="209">
        <f t="shared" si="42"/>
        <v>215.47282972099276</v>
      </c>
      <c r="P119" s="174"/>
      <c r="Q119" s="177">
        <f t="shared" si="36"/>
        <v>5.975227316493684</v>
      </c>
      <c r="R119" s="178"/>
      <c r="S119" s="178">
        <f t="shared" si="43"/>
        <v>0.11517250652541576</v>
      </c>
      <c r="T119" s="178">
        <f t="shared" si="44"/>
        <v>6.0903998230190997</v>
      </c>
      <c r="V119" s="178">
        <f t="shared" si="45"/>
        <v>120.9203998230191</v>
      </c>
      <c r="W119" s="181">
        <f t="shared" si="46"/>
        <v>5239.8436855308873</v>
      </c>
      <c r="X119" s="181">
        <f t="shared" si="47"/>
        <v>263.9152955308864</v>
      </c>
      <c r="Y119" s="182">
        <f t="shared" si="48"/>
        <v>3166.9835463706368</v>
      </c>
      <c r="Z119" s="174"/>
      <c r="AA119" s="181">
        <f t="shared" si="49"/>
        <v>3107.1182045767159</v>
      </c>
      <c r="AB119" s="210">
        <f t="shared" si="37"/>
        <v>5.3038403056858918E-2</v>
      </c>
    </row>
    <row r="120" spans="1:28" ht="12">
      <c r="A120" s="41" t="s">
        <v>90</v>
      </c>
      <c r="B120" s="193"/>
      <c r="C120" s="195">
        <f>B120*4.3333*3</f>
        <v>0</v>
      </c>
      <c r="D120" s="196">
        <v>8</v>
      </c>
      <c r="E120" s="198">
        <f t="shared" si="38"/>
        <v>0</v>
      </c>
      <c r="F120" s="201">
        <f t="shared" si="39"/>
        <v>0</v>
      </c>
      <c r="G120" s="162">
        <v>52</v>
      </c>
      <c r="I120" s="203">
        <v>114.83</v>
      </c>
      <c r="J120" s="150">
        <f t="shared" si="60"/>
        <v>0</v>
      </c>
      <c r="K120" s="154">
        <f t="shared" si="63"/>
        <v>0</v>
      </c>
      <c r="L120" s="206">
        <f t="shared" si="61"/>
        <v>1160</v>
      </c>
      <c r="M120" s="167">
        <f t="shared" si="41"/>
        <v>828.74165277304894</v>
      </c>
      <c r="N120" s="208">
        <f t="shared" si="62"/>
        <v>0</v>
      </c>
      <c r="O120" s="209">
        <f t="shared" si="42"/>
        <v>0</v>
      </c>
      <c r="P120" s="174"/>
      <c r="Q120" s="177">
        <f t="shared" si="36"/>
        <v>5.975227316493684</v>
      </c>
      <c r="R120" s="178"/>
      <c r="S120" s="178">
        <f t="shared" si="43"/>
        <v>0.11517250652541576</v>
      </c>
      <c r="T120" s="178">
        <f t="shared" si="44"/>
        <v>6.0903998230190997</v>
      </c>
      <c r="V120" s="178">
        <f t="shared" si="45"/>
        <v>120.9203998230191</v>
      </c>
      <c r="W120" s="181">
        <f t="shared" si="46"/>
        <v>0</v>
      </c>
      <c r="X120" s="181">
        <f t="shared" si="47"/>
        <v>0</v>
      </c>
      <c r="Y120" s="182">
        <f t="shared" si="48"/>
        <v>0</v>
      </c>
      <c r="Z120" s="174"/>
      <c r="AA120" s="181">
        <f t="shared" si="49"/>
        <v>0</v>
      </c>
      <c r="AB120" s="210">
        <f t="shared" si="37"/>
        <v>5.3038403056858918E-2</v>
      </c>
    </row>
    <row r="121" spans="1:28" ht="12">
      <c r="A121" s="41" t="s">
        <v>91</v>
      </c>
      <c r="B121" s="193"/>
      <c r="C121" s="195">
        <f>B121*4.3333*4</f>
        <v>0</v>
      </c>
      <c r="D121" s="196">
        <v>8</v>
      </c>
      <c r="E121" s="198">
        <f t="shared" si="38"/>
        <v>0</v>
      </c>
      <c r="F121" s="201">
        <f t="shared" si="39"/>
        <v>0</v>
      </c>
      <c r="G121" s="162">
        <v>52</v>
      </c>
      <c r="I121" s="203">
        <v>114.83</v>
      </c>
      <c r="J121" s="150">
        <f t="shared" si="60"/>
        <v>0</v>
      </c>
      <c r="K121" s="154">
        <f t="shared" si="63"/>
        <v>0</v>
      </c>
      <c r="L121" s="206">
        <f t="shared" si="61"/>
        <v>1160</v>
      </c>
      <c r="M121" s="167">
        <f t="shared" si="41"/>
        <v>828.74165277304894</v>
      </c>
      <c r="N121" s="208">
        <f t="shared" si="62"/>
        <v>0</v>
      </c>
      <c r="O121" s="209">
        <f t="shared" si="42"/>
        <v>0</v>
      </c>
      <c r="P121" s="174"/>
      <c r="Q121" s="177">
        <f t="shared" si="36"/>
        <v>5.975227316493684</v>
      </c>
      <c r="R121" s="178"/>
      <c r="S121" s="178">
        <f t="shared" si="43"/>
        <v>0.11517250652541576</v>
      </c>
      <c r="T121" s="178">
        <f t="shared" si="44"/>
        <v>6.0903998230190997</v>
      </c>
      <c r="V121" s="178">
        <f t="shared" si="45"/>
        <v>120.9203998230191</v>
      </c>
      <c r="W121" s="181">
        <f t="shared" si="46"/>
        <v>0</v>
      </c>
      <c r="X121" s="181">
        <f t="shared" si="47"/>
        <v>0</v>
      </c>
      <c r="Y121" s="182">
        <f t="shared" si="48"/>
        <v>0</v>
      </c>
      <c r="Z121" s="174"/>
      <c r="AA121" s="181">
        <f t="shared" si="49"/>
        <v>0</v>
      </c>
      <c r="AB121" s="210">
        <f t="shared" si="37"/>
        <v>5.3038403056858918E-2</v>
      </c>
    </row>
    <row r="122" spans="1:28" ht="12">
      <c r="A122" s="41" t="s">
        <v>92</v>
      </c>
      <c r="B122" s="193"/>
      <c r="C122" s="195">
        <f>B122*4.3333*5</f>
        <v>0</v>
      </c>
      <c r="D122" s="196">
        <v>8</v>
      </c>
      <c r="E122" s="198">
        <f t="shared" si="38"/>
        <v>0</v>
      </c>
      <c r="F122" s="201">
        <f t="shared" si="39"/>
        <v>0</v>
      </c>
      <c r="G122" s="162">
        <v>52</v>
      </c>
      <c r="I122" s="203">
        <v>114.83</v>
      </c>
      <c r="J122" s="150">
        <f t="shared" si="60"/>
        <v>0</v>
      </c>
      <c r="K122" s="154">
        <f t="shared" si="63"/>
        <v>0</v>
      </c>
      <c r="L122" s="206">
        <f t="shared" si="61"/>
        <v>1160</v>
      </c>
      <c r="M122" s="167">
        <f t="shared" si="41"/>
        <v>828.74165277304894</v>
      </c>
      <c r="N122" s="208">
        <f t="shared" si="62"/>
        <v>0</v>
      </c>
      <c r="O122" s="209">
        <f t="shared" si="42"/>
        <v>0</v>
      </c>
      <c r="P122" s="174"/>
      <c r="Q122" s="177">
        <f t="shared" si="36"/>
        <v>5.975227316493684</v>
      </c>
      <c r="R122" s="178"/>
      <c r="S122" s="178">
        <f t="shared" si="43"/>
        <v>0.11517250652541576</v>
      </c>
      <c r="T122" s="178">
        <f t="shared" si="44"/>
        <v>6.0903998230190997</v>
      </c>
      <c r="V122" s="178">
        <f t="shared" si="45"/>
        <v>120.9203998230191</v>
      </c>
      <c r="W122" s="181">
        <f t="shared" si="46"/>
        <v>0</v>
      </c>
      <c r="X122" s="181">
        <f>W122-J122</f>
        <v>0</v>
      </c>
      <c r="Y122" s="182">
        <f t="shared" si="48"/>
        <v>0</v>
      </c>
      <c r="Z122" s="174"/>
      <c r="AA122" s="181">
        <f t="shared" si="49"/>
        <v>0</v>
      </c>
      <c r="AB122" s="210">
        <f t="shared" si="37"/>
        <v>5.3038403056858918E-2</v>
      </c>
    </row>
    <row r="123" spans="1:28" ht="12">
      <c r="A123" s="27" t="s">
        <v>52</v>
      </c>
      <c r="B123" s="194"/>
      <c r="C123" s="195">
        <f t="shared" ref="C123:C133" si="64">B123</f>
        <v>0</v>
      </c>
      <c r="D123" s="196">
        <v>1</v>
      </c>
      <c r="E123" s="199">
        <f t="shared" si="38"/>
        <v>0</v>
      </c>
      <c r="F123" s="201">
        <f t="shared" si="39"/>
        <v>0</v>
      </c>
      <c r="G123" s="162">
        <v>12</v>
      </c>
      <c r="I123" s="163">
        <v>17.5</v>
      </c>
      <c r="J123" s="150">
        <f>F123*I123</f>
        <v>0</v>
      </c>
      <c r="K123" s="154">
        <f t="shared" si="63"/>
        <v>0</v>
      </c>
      <c r="L123" s="206">
        <f t="shared" si="61"/>
        <v>145</v>
      </c>
      <c r="M123" s="167">
        <f t="shared" si="41"/>
        <v>103.59270659663112</v>
      </c>
      <c r="N123" s="208">
        <f t="shared" si="62"/>
        <v>0</v>
      </c>
      <c r="O123" s="209">
        <f t="shared" si="42"/>
        <v>0</v>
      </c>
      <c r="P123" s="174"/>
      <c r="Q123" s="177">
        <f>M123*$R$12</f>
        <v>0.7469034145617105</v>
      </c>
      <c r="R123" s="178"/>
      <c r="S123" s="178">
        <f>Q123*$U$11</f>
        <v>1.439656331567697E-2</v>
      </c>
      <c r="T123" s="178">
        <f>+Q123+S123</f>
        <v>0.76129997787738746</v>
      </c>
      <c r="V123" s="178">
        <f>I123+T123</f>
        <v>18.261299977877389</v>
      </c>
      <c r="W123" s="181">
        <f>C123*V123</f>
        <v>0</v>
      </c>
      <c r="X123" s="181">
        <f>W123-J123</f>
        <v>0</v>
      </c>
      <c r="Y123" s="182">
        <f>X123*12</f>
        <v>0</v>
      </c>
      <c r="Z123" s="174"/>
      <c r="AA123" s="181">
        <f>O123*$R$11</f>
        <v>0</v>
      </c>
      <c r="AB123" s="174"/>
    </row>
    <row r="124" spans="1:28" ht="12">
      <c r="A124" s="41" t="s">
        <v>93</v>
      </c>
      <c r="B124" s="252"/>
      <c r="C124" s="195">
        <f t="shared" si="64"/>
        <v>0</v>
      </c>
      <c r="D124" s="196"/>
      <c r="E124" s="198">
        <f t="shared" si="38"/>
        <v>0</v>
      </c>
      <c r="F124" s="201">
        <f t="shared" si="39"/>
        <v>0</v>
      </c>
      <c r="G124" s="162">
        <v>12</v>
      </c>
      <c r="I124" s="203">
        <v>1.21</v>
      </c>
      <c r="J124" s="150">
        <f t="shared" ref="J124:J133" si="65">+C124*I124</f>
        <v>0</v>
      </c>
      <c r="K124" s="154">
        <f t="shared" si="63"/>
        <v>0</v>
      </c>
      <c r="L124" s="206">
        <f t="shared" si="61"/>
        <v>0</v>
      </c>
      <c r="M124" s="167">
        <f t="shared" si="41"/>
        <v>0</v>
      </c>
      <c r="N124" s="208">
        <f t="shared" si="62"/>
        <v>0</v>
      </c>
      <c r="O124" s="209">
        <f t="shared" si="42"/>
        <v>0</v>
      </c>
      <c r="P124" s="174"/>
      <c r="Q124" s="174"/>
      <c r="R124" s="174"/>
      <c r="S124" s="174"/>
      <c r="T124" s="174"/>
      <c r="V124" s="178"/>
      <c r="W124" s="181"/>
      <c r="X124" s="181"/>
      <c r="Y124" s="182"/>
      <c r="Z124" s="174"/>
      <c r="AA124" s="181"/>
      <c r="AB124" s="174"/>
    </row>
    <row r="125" spans="1:28" ht="12">
      <c r="A125" s="41" t="s">
        <v>94</v>
      </c>
      <c r="B125" s="252"/>
      <c r="C125" s="195">
        <f t="shared" si="64"/>
        <v>0</v>
      </c>
      <c r="D125" s="196"/>
      <c r="E125" s="198">
        <f t="shared" si="38"/>
        <v>0</v>
      </c>
      <c r="F125" s="201">
        <f t="shared" si="39"/>
        <v>0</v>
      </c>
      <c r="G125" s="162">
        <v>12</v>
      </c>
      <c r="I125" s="203">
        <v>1.86</v>
      </c>
      <c r="J125" s="150">
        <f t="shared" si="65"/>
        <v>0</v>
      </c>
      <c r="K125" s="154">
        <f t="shared" si="63"/>
        <v>0</v>
      </c>
      <c r="L125" s="206">
        <f t="shared" si="61"/>
        <v>0</v>
      </c>
      <c r="M125" s="167">
        <f t="shared" si="41"/>
        <v>0</v>
      </c>
      <c r="N125" s="208">
        <f t="shared" si="62"/>
        <v>0</v>
      </c>
      <c r="O125" s="209">
        <f t="shared" si="42"/>
        <v>0</v>
      </c>
      <c r="P125" s="174"/>
      <c r="Q125" s="174"/>
      <c r="R125" s="174"/>
      <c r="S125" s="174"/>
      <c r="T125" s="174"/>
      <c r="V125" s="174"/>
      <c r="W125" s="174"/>
      <c r="X125" s="174"/>
      <c r="Y125" s="174"/>
      <c r="Z125" s="174"/>
      <c r="AA125" s="174"/>
      <c r="AB125" s="174"/>
    </row>
    <row r="126" spans="1:28" ht="12">
      <c r="A126" s="41" t="s">
        <v>95</v>
      </c>
      <c r="B126" s="252"/>
      <c r="C126" s="195">
        <f t="shared" si="64"/>
        <v>0</v>
      </c>
      <c r="D126" s="196"/>
      <c r="E126" s="198">
        <f t="shared" si="38"/>
        <v>0</v>
      </c>
      <c r="F126" s="201">
        <f t="shared" si="39"/>
        <v>0</v>
      </c>
      <c r="G126" s="162">
        <v>12</v>
      </c>
      <c r="I126" s="203">
        <v>1.86</v>
      </c>
      <c r="J126" s="150">
        <f t="shared" si="65"/>
        <v>0</v>
      </c>
      <c r="K126" s="154">
        <f t="shared" si="63"/>
        <v>0</v>
      </c>
      <c r="L126" s="206">
        <f t="shared" si="61"/>
        <v>0</v>
      </c>
      <c r="M126" s="167">
        <f t="shared" si="41"/>
        <v>0</v>
      </c>
      <c r="N126" s="208">
        <f t="shared" si="62"/>
        <v>0</v>
      </c>
      <c r="O126" s="209">
        <f t="shared" si="42"/>
        <v>0</v>
      </c>
      <c r="P126" s="174"/>
      <c r="Q126" s="174"/>
      <c r="R126" s="174"/>
      <c r="S126" s="174"/>
      <c r="T126" s="174"/>
      <c r="V126" s="174"/>
      <c r="W126" s="174"/>
      <c r="X126" s="174"/>
      <c r="Y126" s="174"/>
      <c r="Z126" s="174"/>
      <c r="AA126" s="174"/>
      <c r="AB126" s="174"/>
    </row>
    <row r="127" spans="1:28" ht="12">
      <c r="A127" s="41" t="s">
        <v>96</v>
      </c>
      <c r="B127" s="252"/>
      <c r="C127" s="195">
        <f t="shared" si="64"/>
        <v>0</v>
      </c>
      <c r="D127" s="196"/>
      <c r="E127" s="198">
        <f t="shared" si="38"/>
        <v>0</v>
      </c>
      <c r="F127" s="201">
        <f t="shared" si="39"/>
        <v>0</v>
      </c>
      <c r="G127" s="162">
        <v>12</v>
      </c>
      <c r="I127" s="203">
        <v>7.1</v>
      </c>
      <c r="J127" s="150">
        <f t="shared" si="65"/>
        <v>0</v>
      </c>
      <c r="K127" s="154">
        <f t="shared" si="63"/>
        <v>0</v>
      </c>
      <c r="L127" s="206">
        <f t="shared" si="61"/>
        <v>0</v>
      </c>
      <c r="M127" s="167">
        <f t="shared" si="41"/>
        <v>0</v>
      </c>
      <c r="N127" s="208">
        <f t="shared" si="62"/>
        <v>0</v>
      </c>
      <c r="O127" s="209">
        <f t="shared" si="42"/>
        <v>0</v>
      </c>
      <c r="P127" s="174"/>
      <c r="Q127" s="174"/>
      <c r="R127" s="174"/>
      <c r="S127" s="174"/>
      <c r="T127" s="174"/>
      <c r="V127" s="174"/>
      <c r="W127" s="174"/>
      <c r="X127" s="174"/>
      <c r="Y127" s="174"/>
      <c r="Z127" s="174"/>
      <c r="AA127" s="174"/>
      <c r="AB127" s="174"/>
    </row>
    <row r="128" spans="1:28" ht="12">
      <c r="A128" s="41" t="s">
        <v>197</v>
      </c>
      <c r="B128" s="252"/>
      <c r="C128" s="195">
        <f t="shared" si="64"/>
        <v>0</v>
      </c>
      <c r="D128" s="196"/>
      <c r="E128" s="198">
        <f t="shared" si="38"/>
        <v>0</v>
      </c>
      <c r="F128" s="201">
        <f t="shared" si="39"/>
        <v>0</v>
      </c>
      <c r="G128" s="162">
        <v>12</v>
      </c>
      <c r="I128" s="203">
        <v>8.1999999999999993</v>
      </c>
      <c r="J128" s="150">
        <f t="shared" si="65"/>
        <v>0</v>
      </c>
      <c r="K128" s="154">
        <f t="shared" si="63"/>
        <v>0</v>
      </c>
      <c r="L128" s="206">
        <f t="shared" si="61"/>
        <v>0</v>
      </c>
      <c r="M128" s="167">
        <f t="shared" si="41"/>
        <v>0</v>
      </c>
      <c r="N128" s="208">
        <f t="shared" si="62"/>
        <v>0</v>
      </c>
      <c r="O128" s="209">
        <f t="shared" si="42"/>
        <v>0</v>
      </c>
      <c r="P128" s="174"/>
      <c r="Q128" s="174"/>
      <c r="R128" s="174"/>
      <c r="S128" s="174"/>
      <c r="T128" s="174"/>
      <c r="V128" s="174"/>
      <c r="W128" s="174"/>
      <c r="X128" s="174"/>
      <c r="Y128" s="174"/>
      <c r="Z128" s="174"/>
      <c r="AA128" s="174"/>
      <c r="AB128" s="174"/>
    </row>
    <row r="129" spans="1:28" ht="12">
      <c r="A129" s="41" t="s">
        <v>97</v>
      </c>
      <c r="B129" s="252"/>
      <c r="C129" s="195">
        <f t="shared" si="64"/>
        <v>0</v>
      </c>
      <c r="D129" s="196"/>
      <c r="E129" s="198">
        <f t="shared" si="38"/>
        <v>0</v>
      </c>
      <c r="F129" s="201">
        <f t="shared" si="39"/>
        <v>0</v>
      </c>
      <c r="G129" s="162">
        <v>12</v>
      </c>
      <c r="I129" s="203">
        <v>11.48</v>
      </c>
      <c r="J129" s="150">
        <f t="shared" si="65"/>
        <v>0</v>
      </c>
      <c r="K129" s="154">
        <f t="shared" si="63"/>
        <v>0</v>
      </c>
      <c r="L129" s="206">
        <f t="shared" si="61"/>
        <v>0</v>
      </c>
      <c r="M129" s="167">
        <f t="shared" si="41"/>
        <v>0</v>
      </c>
      <c r="N129" s="208">
        <f t="shared" si="62"/>
        <v>0</v>
      </c>
      <c r="O129" s="209">
        <f t="shared" si="42"/>
        <v>0</v>
      </c>
      <c r="P129" s="174"/>
      <c r="Q129" s="174"/>
      <c r="R129" s="174"/>
      <c r="S129" s="174"/>
      <c r="T129" s="174"/>
      <c r="V129" s="174"/>
      <c r="W129" s="174"/>
      <c r="X129" s="174"/>
      <c r="Y129" s="174"/>
      <c r="Z129" s="174"/>
      <c r="AA129" s="174"/>
      <c r="AB129" s="174"/>
    </row>
    <row r="130" spans="1:28" ht="12">
      <c r="A130" s="41" t="s">
        <v>98</v>
      </c>
      <c r="B130" s="252"/>
      <c r="C130" s="195">
        <f t="shared" si="64"/>
        <v>0</v>
      </c>
      <c r="D130" s="196"/>
      <c r="E130" s="198">
        <f t="shared" si="38"/>
        <v>0</v>
      </c>
      <c r="F130" s="201">
        <f t="shared" si="39"/>
        <v>0</v>
      </c>
      <c r="G130" s="162">
        <v>12</v>
      </c>
      <c r="I130" s="203">
        <v>14.21</v>
      </c>
      <c r="J130" s="150">
        <f t="shared" si="65"/>
        <v>0</v>
      </c>
      <c r="K130" s="154">
        <f t="shared" si="63"/>
        <v>0</v>
      </c>
      <c r="L130" s="206">
        <f t="shared" si="61"/>
        <v>0</v>
      </c>
      <c r="M130" s="167">
        <f t="shared" si="41"/>
        <v>0</v>
      </c>
      <c r="N130" s="208">
        <f t="shared" si="62"/>
        <v>0</v>
      </c>
      <c r="O130" s="209">
        <f t="shared" si="42"/>
        <v>0</v>
      </c>
      <c r="P130" s="174"/>
      <c r="Q130" s="174"/>
      <c r="R130" s="174"/>
      <c r="S130" s="174"/>
      <c r="T130" s="174"/>
      <c r="V130" s="174"/>
      <c r="W130" s="174"/>
      <c r="X130" s="174"/>
      <c r="Y130" s="174"/>
      <c r="Z130" s="174"/>
      <c r="AA130" s="174"/>
      <c r="AB130" s="174"/>
    </row>
    <row r="131" spans="1:28" ht="12">
      <c r="A131" s="41" t="s">
        <v>99</v>
      </c>
      <c r="B131" s="252"/>
      <c r="C131" s="195">
        <f t="shared" si="64"/>
        <v>0</v>
      </c>
      <c r="D131" s="196"/>
      <c r="E131" s="198">
        <f t="shared" si="38"/>
        <v>0</v>
      </c>
      <c r="F131" s="201">
        <f t="shared" si="39"/>
        <v>0</v>
      </c>
      <c r="G131" s="162">
        <v>12</v>
      </c>
      <c r="I131" s="203">
        <v>16.12</v>
      </c>
      <c r="J131" s="150">
        <f t="shared" si="65"/>
        <v>0</v>
      </c>
      <c r="K131" s="154">
        <f t="shared" si="63"/>
        <v>0</v>
      </c>
      <c r="L131" s="206">
        <f t="shared" si="61"/>
        <v>0</v>
      </c>
      <c r="M131" s="167">
        <f t="shared" si="41"/>
        <v>0</v>
      </c>
      <c r="N131" s="208">
        <f t="shared" si="62"/>
        <v>0</v>
      </c>
      <c r="O131" s="209">
        <f t="shared" si="42"/>
        <v>0</v>
      </c>
      <c r="P131" s="174"/>
      <c r="Q131" s="174"/>
      <c r="R131" s="174"/>
      <c r="S131" s="174"/>
      <c r="T131" s="174"/>
      <c r="V131" s="174"/>
      <c r="W131" s="174"/>
      <c r="X131" s="174"/>
      <c r="Y131" s="174"/>
      <c r="Z131" s="174"/>
      <c r="AA131" s="174"/>
      <c r="AB131" s="174"/>
    </row>
    <row r="132" spans="1:28" ht="12">
      <c r="A132" s="41" t="s">
        <v>100</v>
      </c>
      <c r="B132" s="252"/>
      <c r="C132" s="195">
        <f t="shared" si="64"/>
        <v>0</v>
      </c>
      <c r="D132" s="196"/>
      <c r="E132" s="198">
        <f t="shared" si="38"/>
        <v>0</v>
      </c>
      <c r="F132" s="201">
        <f t="shared" si="39"/>
        <v>0</v>
      </c>
      <c r="G132" s="162">
        <v>12</v>
      </c>
      <c r="I132" s="203">
        <v>24.05</v>
      </c>
      <c r="J132" s="150">
        <f t="shared" si="65"/>
        <v>0</v>
      </c>
      <c r="K132" s="154">
        <f t="shared" si="63"/>
        <v>0</v>
      </c>
      <c r="L132" s="206">
        <f t="shared" si="61"/>
        <v>0</v>
      </c>
      <c r="M132" s="167">
        <f t="shared" si="41"/>
        <v>0</v>
      </c>
      <c r="N132" s="208">
        <f t="shared" si="62"/>
        <v>0</v>
      </c>
      <c r="O132" s="209">
        <f t="shared" si="42"/>
        <v>0</v>
      </c>
      <c r="P132" s="174"/>
      <c r="Q132" s="174"/>
      <c r="R132" s="174"/>
      <c r="S132" s="174"/>
      <c r="T132" s="174"/>
      <c r="V132" s="174"/>
      <c r="W132" s="174"/>
      <c r="X132" s="174"/>
      <c r="Y132" s="174"/>
      <c r="Z132" s="174"/>
      <c r="AA132" s="174"/>
      <c r="AB132" s="174"/>
    </row>
    <row r="133" spans="1:28" ht="12">
      <c r="A133" s="41" t="s">
        <v>101</v>
      </c>
      <c r="B133" s="252"/>
      <c r="C133" s="195">
        <f t="shared" si="64"/>
        <v>0</v>
      </c>
      <c r="D133" s="196"/>
      <c r="E133" s="198">
        <f t="shared" si="38"/>
        <v>0</v>
      </c>
      <c r="F133" s="201">
        <f t="shared" si="39"/>
        <v>0</v>
      </c>
      <c r="G133" s="162">
        <v>12</v>
      </c>
      <c r="I133" s="203">
        <v>27.33</v>
      </c>
      <c r="J133" s="165">
        <f t="shared" si="65"/>
        <v>0</v>
      </c>
      <c r="K133" s="164">
        <f t="shared" si="63"/>
        <v>0</v>
      </c>
      <c r="L133" s="204">
        <f t="shared" si="61"/>
        <v>0</v>
      </c>
      <c r="M133" s="167">
        <f t="shared" si="41"/>
        <v>0</v>
      </c>
      <c r="N133" s="207">
        <f t="shared" si="62"/>
        <v>0</v>
      </c>
      <c r="O133" s="209">
        <f t="shared" si="42"/>
        <v>0</v>
      </c>
      <c r="P133" s="171"/>
      <c r="Q133" s="171"/>
      <c r="R133" s="171"/>
      <c r="S133" s="171"/>
      <c r="T133" s="171"/>
      <c r="V133" s="174"/>
      <c r="W133" s="174"/>
      <c r="X133" s="174"/>
      <c r="Y133" s="174"/>
      <c r="Z133" s="174"/>
      <c r="AA133" s="174"/>
      <c r="AB133" s="174"/>
    </row>
    <row r="134" spans="1:28">
      <c r="B134" s="33"/>
      <c r="C134" s="42"/>
      <c r="F134" s="33"/>
      <c r="I134" s="32"/>
      <c r="J134" s="236"/>
      <c r="K134" s="236"/>
      <c r="L134" s="237"/>
      <c r="M134" s="238"/>
      <c r="N134" s="236"/>
      <c r="O134" s="239"/>
      <c r="P134" s="232"/>
      <c r="Q134" s="232"/>
      <c r="R134" s="232"/>
      <c r="S134" s="232"/>
      <c r="T134" s="232"/>
      <c r="V134" s="232"/>
      <c r="W134" s="232"/>
      <c r="X134" s="232"/>
      <c r="Y134" s="232"/>
      <c r="Z134" s="232"/>
      <c r="AA134" s="232"/>
      <c r="AB134" s="232"/>
    </row>
    <row r="135" spans="1:28">
      <c r="A135" s="44" t="s">
        <v>166</v>
      </c>
      <c r="B135" s="253">
        <f>SUM(B74:B133)</f>
        <v>248</v>
      </c>
      <c r="C135" s="240"/>
      <c r="E135" s="157">
        <f>SUM(E74:E134)</f>
        <v>3040.7962796000002</v>
      </c>
      <c r="F135" s="33"/>
      <c r="I135" s="34"/>
      <c r="J135" s="150">
        <f>SUM(J74:J133)</f>
        <v>45739.104140000003</v>
      </c>
      <c r="K135" s="150">
        <f>SUM(K74:K133)</f>
        <v>548869.24968000012</v>
      </c>
      <c r="L135" s="221"/>
      <c r="M135" s="150"/>
      <c r="N135" s="150">
        <f>SUM(N74:N133)</f>
        <v>2645.52</v>
      </c>
      <c r="O135" s="150">
        <f>SUM(O74:O133)</f>
        <v>1890.0453596932384</v>
      </c>
      <c r="P135" s="174"/>
      <c r="Q135" s="174"/>
      <c r="R135" s="174"/>
      <c r="S135" s="174"/>
      <c r="T135" s="174"/>
      <c r="V135" s="174"/>
      <c r="W135" s="181">
        <f>SUM(W74:W134)</f>
        <v>48054.062280389138</v>
      </c>
      <c r="X135" s="181">
        <f>SUM(X74:X134)</f>
        <v>2314.9581403891211</v>
      </c>
      <c r="Y135" s="181">
        <f>SUM(Y74:Y134)</f>
        <v>27779.497684669452</v>
      </c>
      <c r="Z135" s="174"/>
      <c r="AA135" s="180">
        <f>SUM(AA74:AA134)</f>
        <v>27254.454086776503</v>
      </c>
      <c r="AB135" s="174"/>
    </row>
    <row r="136" spans="1:28">
      <c r="A136" s="44"/>
      <c r="B136" s="33"/>
      <c r="C136" s="42"/>
      <c r="F136" s="33"/>
      <c r="I136" s="34"/>
      <c r="J136" s="3"/>
      <c r="K136" s="3"/>
      <c r="L136" s="43"/>
      <c r="N136" s="3"/>
      <c r="O136" s="30"/>
      <c r="AA136" s="210">
        <f>Y135/AA135-1</f>
        <v>1.9264506132511183E-2</v>
      </c>
    </row>
    <row r="137" spans="1:28">
      <c r="A137" s="45" t="s">
        <v>36</v>
      </c>
      <c r="B137" s="33"/>
      <c r="C137" s="42"/>
      <c r="F137" s="33"/>
      <c r="I137" s="34"/>
      <c r="J137" s="3"/>
      <c r="K137" s="3"/>
      <c r="L137" s="43"/>
      <c r="N137" s="3"/>
      <c r="O137" s="30"/>
      <c r="AA137" s="144"/>
    </row>
    <row r="138" spans="1:28">
      <c r="A138" s="46"/>
      <c r="B138" s="33"/>
      <c r="C138" s="42"/>
      <c r="F138" s="33"/>
      <c r="I138" s="34"/>
      <c r="J138" s="3"/>
      <c r="K138" s="3"/>
      <c r="L138" s="43"/>
      <c r="N138" s="3"/>
      <c r="O138" s="30"/>
      <c r="AA138" s="144"/>
    </row>
    <row r="139" spans="1:28" ht="12">
      <c r="A139" s="41" t="s">
        <v>174</v>
      </c>
      <c r="B139" s="193"/>
      <c r="C139" s="195">
        <f>B139*4.3333</f>
        <v>0</v>
      </c>
      <c r="D139" s="196">
        <v>0.1</v>
      </c>
      <c r="E139" s="156">
        <f t="shared" ref="E139:E198" si="66">C139*D139</f>
        <v>0</v>
      </c>
      <c r="F139" s="202">
        <f>B139</f>
        <v>0</v>
      </c>
      <c r="G139" s="162">
        <v>52</v>
      </c>
      <c r="I139" s="203">
        <v>0</v>
      </c>
      <c r="J139" s="150">
        <f t="shared" ref="J139:J170" si="67">+C139*I139</f>
        <v>0</v>
      </c>
      <c r="K139" s="150">
        <f t="shared" ref="K139:K178" si="68">J139*12</f>
        <v>0</v>
      </c>
      <c r="L139" s="205">
        <f t="shared" ref="L139:L170" si="69">+D139*L$16</f>
        <v>14.5</v>
      </c>
      <c r="M139" s="167">
        <f>L139*$O$5</f>
        <v>10.359270659663112</v>
      </c>
      <c r="N139" s="208">
        <f t="shared" ref="N139:N170" si="70">ROUND((C139*L139*12)/2000,2)</f>
        <v>0</v>
      </c>
      <c r="O139" s="173">
        <f>$O$5*N139</f>
        <v>0</v>
      </c>
      <c r="P139" s="174"/>
      <c r="Q139" s="177">
        <f t="shared" ref="Q139:Q189" si="71">M139*$R$12</f>
        <v>7.4690341456171053E-2</v>
      </c>
      <c r="R139" s="178"/>
      <c r="S139" s="178">
        <f>Q139*$U$11</f>
        <v>1.439656331567697E-3</v>
      </c>
      <c r="T139" s="178">
        <f>+Q139+S139</f>
        <v>7.6129997787738754E-2</v>
      </c>
      <c r="V139" s="178">
        <f>I139+T139</f>
        <v>7.6129997787738754E-2</v>
      </c>
      <c r="W139" s="181">
        <f>C139*V139</f>
        <v>0</v>
      </c>
      <c r="X139" s="181">
        <f>W139-J139</f>
        <v>0</v>
      </c>
      <c r="Y139" s="182">
        <f t="shared" ref="Y139:Y188" si="72">X139*12</f>
        <v>0</v>
      </c>
      <c r="Z139" s="174"/>
      <c r="AA139" s="181">
        <f>O139*$R$11</f>
        <v>0</v>
      </c>
      <c r="AB139" s="210" t="str">
        <f t="shared" ref="AB139:AB188" si="73">IF(I139=0,"",V139/I139-1)</f>
        <v/>
      </c>
    </row>
    <row r="140" spans="1:28" ht="12">
      <c r="A140" s="41" t="s">
        <v>60</v>
      </c>
      <c r="B140" s="193">
        <v>184</v>
      </c>
      <c r="C140" s="195">
        <f>B140*4.3333</f>
        <v>797.32720000000006</v>
      </c>
      <c r="D140" s="196">
        <v>0.158</v>
      </c>
      <c r="E140" s="156">
        <f>C140*D140</f>
        <v>125.97769760000001</v>
      </c>
      <c r="F140" s="202">
        <f>B140</f>
        <v>184</v>
      </c>
      <c r="G140" s="162">
        <v>52</v>
      </c>
      <c r="I140" s="203">
        <v>3.78</v>
      </c>
      <c r="J140" s="150">
        <f t="shared" si="67"/>
        <v>3013.8968159999999</v>
      </c>
      <c r="K140" s="150">
        <f t="shared" si="68"/>
        <v>36166.761791999998</v>
      </c>
      <c r="L140" s="205">
        <f t="shared" si="69"/>
        <v>22.91</v>
      </c>
      <c r="M140" s="167">
        <f t="shared" ref="M140:M203" si="74">L140*$O$5</f>
        <v>16.367647642267716</v>
      </c>
      <c r="N140" s="208">
        <f t="shared" si="70"/>
        <v>109.6</v>
      </c>
      <c r="O140" s="173">
        <f t="shared" ref="O140:O198" si="75">$O$5*N140</f>
        <v>78.301797537867387</v>
      </c>
      <c r="P140" s="174"/>
      <c r="Q140" s="177">
        <f>M140*$R$12</f>
        <v>0.11801073950075025</v>
      </c>
      <c r="R140" s="178"/>
      <c r="S140" s="178">
        <f>Q140*$U$11</f>
        <v>2.2746570038769611E-3</v>
      </c>
      <c r="T140" s="178">
        <f>+Q140+S140</f>
        <v>0.12028539650462722</v>
      </c>
      <c r="V140" s="178">
        <f>I140+T140</f>
        <v>3.9002853965046271</v>
      </c>
      <c r="W140" s="181">
        <f>C140*V140</f>
        <v>3109.8036343959243</v>
      </c>
      <c r="X140" s="181">
        <f>W140-J140</f>
        <v>95.906818395924347</v>
      </c>
      <c r="Y140" s="182">
        <f t="shared" si="72"/>
        <v>1150.8818207510922</v>
      </c>
      <c r="Z140" s="174"/>
      <c r="AA140" s="181">
        <f>O140*$R$11</f>
        <v>1129.1119204960478</v>
      </c>
      <c r="AB140" s="210">
        <f>IF(I140=0,"",V140/I140-1)</f>
        <v>3.1821533466832586E-2</v>
      </c>
    </row>
    <row r="141" spans="1:28" ht="12">
      <c r="A141" s="41" t="s">
        <v>61</v>
      </c>
      <c r="B141" s="193"/>
      <c r="C141" s="195">
        <f>B141*4.3333</f>
        <v>0</v>
      </c>
      <c r="D141" s="196">
        <v>0.316</v>
      </c>
      <c r="E141" s="156">
        <f t="shared" si="66"/>
        <v>0</v>
      </c>
      <c r="F141" s="202">
        <f t="shared" ref="F141:F197" si="76">B141</f>
        <v>0</v>
      </c>
      <c r="G141" s="162">
        <v>52</v>
      </c>
      <c r="I141" s="203">
        <v>7.37</v>
      </c>
      <c r="J141" s="150">
        <f t="shared" si="67"/>
        <v>0</v>
      </c>
      <c r="K141" s="150">
        <f t="shared" si="68"/>
        <v>0</v>
      </c>
      <c r="L141" s="205">
        <f t="shared" si="69"/>
        <v>45.82</v>
      </c>
      <c r="M141" s="167">
        <f t="shared" si="74"/>
        <v>32.735295284535432</v>
      </c>
      <c r="N141" s="208">
        <f t="shared" si="70"/>
        <v>0</v>
      </c>
      <c r="O141" s="173">
        <f t="shared" si="75"/>
        <v>0</v>
      </c>
      <c r="P141" s="174"/>
      <c r="Q141" s="177">
        <f t="shared" si="71"/>
        <v>0.2360214790015005</v>
      </c>
      <c r="R141" s="178"/>
      <c r="S141" s="178">
        <f t="shared" ref="S141:S189" si="77">Q141*$U$11</f>
        <v>4.5493140077539221E-3</v>
      </c>
      <c r="T141" s="178">
        <f t="shared" ref="T141:T189" si="78">+Q141+S141</f>
        <v>0.24057079300925444</v>
      </c>
      <c r="V141" s="178">
        <f t="shared" ref="V141:V189" si="79">I141+T141</f>
        <v>7.6105707930092548</v>
      </c>
      <c r="W141" s="181">
        <f t="shared" ref="W141:W188" si="80">C141*V141</f>
        <v>0</v>
      </c>
      <c r="X141" s="181">
        <f t="shared" ref="X141:X188" si="81">W141-J141</f>
        <v>0</v>
      </c>
      <c r="Y141" s="182">
        <f t="shared" si="72"/>
        <v>0</v>
      </c>
      <c r="Z141" s="174"/>
      <c r="AA141" s="181">
        <f t="shared" ref="AA141:AA188" si="82">O141*$R$11</f>
        <v>0</v>
      </c>
      <c r="AB141" s="210">
        <f t="shared" si="73"/>
        <v>3.26418986444037E-2</v>
      </c>
    </row>
    <row r="142" spans="1:28" ht="12">
      <c r="A142" s="41" t="s">
        <v>62</v>
      </c>
      <c r="B142" s="193">
        <v>24</v>
      </c>
      <c r="C142" s="195">
        <f>B142*4.3333</f>
        <v>103.9992</v>
      </c>
      <c r="D142" s="196">
        <v>0.47399999999999998</v>
      </c>
      <c r="E142" s="156">
        <f t="shared" si="66"/>
        <v>49.295620800000002</v>
      </c>
      <c r="F142" s="202">
        <f t="shared" si="76"/>
        <v>24</v>
      </c>
      <c r="G142" s="162">
        <v>52</v>
      </c>
      <c r="I142" s="203">
        <v>9.4600000000000009</v>
      </c>
      <c r="J142" s="150">
        <f t="shared" si="67"/>
        <v>983.83243200000015</v>
      </c>
      <c r="K142" s="150">
        <f t="shared" si="68"/>
        <v>11805.989184000002</v>
      </c>
      <c r="L142" s="205">
        <f t="shared" si="69"/>
        <v>68.72999999999999</v>
      </c>
      <c r="M142" s="167">
        <f t="shared" si="74"/>
        <v>49.102942926803145</v>
      </c>
      <c r="N142" s="208">
        <f t="shared" si="70"/>
        <v>42.89</v>
      </c>
      <c r="O142" s="173">
        <f t="shared" si="75"/>
        <v>30.642008178824199</v>
      </c>
      <c r="P142" s="174"/>
      <c r="Q142" s="177">
        <f t="shared" si="71"/>
        <v>0.35403221850225075</v>
      </c>
      <c r="R142" s="178"/>
      <c r="S142" s="178">
        <f t="shared" si="77"/>
        <v>6.8239710116308836E-3</v>
      </c>
      <c r="T142" s="178">
        <f t="shared" si="78"/>
        <v>0.36085618951388165</v>
      </c>
      <c r="V142" s="178">
        <f t="shared" si="79"/>
        <v>9.8208561895138828</v>
      </c>
      <c r="W142" s="181">
        <f t="shared" si="80"/>
        <v>1021.3611870244922</v>
      </c>
      <c r="X142" s="181">
        <f t="shared" si="81"/>
        <v>37.528755024492057</v>
      </c>
      <c r="Y142" s="182">
        <f t="shared" si="72"/>
        <v>450.34506029390468</v>
      </c>
      <c r="Z142" s="174"/>
      <c r="AA142" s="181">
        <f t="shared" si="82"/>
        <v>441.85775793864502</v>
      </c>
      <c r="AB142" s="210">
        <f t="shared" si="73"/>
        <v>3.8145474578634486E-2</v>
      </c>
    </row>
    <row r="143" spans="1:28" ht="12">
      <c r="A143" s="41" t="s">
        <v>179</v>
      </c>
      <c r="B143" s="193"/>
      <c r="C143" s="195">
        <f>+B143</f>
        <v>0</v>
      </c>
      <c r="D143" s="196">
        <f>1*5</f>
        <v>5</v>
      </c>
      <c r="E143" s="156">
        <f>C143*D143</f>
        <v>0</v>
      </c>
      <c r="F143" s="202">
        <f>B143</f>
        <v>0</v>
      </c>
      <c r="G143" s="162">
        <v>52</v>
      </c>
      <c r="I143" s="203">
        <v>0</v>
      </c>
      <c r="J143" s="150">
        <f t="shared" si="67"/>
        <v>0</v>
      </c>
      <c r="K143" s="150">
        <f t="shared" si="68"/>
        <v>0</v>
      </c>
      <c r="L143" s="205">
        <f t="shared" si="69"/>
        <v>725</v>
      </c>
      <c r="M143" s="167">
        <f t="shared" si="74"/>
        <v>517.96353298315557</v>
      </c>
      <c r="N143" s="208">
        <f t="shared" si="70"/>
        <v>0</v>
      </c>
      <c r="O143" s="173">
        <f t="shared" si="75"/>
        <v>0</v>
      </c>
      <c r="P143" s="174"/>
      <c r="Q143" s="177">
        <f>M143*$R$12</f>
        <v>3.7345170728085524</v>
      </c>
      <c r="R143" s="179"/>
      <c r="S143" s="178">
        <f>Q143*$U$11</f>
        <v>7.1982816578384845E-2</v>
      </c>
      <c r="T143" s="178">
        <f>+Q143+S143</f>
        <v>3.8064998893869371</v>
      </c>
      <c r="V143" s="178">
        <f>I143+T143</f>
        <v>3.8064998893869371</v>
      </c>
      <c r="W143" s="181">
        <f>C143*V143</f>
        <v>0</v>
      </c>
      <c r="X143" s="181">
        <f>W143-J143</f>
        <v>0</v>
      </c>
      <c r="Y143" s="182">
        <f t="shared" si="72"/>
        <v>0</v>
      </c>
      <c r="Z143" s="174"/>
      <c r="AA143" s="181">
        <f>O143*$R$11</f>
        <v>0</v>
      </c>
      <c r="AB143" s="210" t="str">
        <f>IF(I143=0,"",V143/I143-1)</f>
        <v/>
      </c>
    </row>
    <row r="144" spans="1:28" ht="12">
      <c r="A144" s="41" t="s">
        <v>63</v>
      </c>
      <c r="B144" s="193"/>
      <c r="C144" s="195">
        <f>+B144</f>
        <v>0</v>
      </c>
      <c r="D144" s="196">
        <v>1</v>
      </c>
      <c r="E144" s="156">
        <f t="shared" si="66"/>
        <v>0</v>
      </c>
      <c r="F144" s="202">
        <f t="shared" si="76"/>
        <v>0</v>
      </c>
      <c r="G144" s="196">
        <v>52</v>
      </c>
      <c r="H144" s="14"/>
      <c r="I144" s="233">
        <v>19.62</v>
      </c>
      <c r="J144" s="150">
        <f t="shared" si="67"/>
        <v>0</v>
      </c>
      <c r="K144" s="150">
        <f t="shared" si="68"/>
        <v>0</v>
      </c>
      <c r="L144" s="205">
        <f t="shared" si="69"/>
        <v>145</v>
      </c>
      <c r="M144" s="167">
        <f t="shared" si="74"/>
        <v>103.59270659663112</v>
      </c>
      <c r="N144" s="208">
        <f t="shared" si="70"/>
        <v>0</v>
      </c>
      <c r="O144" s="173">
        <f t="shared" si="75"/>
        <v>0</v>
      </c>
      <c r="P144" s="174"/>
      <c r="Q144" s="177">
        <f t="shared" si="71"/>
        <v>0.7469034145617105</v>
      </c>
      <c r="R144" s="179"/>
      <c r="S144" s="178">
        <f t="shared" si="77"/>
        <v>1.439656331567697E-2</v>
      </c>
      <c r="T144" s="178">
        <f t="shared" si="78"/>
        <v>0.76129997787738746</v>
      </c>
      <c r="V144" s="178">
        <f t="shared" si="79"/>
        <v>20.38129997787739</v>
      </c>
      <c r="W144" s="181">
        <f t="shared" si="80"/>
        <v>0</v>
      </c>
      <c r="X144" s="181">
        <f t="shared" si="81"/>
        <v>0</v>
      </c>
      <c r="Y144" s="182">
        <f t="shared" si="72"/>
        <v>0</v>
      </c>
      <c r="Z144" s="174"/>
      <c r="AA144" s="181">
        <f t="shared" si="82"/>
        <v>0</v>
      </c>
      <c r="AB144" s="210">
        <f t="shared" si="73"/>
        <v>3.8802241482027933E-2</v>
      </c>
    </row>
    <row r="145" spans="1:28" ht="12">
      <c r="A145" s="41" t="s">
        <v>64</v>
      </c>
      <c r="B145" s="193">
        <v>4</v>
      </c>
      <c r="C145" s="195">
        <f>+B145*4.3333</f>
        <v>17.333200000000001</v>
      </c>
      <c r="D145" s="196">
        <v>1</v>
      </c>
      <c r="E145" s="156">
        <f t="shared" si="66"/>
        <v>17.333200000000001</v>
      </c>
      <c r="F145" s="202">
        <f t="shared" si="76"/>
        <v>4</v>
      </c>
      <c r="G145" s="162">
        <v>52</v>
      </c>
      <c r="I145" s="203">
        <v>19.62</v>
      </c>
      <c r="J145" s="150">
        <f t="shared" si="67"/>
        <v>340.07738400000005</v>
      </c>
      <c r="K145" s="150">
        <f t="shared" si="68"/>
        <v>4080.9286080000006</v>
      </c>
      <c r="L145" s="205">
        <f t="shared" si="69"/>
        <v>145</v>
      </c>
      <c r="M145" s="167">
        <f t="shared" si="74"/>
        <v>103.59270659663112</v>
      </c>
      <c r="N145" s="208">
        <f t="shared" si="70"/>
        <v>15.08</v>
      </c>
      <c r="O145" s="173">
        <f t="shared" si="75"/>
        <v>10.773641486049637</v>
      </c>
      <c r="P145" s="174"/>
      <c r="Q145" s="177">
        <f t="shared" ref="Q145:Q151" si="83">M145*$R$12</f>
        <v>0.7469034145617105</v>
      </c>
      <c r="R145" s="178"/>
      <c r="S145" s="178">
        <f t="shared" si="77"/>
        <v>1.439656331567697E-2</v>
      </c>
      <c r="T145" s="178">
        <f t="shared" si="78"/>
        <v>0.76129997787738746</v>
      </c>
      <c r="V145" s="178">
        <f t="shared" si="79"/>
        <v>20.38129997787739</v>
      </c>
      <c r="W145" s="181">
        <f t="shared" si="80"/>
        <v>353.27314877654442</v>
      </c>
      <c r="X145" s="181">
        <f t="shared" si="81"/>
        <v>13.195764776544365</v>
      </c>
      <c r="Y145" s="182">
        <f t="shared" si="72"/>
        <v>158.34917731853238</v>
      </c>
      <c r="Z145" s="174"/>
      <c r="AA145" s="181">
        <f t="shared" si="82"/>
        <v>155.3559102288358</v>
      </c>
      <c r="AB145" s="210">
        <f t="shared" si="73"/>
        <v>3.8802241482027933E-2</v>
      </c>
    </row>
    <row r="146" spans="1:28" ht="12">
      <c r="A146" s="41" t="s">
        <v>168</v>
      </c>
      <c r="B146" s="193"/>
      <c r="C146" s="195">
        <f>+B146*4.3333*2</f>
        <v>0</v>
      </c>
      <c r="D146" s="196">
        <v>1</v>
      </c>
      <c r="E146" s="156">
        <f>C146*D146</f>
        <v>0</v>
      </c>
      <c r="F146" s="202">
        <f>B146</f>
        <v>0</v>
      </c>
      <c r="G146" s="162">
        <v>52</v>
      </c>
      <c r="I146" s="203">
        <f>19.62+19.62</f>
        <v>39.24</v>
      </c>
      <c r="J146" s="150">
        <f t="shared" si="67"/>
        <v>0</v>
      </c>
      <c r="K146" s="150">
        <f t="shared" si="68"/>
        <v>0</v>
      </c>
      <c r="L146" s="205">
        <f t="shared" si="69"/>
        <v>145</v>
      </c>
      <c r="M146" s="167">
        <f t="shared" si="74"/>
        <v>103.59270659663112</v>
      </c>
      <c r="N146" s="208">
        <f t="shared" si="70"/>
        <v>0</v>
      </c>
      <c r="O146" s="173">
        <f t="shared" si="75"/>
        <v>0</v>
      </c>
      <c r="P146" s="174"/>
      <c r="Q146" s="177">
        <f t="shared" si="83"/>
        <v>0.7469034145617105</v>
      </c>
      <c r="R146" s="178"/>
      <c r="S146" s="178">
        <f>Q146*$U$11</f>
        <v>1.439656331567697E-2</v>
      </c>
      <c r="T146" s="178">
        <f>+Q146+S146</f>
        <v>0.76129997787738746</v>
      </c>
      <c r="V146" s="178">
        <f>I146+T146</f>
        <v>40.001299977877387</v>
      </c>
      <c r="W146" s="181">
        <f>C146*V146</f>
        <v>0</v>
      </c>
      <c r="X146" s="181">
        <f>W146-J146</f>
        <v>0</v>
      </c>
      <c r="Y146" s="182">
        <f t="shared" si="72"/>
        <v>0</v>
      </c>
      <c r="Z146" s="174"/>
      <c r="AA146" s="181">
        <f>O146*$R$11</f>
        <v>0</v>
      </c>
      <c r="AB146" s="210">
        <f>IF(I146=0,"",V146/I146-1)</f>
        <v>1.9401120741013855E-2</v>
      </c>
    </row>
    <row r="147" spans="1:28" ht="12">
      <c r="A147" s="41" t="s">
        <v>193</v>
      </c>
      <c r="B147" s="193"/>
      <c r="C147" s="195">
        <f>B147*1</f>
        <v>0</v>
      </c>
      <c r="D147" s="196">
        <v>1.25</v>
      </c>
      <c r="E147" s="156">
        <f t="shared" si="66"/>
        <v>0</v>
      </c>
      <c r="F147" s="201">
        <f t="shared" si="76"/>
        <v>0</v>
      </c>
      <c r="G147" s="162">
        <v>52</v>
      </c>
      <c r="I147" s="203">
        <v>23.31</v>
      </c>
      <c r="J147" s="150">
        <f t="shared" si="67"/>
        <v>0</v>
      </c>
      <c r="K147" s="150">
        <f t="shared" si="68"/>
        <v>0</v>
      </c>
      <c r="L147" s="205">
        <f t="shared" si="69"/>
        <v>181.25</v>
      </c>
      <c r="M147" s="167">
        <f t="shared" si="74"/>
        <v>129.49088324578889</v>
      </c>
      <c r="N147" s="208">
        <f t="shared" si="70"/>
        <v>0</v>
      </c>
      <c r="O147" s="173">
        <f t="shared" si="75"/>
        <v>0</v>
      </c>
      <c r="P147" s="174"/>
      <c r="Q147" s="177">
        <f t="shared" si="83"/>
        <v>0.9336292682021381</v>
      </c>
      <c r="R147" s="179"/>
      <c r="S147" s="178">
        <f t="shared" si="77"/>
        <v>1.7995704144596211E-2</v>
      </c>
      <c r="T147" s="178">
        <f t="shared" si="78"/>
        <v>0.95162497234673427</v>
      </c>
      <c r="V147" s="178">
        <f t="shared" si="79"/>
        <v>24.261624972346734</v>
      </c>
      <c r="W147" s="181">
        <f t="shared" si="80"/>
        <v>0</v>
      </c>
      <c r="X147" s="181">
        <f t="shared" si="81"/>
        <v>0</v>
      </c>
      <c r="Y147" s="182">
        <f t="shared" si="72"/>
        <v>0</v>
      </c>
      <c r="Z147" s="174"/>
      <c r="AA147" s="181">
        <f t="shared" si="82"/>
        <v>0</v>
      </c>
      <c r="AB147" s="210">
        <f t="shared" si="73"/>
        <v>4.0824752138427067E-2</v>
      </c>
    </row>
    <row r="148" spans="1:28" ht="12">
      <c r="A148" s="41" t="s">
        <v>194</v>
      </c>
      <c r="B148" s="193">
        <v>4</v>
      </c>
      <c r="C148" s="195">
        <f>B148*4.3333</f>
        <v>17.333200000000001</v>
      </c>
      <c r="D148" s="196">
        <v>1.25</v>
      </c>
      <c r="E148" s="156">
        <f t="shared" si="66"/>
        <v>21.666500000000003</v>
      </c>
      <c r="F148" s="201">
        <f t="shared" si="76"/>
        <v>4</v>
      </c>
      <c r="G148" s="162">
        <v>52</v>
      </c>
      <c r="I148" s="203">
        <v>23.31</v>
      </c>
      <c r="J148" s="150">
        <f t="shared" si="67"/>
        <v>404.03689200000002</v>
      </c>
      <c r="K148" s="150">
        <f t="shared" si="68"/>
        <v>4848.442704</v>
      </c>
      <c r="L148" s="205">
        <f t="shared" si="69"/>
        <v>181.25</v>
      </c>
      <c r="M148" s="167">
        <f t="shared" si="74"/>
        <v>129.49088324578889</v>
      </c>
      <c r="N148" s="208">
        <f t="shared" si="70"/>
        <v>18.850000000000001</v>
      </c>
      <c r="O148" s="173">
        <f t="shared" si="75"/>
        <v>13.467051857562048</v>
      </c>
      <c r="P148" s="174"/>
      <c r="Q148" s="177">
        <f t="shared" si="83"/>
        <v>0.9336292682021381</v>
      </c>
      <c r="R148" s="178"/>
      <c r="S148" s="178">
        <f t="shared" si="77"/>
        <v>1.7995704144596211E-2</v>
      </c>
      <c r="T148" s="178">
        <f t="shared" si="78"/>
        <v>0.95162497234673427</v>
      </c>
      <c r="V148" s="178">
        <f t="shared" si="79"/>
        <v>24.261624972346734</v>
      </c>
      <c r="W148" s="181">
        <f t="shared" si="80"/>
        <v>420.53159797068042</v>
      </c>
      <c r="X148" s="181">
        <f t="shared" si="81"/>
        <v>16.4947059706804</v>
      </c>
      <c r="Y148" s="182">
        <f t="shared" si="72"/>
        <v>197.9364716481648</v>
      </c>
      <c r="Z148" s="174"/>
      <c r="AA148" s="181">
        <f t="shared" si="82"/>
        <v>194.19488778604475</v>
      </c>
      <c r="AB148" s="210">
        <f t="shared" si="73"/>
        <v>4.0824752138427067E-2</v>
      </c>
    </row>
    <row r="149" spans="1:28" ht="12">
      <c r="A149" s="41" t="s">
        <v>195</v>
      </c>
      <c r="B149" s="193">
        <v>1</v>
      </c>
      <c r="C149" s="195">
        <f>B149*4.3333*2</f>
        <v>8.6666000000000007</v>
      </c>
      <c r="D149" s="196">
        <v>1.25</v>
      </c>
      <c r="E149" s="156">
        <f t="shared" si="66"/>
        <v>10.833250000000001</v>
      </c>
      <c r="F149" s="201">
        <f t="shared" si="76"/>
        <v>1</v>
      </c>
      <c r="G149" s="162">
        <v>52</v>
      </c>
      <c r="I149" s="203">
        <v>23.31</v>
      </c>
      <c r="J149" s="150">
        <f t="shared" si="67"/>
        <v>202.01844600000001</v>
      </c>
      <c r="K149" s="150">
        <f t="shared" si="68"/>
        <v>2424.221352</v>
      </c>
      <c r="L149" s="205">
        <f t="shared" si="69"/>
        <v>181.25</v>
      </c>
      <c r="M149" s="167">
        <f t="shared" si="74"/>
        <v>129.49088324578889</v>
      </c>
      <c r="N149" s="208">
        <f t="shared" si="70"/>
        <v>9.42</v>
      </c>
      <c r="O149" s="173">
        <f t="shared" si="75"/>
        <v>6.729953766484587</v>
      </c>
      <c r="P149" s="174"/>
      <c r="Q149" s="177">
        <f t="shared" si="83"/>
        <v>0.9336292682021381</v>
      </c>
      <c r="R149" s="178"/>
      <c r="S149" s="178">
        <f t="shared" si="77"/>
        <v>1.7995704144596211E-2</v>
      </c>
      <c r="T149" s="178">
        <f t="shared" si="78"/>
        <v>0.95162497234673427</v>
      </c>
      <c r="V149" s="178">
        <f t="shared" si="79"/>
        <v>24.261624972346734</v>
      </c>
      <c r="W149" s="181">
        <f t="shared" si="80"/>
        <v>210.26579898534021</v>
      </c>
      <c r="X149" s="181">
        <f t="shared" si="81"/>
        <v>8.2473529853401999</v>
      </c>
      <c r="Y149" s="182">
        <f t="shared" si="72"/>
        <v>98.968235824082399</v>
      </c>
      <c r="Z149" s="174"/>
      <c r="AA149" s="181">
        <f t="shared" si="82"/>
        <v>97.04593331270776</v>
      </c>
      <c r="AB149" s="210">
        <f t="shared" si="73"/>
        <v>4.0824752138427067E-2</v>
      </c>
    </row>
    <row r="150" spans="1:28" ht="12">
      <c r="A150" s="41" t="s">
        <v>196</v>
      </c>
      <c r="B150" s="193"/>
      <c r="C150" s="195">
        <f>B150*4.3333*3</f>
        <v>0</v>
      </c>
      <c r="D150" s="196">
        <v>1.25</v>
      </c>
      <c r="E150" s="156">
        <f t="shared" si="66"/>
        <v>0</v>
      </c>
      <c r="F150" s="201">
        <f t="shared" si="76"/>
        <v>0</v>
      </c>
      <c r="G150" s="162">
        <v>52</v>
      </c>
      <c r="I150" s="203">
        <v>23.31</v>
      </c>
      <c r="J150" s="150">
        <f t="shared" si="67"/>
        <v>0</v>
      </c>
      <c r="K150" s="150">
        <f t="shared" si="68"/>
        <v>0</v>
      </c>
      <c r="L150" s="205">
        <f t="shared" si="69"/>
        <v>181.25</v>
      </c>
      <c r="M150" s="167">
        <f t="shared" si="74"/>
        <v>129.49088324578889</v>
      </c>
      <c r="N150" s="208">
        <f t="shared" si="70"/>
        <v>0</v>
      </c>
      <c r="O150" s="173">
        <f t="shared" si="75"/>
        <v>0</v>
      </c>
      <c r="P150" s="174"/>
      <c r="Q150" s="177">
        <f t="shared" si="83"/>
        <v>0.9336292682021381</v>
      </c>
      <c r="R150" s="178"/>
      <c r="S150" s="178">
        <f t="shared" si="77"/>
        <v>1.7995704144596211E-2</v>
      </c>
      <c r="T150" s="178">
        <f t="shared" si="78"/>
        <v>0.95162497234673427</v>
      </c>
      <c r="V150" s="178">
        <f t="shared" si="79"/>
        <v>24.261624972346734</v>
      </c>
      <c r="W150" s="181">
        <f t="shared" si="80"/>
        <v>0</v>
      </c>
      <c r="X150" s="181">
        <f t="shared" si="81"/>
        <v>0</v>
      </c>
      <c r="Y150" s="182">
        <f t="shared" si="72"/>
        <v>0</v>
      </c>
      <c r="Z150" s="174"/>
      <c r="AA150" s="181">
        <f t="shared" si="82"/>
        <v>0</v>
      </c>
      <c r="AB150" s="210">
        <f t="shared" si="73"/>
        <v>4.0824752138427067E-2</v>
      </c>
    </row>
    <row r="151" spans="1:28" ht="12">
      <c r="A151" s="41" t="s">
        <v>180</v>
      </c>
      <c r="B151" s="193"/>
      <c r="C151" s="195">
        <f>+B151</f>
        <v>0</v>
      </c>
      <c r="D151" s="196">
        <f>2*5</f>
        <v>10</v>
      </c>
      <c r="E151" s="156">
        <f t="shared" si="66"/>
        <v>0</v>
      </c>
      <c r="F151" s="202">
        <f t="shared" si="76"/>
        <v>0</v>
      </c>
      <c r="G151" s="162">
        <v>52</v>
      </c>
      <c r="I151" s="203">
        <v>0</v>
      </c>
      <c r="J151" s="150">
        <f t="shared" si="67"/>
        <v>0</v>
      </c>
      <c r="K151" s="150">
        <f t="shared" si="68"/>
        <v>0</v>
      </c>
      <c r="L151" s="205">
        <f t="shared" si="69"/>
        <v>1450</v>
      </c>
      <c r="M151" s="167">
        <f t="shared" si="74"/>
        <v>1035.9270659663111</v>
      </c>
      <c r="N151" s="208">
        <f t="shared" si="70"/>
        <v>0</v>
      </c>
      <c r="O151" s="173">
        <f t="shared" si="75"/>
        <v>0</v>
      </c>
      <c r="P151" s="174"/>
      <c r="Q151" s="177">
        <f t="shared" si="83"/>
        <v>7.4690341456171048</v>
      </c>
      <c r="R151" s="179"/>
      <c r="S151" s="178">
        <f t="shared" si="77"/>
        <v>0.14396563315676969</v>
      </c>
      <c r="T151" s="178">
        <f t="shared" si="78"/>
        <v>7.6129997787738741</v>
      </c>
      <c r="V151" s="178">
        <f t="shared" si="79"/>
        <v>7.6129997787738741</v>
      </c>
      <c r="W151" s="181">
        <f t="shared" si="80"/>
        <v>0</v>
      </c>
      <c r="X151" s="181">
        <f t="shared" si="81"/>
        <v>0</v>
      </c>
      <c r="Y151" s="182">
        <f t="shared" si="72"/>
        <v>0</v>
      </c>
      <c r="Z151" s="174"/>
      <c r="AA151" s="181">
        <f t="shared" si="82"/>
        <v>0</v>
      </c>
      <c r="AB151" s="210" t="str">
        <f t="shared" si="73"/>
        <v/>
      </c>
    </row>
    <row r="152" spans="1:28" ht="12">
      <c r="A152" s="41" t="s">
        <v>65</v>
      </c>
      <c r="B152" s="193"/>
      <c r="C152" s="195">
        <f>B152*1</f>
        <v>0</v>
      </c>
      <c r="D152" s="196">
        <v>2</v>
      </c>
      <c r="E152" s="156">
        <f t="shared" si="66"/>
        <v>0</v>
      </c>
      <c r="F152" s="202">
        <f t="shared" si="76"/>
        <v>0</v>
      </c>
      <c r="G152" s="162">
        <v>52</v>
      </c>
      <c r="I152" s="203">
        <v>36.18</v>
      </c>
      <c r="J152" s="150">
        <f t="shared" si="67"/>
        <v>0</v>
      </c>
      <c r="K152" s="150">
        <f t="shared" si="68"/>
        <v>0</v>
      </c>
      <c r="L152" s="205">
        <f t="shared" si="69"/>
        <v>290</v>
      </c>
      <c r="M152" s="167">
        <f t="shared" si="74"/>
        <v>207.18541319326224</v>
      </c>
      <c r="N152" s="208">
        <f t="shared" si="70"/>
        <v>0</v>
      </c>
      <c r="O152" s="173">
        <f t="shared" si="75"/>
        <v>0</v>
      </c>
      <c r="P152" s="174"/>
      <c r="Q152" s="177">
        <f t="shared" si="71"/>
        <v>1.493806829123421</v>
      </c>
      <c r="R152" s="179"/>
      <c r="S152" s="178">
        <f t="shared" si="77"/>
        <v>2.879312663135394E-2</v>
      </c>
      <c r="T152" s="178">
        <f t="shared" si="78"/>
        <v>1.5225999557547749</v>
      </c>
      <c r="V152" s="178">
        <f t="shared" si="79"/>
        <v>37.702599955754778</v>
      </c>
      <c r="W152" s="181">
        <f t="shared" si="80"/>
        <v>0</v>
      </c>
      <c r="X152" s="181">
        <f t="shared" si="81"/>
        <v>0</v>
      </c>
      <c r="Y152" s="182">
        <f t="shared" si="72"/>
        <v>0</v>
      </c>
      <c r="Z152" s="174"/>
      <c r="AA152" s="181">
        <f t="shared" si="82"/>
        <v>0</v>
      </c>
      <c r="AB152" s="210">
        <f t="shared" si="73"/>
        <v>4.2084023099910883E-2</v>
      </c>
    </row>
    <row r="153" spans="1:28" ht="12">
      <c r="A153" s="41" t="s">
        <v>66</v>
      </c>
      <c r="B153" s="193">
        <v>14</v>
      </c>
      <c r="C153" s="195">
        <f>B153*4.3333</f>
        <v>60.666200000000003</v>
      </c>
      <c r="D153" s="196">
        <v>2</v>
      </c>
      <c r="E153" s="156">
        <f t="shared" si="66"/>
        <v>121.33240000000001</v>
      </c>
      <c r="F153" s="202">
        <f t="shared" si="76"/>
        <v>14</v>
      </c>
      <c r="G153" s="162">
        <v>52</v>
      </c>
      <c r="I153" s="203">
        <v>36.18</v>
      </c>
      <c r="J153" s="150">
        <f t="shared" si="67"/>
        <v>2194.903116</v>
      </c>
      <c r="K153" s="150">
        <f t="shared" si="68"/>
        <v>26338.837392000001</v>
      </c>
      <c r="L153" s="205">
        <f t="shared" si="69"/>
        <v>290</v>
      </c>
      <c r="M153" s="167">
        <f t="shared" si="74"/>
        <v>207.18541319326224</v>
      </c>
      <c r="N153" s="208">
        <f t="shared" si="70"/>
        <v>105.56</v>
      </c>
      <c r="O153" s="173">
        <f t="shared" si="75"/>
        <v>75.415490402347459</v>
      </c>
      <c r="P153" s="174"/>
      <c r="Q153" s="177">
        <f t="shared" si="71"/>
        <v>1.493806829123421</v>
      </c>
      <c r="R153" s="178"/>
      <c r="S153" s="178">
        <f t="shared" si="77"/>
        <v>2.879312663135394E-2</v>
      </c>
      <c r="T153" s="178">
        <f t="shared" si="78"/>
        <v>1.5225999557547749</v>
      </c>
      <c r="V153" s="178">
        <f t="shared" si="79"/>
        <v>37.702599955754778</v>
      </c>
      <c r="W153" s="181">
        <f t="shared" si="80"/>
        <v>2287.2734694358105</v>
      </c>
      <c r="X153" s="181">
        <f t="shared" si="81"/>
        <v>92.370353435810557</v>
      </c>
      <c r="Y153" s="182">
        <f t="shared" si="72"/>
        <v>1108.4442412297267</v>
      </c>
      <c r="Z153" s="174"/>
      <c r="AA153" s="181">
        <f t="shared" si="82"/>
        <v>1087.4913716018505</v>
      </c>
      <c r="AB153" s="210">
        <f t="shared" si="73"/>
        <v>4.2084023099910883E-2</v>
      </c>
    </row>
    <row r="154" spans="1:28" ht="12">
      <c r="A154" s="41" t="s">
        <v>67</v>
      </c>
      <c r="B154" s="193">
        <v>1</v>
      </c>
      <c r="C154" s="195">
        <f>B154*4.3333*2</f>
        <v>8.6666000000000007</v>
      </c>
      <c r="D154" s="196">
        <v>2</v>
      </c>
      <c r="E154" s="156">
        <f t="shared" si="66"/>
        <v>17.333200000000001</v>
      </c>
      <c r="F154" s="202">
        <f t="shared" si="76"/>
        <v>1</v>
      </c>
      <c r="G154" s="162">
        <v>52</v>
      </c>
      <c r="I154" s="203">
        <v>36.18</v>
      </c>
      <c r="J154" s="150">
        <f t="shared" si="67"/>
        <v>313.55758800000001</v>
      </c>
      <c r="K154" s="150">
        <f t="shared" si="68"/>
        <v>3762.6910560000001</v>
      </c>
      <c r="L154" s="205">
        <f t="shared" si="69"/>
        <v>290</v>
      </c>
      <c r="M154" s="167">
        <f t="shared" si="74"/>
        <v>207.18541319326224</v>
      </c>
      <c r="N154" s="208">
        <f t="shared" si="70"/>
        <v>15.08</v>
      </c>
      <c r="O154" s="173">
        <f t="shared" si="75"/>
        <v>10.773641486049637</v>
      </c>
      <c r="P154" s="174"/>
      <c r="Q154" s="177">
        <f t="shared" si="71"/>
        <v>1.493806829123421</v>
      </c>
      <c r="R154" s="178"/>
      <c r="S154" s="178">
        <f t="shared" si="77"/>
        <v>2.879312663135394E-2</v>
      </c>
      <c r="T154" s="178">
        <f t="shared" si="78"/>
        <v>1.5225999557547749</v>
      </c>
      <c r="V154" s="178">
        <f t="shared" si="79"/>
        <v>37.702599955754778</v>
      </c>
      <c r="W154" s="181">
        <f t="shared" si="80"/>
        <v>326.75335277654438</v>
      </c>
      <c r="X154" s="181">
        <f t="shared" si="81"/>
        <v>13.195764776544365</v>
      </c>
      <c r="Y154" s="182">
        <f t="shared" si="72"/>
        <v>158.34917731853238</v>
      </c>
      <c r="Z154" s="174"/>
      <c r="AA154" s="181">
        <f t="shared" si="82"/>
        <v>155.3559102288358</v>
      </c>
      <c r="AB154" s="210">
        <f t="shared" si="73"/>
        <v>4.2084023099910883E-2</v>
      </c>
    </row>
    <row r="155" spans="1:28" ht="12">
      <c r="A155" s="41" t="s">
        <v>68</v>
      </c>
      <c r="B155" s="193"/>
      <c r="C155" s="195">
        <f>B155*4.3333*3</f>
        <v>0</v>
      </c>
      <c r="D155" s="196">
        <v>2</v>
      </c>
      <c r="E155" s="156">
        <f t="shared" si="66"/>
        <v>0</v>
      </c>
      <c r="F155" s="202">
        <f t="shared" si="76"/>
        <v>0</v>
      </c>
      <c r="G155" s="162">
        <v>52</v>
      </c>
      <c r="I155" s="203">
        <v>36.18</v>
      </c>
      <c r="J155" s="150">
        <f t="shared" si="67"/>
        <v>0</v>
      </c>
      <c r="K155" s="150">
        <f t="shared" si="68"/>
        <v>0</v>
      </c>
      <c r="L155" s="205">
        <f t="shared" si="69"/>
        <v>290</v>
      </c>
      <c r="M155" s="167">
        <f t="shared" si="74"/>
        <v>207.18541319326224</v>
      </c>
      <c r="N155" s="208">
        <f t="shared" si="70"/>
        <v>0</v>
      </c>
      <c r="O155" s="173">
        <f t="shared" si="75"/>
        <v>0</v>
      </c>
      <c r="P155" s="174"/>
      <c r="Q155" s="177">
        <f t="shared" si="71"/>
        <v>1.493806829123421</v>
      </c>
      <c r="R155" s="178"/>
      <c r="S155" s="178">
        <f t="shared" si="77"/>
        <v>2.879312663135394E-2</v>
      </c>
      <c r="T155" s="178">
        <f t="shared" si="78"/>
        <v>1.5225999557547749</v>
      </c>
      <c r="V155" s="178">
        <f t="shared" si="79"/>
        <v>37.702599955754778</v>
      </c>
      <c r="W155" s="181">
        <f t="shared" si="80"/>
        <v>0</v>
      </c>
      <c r="X155" s="181">
        <f t="shared" si="81"/>
        <v>0</v>
      </c>
      <c r="Y155" s="182">
        <f t="shared" si="72"/>
        <v>0</v>
      </c>
      <c r="Z155" s="174"/>
      <c r="AA155" s="181">
        <f t="shared" si="82"/>
        <v>0</v>
      </c>
      <c r="AB155" s="210">
        <f t="shared" si="73"/>
        <v>4.2084023099910883E-2</v>
      </c>
    </row>
    <row r="156" spans="1:28" ht="12">
      <c r="A156" s="41" t="s">
        <v>69</v>
      </c>
      <c r="B156" s="193"/>
      <c r="C156" s="195">
        <f>B156*4.3333*4</f>
        <v>0</v>
      </c>
      <c r="D156" s="196">
        <v>2</v>
      </c>
      <c r="E156" s="156">
        <f t="shared" si="66"/>
        <v>0</v>
      </c>
      <c r="F156" s="202">
        <f t="shared" si="76"/>
        <v>0</v>
      </c>
      <c r="G156" s="162">
        <v>52</v>
      </c>
      <c r="I156" s="203">
        <v>36.18</v>
      </c>
      <c r="J156" s="150">
        <f t="shared" si="67"/>
        <v>0</v>
      </c>
      <c r="K156" s="150">
        <f t="shared" si="68"/>
        <v>0</v>
      </c>
      <c r="L156" s="205">
        <f t="shared" si="69"/>
        <v>290</v>
      </c>
      <c r="M156" s="167">
        <f t="shared" si="74"/>
        <v>207.18541319326224</v>
      </c>
      <c r="N156" s="208">
        <f t="shared" si="70"/>
        <v>0</v>
      </c>
      <c r="O156" s="173">
        <f t="shared" si="75"/>
        <v>0</v>
      </c>
      <c r="P156" s="174"/>
      <c r="Q156" s="177">
        <f t="shared" si="71"/>
        <v>1.493806829123421</v>
      </c>
      <c r="R156" s="178"/>
      <c r="S156" s="178">
        <f t="shared" si="77"/>
        <v>2.879312663135394E-2</v>
      </c>
      <c r="T156" s="178">
        <f t="shared" si="78"/>
        <v>1.5225999557547749</v>
      </c>
      <c r="V156" s="178">
        <f t="shared" si="79"/>
        <v>37.702599955754778</v>
      </c>
      <c r="W156" s="181">
        <f t="shared" si="80"/>
        <v>0</v>
      </c>
      <c r="X156" s="181">
        <f t="shared" si="81"/>
        <v>0</v>
      </c>
      <c r="Y156" s="182">
        <f t="shared" si="72"/>
        <v>0</v>
      </c>
      <c r="Z156" s="174"/>
      <c r="AA156" s="181">
        <f t="shared" si="82"/>
        <v>0</v>
      </c>
      <c r="AB156" s="210">
        <f t="shared" si="73"/>
        <v>4.2084023099910883E-2</v>
      </c>
    </row>
    <row r="157" spans="1:28" ht="12">
      <c r="A157" s="41" t="s">
        <v>169</v>
      </c>
      <c r="B157" s="193"/>
      <c r="C157" s="195">
        <f>B157*4.3333*5</f>
        <v>0</v>
      </c>
      <c r="D157" s="196">
        <v>2</v>
      </c>
      <c r="E157" s="156">
        <f t="shared" si="66"/>
        <v>0</v>
      </c>
      <c r="F157" s="201">
        <f t="shared" si="76"/>
        <v>0</v>
      </c>
      <c r="G157" s="162">
        <v>52</v>
      </c>
      <c r="I157" s="203">
        <v>36.18</v>
      </c>
      <c r="J157" s="150">
        <f t="shared" si="67"/>
        <v>0</v>
      </c>
      <c r="K157" s="150">
        <f t="shared" si="68"/>
        <v>0</v>
      </c>
      <c r="L157" s="205">
        <f t="shared" si="69"/>
        <v>290</v>
      </c>
      <c r="M157" s="167">
        <f t="shared" si="74"/>
        <v>207.18541319326224</v>
      </c>
      <c r="N157" s="208">
        <f t="shared" si="70"/>
        <v>0</v>
      </c>
      <c r="O157" s="173">
        <f t="shared" si="75"/>
        <v>0</v>
      </c>
      <c r="P157" s="174"/>
      <c r="Q157" s="177">
        <f t="shared" si="71"/>
        <v>1.493806829123421</v>
      </c>
      <c r="R157" s="178"/>
      <c r="S157" s="178">
        <f t="shared" si="77"/>
        <v>2.879312663135394E-2</v>
      </c>
      <c r="T157" s="178">
        <f t="shared" si="78"/>
        <v>1.5225999557547749</v>
      </c>
      <c r="V157" s="178">
        <f t="shared" si="79"/>
        <v>37.702599955754778</v>
      </c>
      <c r="W157" s="181">
        <f t="shared" si="80"/>
        <v>0</v>
      </c>
      <c r="X157" s="181">
        <f t="shared" si="81"/>
        <v>0</v>
      </c>
      <c r="Y157" s="182">
        <f t="shared" si="72"/>
        <v>0</v>
      </c>
      <c r="Z157" s="174"/>
      <c r="AA157" s="181">
        <f t="shared" si="82"/>
        <v>0</v>
      </c>
      <c r="AB157" s="210">
        <f t="shared" si="73"/>
        <v>4.2084023099910883E-2</v>
      </c>
    </row>
    <row r="158" spans="1:28" ht="12">
      <c r="A158" s="41" t="s">
        <v>170</v>
      </c>
      <c r="B158" s="193"/>
      <c r="C158" s="195">
        <f>B158*4.3333*6</f>
        <v>0</v>
      </c>
      <c r="D158" s="196">
        <v>2</v>
      </c>
      <c r="E158" s="156">
        <f t="shared" si="66"/>
        <v>0</v>
      </c>
      <c r="F158" s="201">
        <f t="shared" si="76"/>
        <v>0</v>
      </c>
      <c r="G158" s="162">
        <v>52</v>
      </c>
      <c r="I158" s="203">
        <v>36.18</v>
      </c>
      <c r="J158" s="150">
        <f t="shared" si="67"/>
        <v>0</v>
      </c>
      <c r="K158" s="150">
        <f t="shared" si="68"/>
        <v>0</v>
      </c>
      <c r="L158" s="205">
        <f t="shared" si="69"/>
        <v>290</v>
      </c>
      <c r="M158" s="167">
        <f t="shared" si="74"/>
        <v>207.18541319326224</v>
      </c>
      <c r="N158" s="208">
        <f t="shared" si="70"/>
        <v>0</v>
      </c>
      <c r="O158" s="173">
        <f t="shared" si="75"/>
        <v>0</v>
      </c>
      <c r="P158" s="174"/>
      <c r="Q158" s="177">
        <f t="shared" si="71"/>
        <v>1.493806829123421</v>
      </c>
      <c r="R158" s="178"/>
      <c r="S158" s="178">
        <f t="shared" si="77"/>
        <v>2.879312663135394E-2</v>
      </c>
      <c r="T158" s="178">
        <f t="shared" si="78"/>
        <v>1.5225999557547749</v>
      </c>
      <c r="V158" s="178">
        <f t="shared" si="79"/>
        <v>37.702599955754778</v>
      </c>
      <c r="W158" s="181">
        <f t="shared" si="80"/>
        <v>0</v>
      </c>
      <c r="X158" s="181">
        <f t="shared" si="81"/>
        <v>0</v>
      </c>
      <c r="Y158" s="182">
        <f t="shared" si="72"/>
        <v>0</v>
      </c>
      <c r="Z158" s="174"/>
      <c r="AA158" s="181">
        <f t="shared" si="82"/>
        <v>0</v>
      </c>
      <c r="AB158" s="210">
        <f t="shared" si="73"/>
        <v>4.2084023099910883E-2</v>
      </c>
    </row>
    <row r="159" spans="1:28" ht="12">
      <c r="A159" s="41" t="s">
        <v>70</v>
      </c>
      <c r="B159" s="193"/>
      <c r="C159" s="195">
        <f>B159*4.33</f>
        <v>0</v>
      </c>
      <c r="D159" s="196">
        <f>3*3.5</f>
        <v>10.5</v>
      </c>
      <c r="E159" s="156">
        <f t="shared" si="66"/>
        <v>0</v>
      </c>
      <c r="F159" s="202">
        <f t="shared" si="76"/>
        <v>0</v>
      </c>
      <c r="G159" s="162">
        <v>52</v>
      </c>
      <c r="I159" s="203">
        <v>184.6</v>
      </c>
      <c r="J159" s="150">
        <f t="shared" si="67"/>
        <v>0</v>
      </c>
      <c r="K159" s="150">
        <f t="shared" si="68"/>
        <v>0</v>
      </c>
      <c r="L159" s="205">
        <f t="shared" si="69"/>
        <v>1522.5</v>
      </c>
      <c r="M159" s="167">
        <f t="shared" si="74"/>
        <v>1087.7234192646267</v>
      </c>
      <c r="N159" s="208">
        <f t="shared" si="70"/>
        <v>0</v>
      </c>
      <c r="O159" s="173">
        <f t="shared" si="75"/>
        <v>0</v>
      </c>
      <c r="P159" s="174"/>
      <c r="Q159" s="177">
        <f t="shared" si="71"/>
        <v>7.8424858528979602</v>
      </c>
      <c r="R159" s="178"/>
      <c r="S159" s="178">
        <f t="shared" si="77"/>
        <v>0.1511639148146082</v>
      </c>
      <c r="T159" s="178">
        <f t="shared" si="78"/>
        <v>7.9936497677125686</v>
      </c>
      <c r="V159" s="178">
        <f t="shared" si="79"/>
        <v>192.59364976771258</v>
      </c>
      <c r="W159" s="181">
        <f t="shared" si="80"/>
        <v>0</v>
      </c>
      <c r="X159" s="181">
        <f t="shared" si="81"/>
        <v>0</v>
      </c>
      <c r="Y159" s="182">
        <f t="shared" si="72"/>
        <v>0</v>
      </c>
      <c r="Z159" s="174"/>
      <c r="AA159" s="181">
        <f t="shared" si="82"/>
        <v>0</v>
      </c>
      <c r="AB159" s="210">
        <f t="shared" si="73"/>
        <v>4.3302544787175323E-2</v>
      </c>
    </row>
    <row r="160" spans="1:28" ht="12">
      <c r="A160" s="41" t="s">
        <v>175</v>
      </c>
      <c r="B160" s="193"/>
      <c r="C160" s="195">
        <f>B160*4.33</f>
        <v>0</v>
      </c>
      <c r="D160" s="196">
        <f>3*5</f>
        <v>15</v>
      </c>
      <c r="E160" s="156">
        <f>C160*D160</f>
        <v>0</v>
      </c>
      <c r="F160" s="202">
        <f>B160</f>
        <v>0</v>
      </c>
      <c r="G160" s="162">
        <v>52</v>
      </c>
      <c r="I160" s="203">
        <v>0</v>
      </c>
      <c r="J160" s="150">
        <f t="shared" si="67"/>
        <v>0</v>
      </c>
      <c r="K160" s="150">
        <f t="shared" si="68"/>
        <v>0</v>
      </c>
      <c r="L160" s="205">
        <f t="shared" si="69"/>
        <v>2175</v>
      </c>
      <c r="M160" s="167">
        <f t="shared" si="74"/>
        <v>1553.8905989494667</v>
      </c>
      <c r="N160" s="208">
        <f t="shared" si="70"/>
        <v>0</v>
      </c>
      <c r="O160" s="173">
        <f t="shared" si="75"/>
        <v>0</v>
      </c>
      <c r="P160" s="174"/>
      <c r="Q160" s="177">
        <f>M160*$R$12</f>
        <v>11.203551218425657</v>
      </c>
      <c r="R160" s="178"/>
      <c r="S160" s="178">
        <f>Q160*$U$11</f>
        <v>0.21594844973515454</v>
      </c>
      <c r="T160" s="178">
        <f>+Q160+S160</f>
        <v>11.419499668160812</v>
      </c>
      <c r="V160" s="178">
        <f>I160+T160</f>
        <v>11.419499668160812</v>
      </c>
      <c r="W160" s="181">
        <f>C160*V160</f>
        <v>0</v>
      </c>
      <c r="X160" s="181">
        <f>W160-J160</f>
        <v>0</v>
      </c>
      <c r="Y160" s="182">
        <f t="shared" si="72"/>
        <v>0</v>
      </c>
      <c r="Z160" s="174"/>
      <c r="AA160" s="181">
        <f>O160*$R$11</f>
        <v>0</v>
      </c>
      <c r="AB160" s="210" t="str">
        <f>IF(I160=0,"",V160/I160-1)</f>
        <v/>
      </c>
    </row>
    <row r="161" spans="1:28" ht="12">
      <c r="A161" s="41" t="s">
        <v>71</v>
      </c>
      <c r="B161" s="193"/>
      <c r="C161" s="195">
        <f>+B161*1</f>
        <v>0</v>
      </c>
      <c r="D161" s="196">
        <v>3</v>
      </c>
      <c r="E161" s="156">
        <f t="shared" si="66"/>
        <v>0</v>
      </c>
      <c r="F161" s="202">
        <f t="shared" si="76"/>
        <v>0</v>
      </c>
      <c r="G161" s="162">
        <v>52</v>
      </c>
      <c r="I161" s="203">
        <v>53.36</v>
      </c>
      <c r="J161" s="150">
        <f t="shared" si="67"/>
        <v>0</v>
      </c>
      <c r="K161" s="150">
        <f t="shared" si="68"/>
        <v>0</v>
      </c>
      <c r="L161" s="205">
        <f t="shared" si="69"/>
        <v>435</v>
      </c>
      <c r="M161" s="167">
        <f t="shared" si="74"/>
        <v>310.77811978989337</v>
      </c>
      <c r="N161" s="208">
        <f t="shared" si="70"/>
        <v>0</v>
      </c>
      <c r="O161" s="173">
        <f t="shared" si="75"/>
        <v>0</v>
      </c>
      <c r="P161" s="174"/>
      <c r="Q161" s="177">
        <f t="shared" si="71"/>
        <v>2.2407102436851316</v>
      </c>
      <c r="R161" s="179"/>
      <c r="S161" s="178">
        <f t="shared" si="77"/>
        <v>4.3189689947030915E-2</v>
      </c>
      <c r="T161" s="178">
        <f t="shared" si="78"/>
        <v>2.2838999336321626</v>
      </c>
      <c r="V161" s="178">
        <f t="shared" si="79"/>
        <v>55.643899933632163</v>
      </c>
      <c r="W161" s="181">
        <f t="shared" si="80"/>
        <v>0</v>
      </c>
      <c r="X161" s="181">
        <f t="shared" si="81"/>
        <v>0</v>
      </c>
      <c r="Y161" s="182">
        <f t="shared" si="72"/>
        <v>0</v>
      </c>
      <c r="Z161" s="174"/>
      <c r="AA161" s="181">
        <f t="shared" si="82"/>
        <v>0</v>
      </c>
      <c r="AB161" s="210">
        <f t="shared" si="73"/>
        <v>4.2801722894155958E-2</v>
      </c>
    </row>
    <row r="162" spans="1:28" ht="12">
      <c r="A162" s="41" t="s">
        <v>72</v>
      </c>
      <c r="B162" s="193">
        <v>6</v>
      </c>
      <c r="C162" s="195">
        <f>B162*4.3333</f>
        <v>25.9998</v>
      </c>
      <c r="D162" s="196">
        <v>3</v>
      </c>
      <c r="E162" s="156">
        <f t="shared" si="66"/>
        <v>77.999400000000009</v>
      </c>
      <c r="F162" s="202">
        <f t="shared" si="76"/>
        <v>6</v>
      </c>
      <c r="G162" s="162">
        <v>52</v>
      </c>
      <c r="I162" s="203">
        <v>53.36</v>
      </c>
      <c r="J162" s="150">
        <f t="shared" si="67"/>
        <v>1387.349328</v>
      </c>
      <c r="K162" s="150">
        <f t="shared" si="68"/>
        <v>16648.191935999999</v>
      </c>
      <c r="L162" s="205">
        <f t="shared" si="69"/>
        <v>435</v>
      </c>
      <c r="M162" s="167">
        <f t="shared" si="74"/>
        <v>310.77811978989337</v>
      </c>
      <c r="N162" s="208">
        <f t="shared" si="70"/>
        <v>67.86</v>
      </c>
      <c r="O162" s="173">
        <f t="shared" si="75"/>
        <v>48.481386687223363</v>
      </c>
      <c r="P162" s="174"/>
      <c r="Q162" s="177">
        <f t="shared" si="71"/>
        <v>2.2407102436851316</v>
      </c>
      <c r="R162" s="178"/>
      <c r="S162" s="178">
        <f t="shared" si="77"/>
        <v>4.3189689947030915E-2</v>
      </c>
      <c r="T162" s="178">
        <f t="shared" si="78"/>
        <v>2.2838999336321626</v>
      </c>
      <c r="V162" s="178">
        <f t="shared" si="79"/>
        <v>55.643899933632163</v>
      </c>
      <c r="W162" s="181">
        <f t="shared" si="80"/>
        <v>1446.7302694944494</v>
      </c>
      <c r="X162" s="181">
        <f t="shared" si="81"/>
        <v>59.380941494449416</v>
      </c>
      <c r="Y162" s="182">
        <f t="shared" si="72"/>
        <v>712.571297933393</v>
      </c>
      <c r="Z162" s="174"/>
      <c r="AA162" s="181">
        <f t="shared" si="82"/>
        <v>699.10159602976103</v>
      </c>
      <c r="AB162" s="210">
        <f t="shared" si="73"/>
        <v>4.2801722894155958E-2</v>
      </c>
    </row>
    <row r="163" spans="1:28" ht="12">
      <c r="A163" s="41" t="s">
        <v>73</v>
      </c>
      <c r="B163" s="193">
        <v>7</v>
      </c>
      <c r="C163" s="195">
        <f>B163*4.3333*2</f>
        <v>60.666200000000003</v>
      </c>
      <c r="D163" s="196">
        <v>3</v>
      </c>
      <c r="E163" s="156">
        <f t="shared" si="66"/>
        <v>181.99860000000001</v>
      </c>
      <c r="F163" s="202">
        <f t="shared" si="76"/>
        <v>7</v>
      </c>
      <c r="G163" s="162">
        <v>52</v>
      </c>
      <c r="I163" s="203">
        <v>53.36</v>
      </c>
      <c r="J163" s="150">
        <f t="shared" si="67"/>
        <v>3237.148432</v>
      </c>
      <c r="K163" s="150">
        <f t="shared" si="68"/>
        <v>38845.781183999999</v>
      </c>
      <c r="L163" s="205">
        <f t="shared" si="69"/>
        <v>435</v>
      </c>
      <c r="M163" s="167">
        <f t="shared" si="74"/>
        <v>310.77811978989337</v>
      </c>
      <c r="N163" s="208">
        <f t="shared" si="70"/>
        <v>158.34</v>
      </c>
      <c r="O163" s="173">
        <f t="shared" si="75"/>
        <v>113.1232356035212</v>
      </c>
      <c r="P163" s="174"/>
      <c r="Q163" s="177">
        <f t="shared" si="71"/>
        <v>2.2407102436851316</v>
      </c>
      <c r="R163" s="178"/>
      <c r="S163" s="178">
        <f t="shared" si="77"/>
        <v>4.3189689947030915E-2</v>
      </c>
      <c r="T163" s="178">
        <f t="shared" si="78"/>
        <v>2.2838999336321626</v>
      </c>
      <c r="V163" s="178">
        <f t="shared" si="79"/>
        <v>55.643899933632163</v>
      </c>
      <c r="W163" s="181">
        <f t="shared" si="80"/>
        <v>3375.7039621537156</v>
      </c>
      <c r="X163" s="181">
        <f t="shared" si="81"/>
        <v>138.55553015371561</v>
      </c>
      <c r="Y163" s="182">
        <f t="shared" si="72"/>
        <v>1662.6663618445873</v>
      </c>
      <c r="Z163" s="174"/>
      <c r="AA163" s="181">
        <f t="shared" si="82"/>
        <v>1631.2370574027759</v>
      </c>
      <c r="AB163" s="210">
        <f t="shared" si="73"/>
        <v>4.2801722894155958E-2</v>
      </c>
    </row>
    <row r="164" spans="1:28" ht="12">
      <c r="A164" s="41" t="s">
        <v>74</v>
      </c>
      <c r="B164" s="193"/>
      <c r="C164" s="195">
        <f>B164*4.3333*3</f>
        <v>0</v>
      </c>
      <c r="D164" s="196">
        <v>3</v>
      </c>
      <c r="E164" s="156">
        <f t="shared" si="66"/>
        <v>0</v>
      </c>
      <c r="F164" s="202">
        <f t="shared" si="76"/>
        <v>0</v>
      </c>
      <c r="G164" s="162">
        <v>52</v>
      </c>
      <c r="I164" s="203">
        <v>53.36</v>
      </c>
      <c r="J164" s="150">
        <f t="shared" si="67"/>
        <v>0</v>
      </c>
      <c r="K164" s="150">
        <f t="shared" si="68"/>
        <v>0</v>
      </c>
      <c r="L164" s="205">
        <f t="shared" si="69"/>
        <v>435</v>
      </c>
      <c r="M164" s="167">
        <f t="shared" si="74"/>
        <v>310.77811978989337</v>
      </c>
      <c r="N164" s="208">
        <f t="shared" si="70"/>
        <v>0</v>
      </c>
      <c r="O164" s="173">
        <f t="shared" si="75"/>
        <v>0</v>
      </c>
      <c r="P164" s="174"/>
      <c r="Q164" s="177">
        <f t="shared" si="71"/>
        <v>2.2407102436851316</v>
      </c>
      <c r="R164" s="178"/>
      <c r="S164" s="178">
        <f t="shared" si="77"/>
        <v>4.3189689947030915E-2</v>
      </c>
      <c r="T164" s="178">
        <f t="shared" si="78"/>
        <v>2.2838999336321626</v>
      </c>
      <c r="V164" s="178">
        <f t="shared" si="79"/>
        <v>55.643899933632163</v>
      </c>
      <c r="W164" s="181">
        <f t="shared" si="80"/>
        <v>0</v>
      </c>
      <c r="X164" s="181">
        <f t="shared" si="81"/>
        <v>0</v>
      </c>
      <c r="Y164" s="182">
        <f t="shared" si="72"/>
        <v>0</v>
      </c>
      <c r="Z164" s="174"/>
      <c r="AA164" s="181">
        <f t="shared" si="82"/>
        <v>0</v>
      </c>
      <c r="AB164" s="210">
        <f t="shared" si="73"/>
        <v>4.2801722894155958E-2</v>
      </c>
    </row>
    <row r="165" spans="1:28" ht="12">
      <c r="A165" s="41" t="s">
        <v>171</v>
      </c>
      <c r="B165" s="193"/>
      <c r="C165" s="195">
        <f>B165*4.3333*4</f>
        <v>0</v>
      </c>
      <c r="D165" s="196">
        <v>3</v>
      </c>
      <c r="E165" s="156">
        <f t="shared" si="66"/>
        <v>0</v>
      </c>
      <c r="F165" s="201">
        <f t="shared" si="76"/>
        <v>0</v>
      </c>
      <c r="G165" s="162">
        <v>52</v>
      </c>
      <c r="I165" s="203">
        <v>53.36</v>
      </c>
      <c r="J165" s="150">
        <f t="shared" si="67"/>
        <v>0</v>
      </c>
      <c r="K165" s="150">
        <f t="shared" si="68"/>
        <v>0</v>
      </c>
      <c r="L165" s="205">
        <f t="shared" si="69"/>
        <v>435</v>
      </c>
      <c r="M165" s="167">
        <f t="shared" si="74"/>
        <v>310.77811978989337</v>
      </c>
      <c r="N165" s="208">
        <f t="shared" si="70"/>
        <v>0</v>
      </c>
      <c r="O165" s="173">
        <f t="shared" si="75"/>
        <v>0</v>
      </c>
      <c r="P165" s="174"/>
      <c r="Q165" s="177">
        <f t="shared" si="71"/>
        <v>2.2407102436851316</v>
      </c>
      <c r="R165" s="178"/>
      <c r="S165" s="178">
        <f t="shared" si="77"/>
        <v>4.3189689947030915E-2</v>
      </c>
      <c r="T165" s="178">
        <f t="shared" si="78"/>
        <v>2.2838999336321626</v>
      </c>
      <c r="V165" s="178">
        <f t="shared" si="79"/>
        <v>55.643899933632163</v>
      </c>
      <c r="W165" s="181">
        <f t="shared" si="80"/>
        <v>0</v>
      </c>
      <c r="X165" s="181">
        <f t="shared" si="81"/>
        <v>0</v>
      </c>
      <c r="Y165" s="182">
        <f t="shared" si="72"/>
        <v>0</v>
      </c>
      <c r="Z165" s="174"/>
      <c r="AA165" s="181">
        <f t="shared" si="82"/>
        <v>0</v>
      </c>
      <c r="AB165" s="210">
        <f t="shared" si="73"/>
        <v>4.2801722894155958E-2</v>
      </c>
    </row>
    <row r="166" spans="1:28" ht="12">
      <c r="A166" s="41" t="s">
        <v>75</v>
      </c>
      <c r="B166" s="193"/>
      <c r="C166" s="195">
        <f>B166*4.33</f>
        <v>0</v>
      </c>
      <c r="D166" s="196">
        <f>4*3.5</f>
        <v>14</v>
      </c>
      <c r="E166" s="156">
        <f t="shared" si="66"/>
        <v>0</v>
      </c>
      <c r="F166" s="202">
        <f t="shared" si="76"/>
        <v>0</v>
      </c>
      <c r="G166" s="162">
        <v>52</v>
      </c>
      <c r="I166" s="203">
        <v>310.82</v>
      </c>
      <c r="J166" s="150">
        <f t="shared" si="67"/>
        <v>0</v>
      </c>
      <c r="K166" s="150">
        <f t="shared" si="68"/>
        <v>0</v>
      </c>
      <c r="L166" s="205">
        <f t="shared" si="69"/>
        <v>2030</v>
      </c>
      <c r="M166" s="167">
        <f t="shared" si="74"/>
        <v>1450.2978923528358</v>
      </c>
      <c r="N166" s="208">
        <f t="shared" si="70"/>
        <v>0</v>
      </c>
      <c r="O166" s="173">
        <f t="shared" si="75"/>
        <v>0</v>
      </c>
      <c r="P166" s="174"/>
      <c r="Q166" s="177">
        <f t="shared" si="71"/>
        <v>10.456647803863948</v>
      </c>
      <c r="R166" s="178"/>
      <c r="S166" s="178">
        <f t="shared" si="77"/>
        <v>0.2015518864194776</v>
      </c>
      <c r="T166" s="178">
        <f t="shared" si="78"/>
        <v>10.658199690283425</v>
      </c>
      <c r="V166" s="178">
        <f t="shared" si="79"/>
        <v>321.47819969028342</v>
      </c>
      <c r="W166" s="181">
        <f t="shared" si="80"/>
        <v>0</v>
      </c>
      <c r="X166" s="181">
        <f t="shared" si="81"/>
        <v>0</v>
      </c>
      <c r="Y166" s="182">
        <f t="shared" si="72"/>
        <v>0</v>
      </c>
      <c r="Z166" s="174"/>
      <c r="AA166" s="181">
        <f t="shared" si="82"/>
        <v>0</v>
      </c>
      <c r="AB166" s="210">
        <f t="shared" si="73"/>
        <v>3.4290585194914902E-2</v>
      </c>
    </row>
    <row r="167" spans="1:28" ht="12">
      <c r="A167" s="41" t="s">
        <v>176</v>
      </c>
      <c r="B167" s="193"/>
      <c r="C167" s="195">
        <f>B167*4.33</f>
        <v>0</v>
      </c>
      <c r="D167" s="196">
        <f>4*5</f>
        <v>20</v>
      </c>
      <c r="E167" s="156">
        <f t="shared" si="66"/>
        <v>0</v>
      </c>
      <c r="F167" s="202">
        <f t="shared" si="76"/>
        <v>0</v>
      </c>
      <c r="G167" s="162">
        <v>52</v>
      </c>
      <c r="I167" s="203">
        <v>0</v>
      </c>
      <c r="J167" s="150">
        <f t="shared" si="67"/>
        <v>0</v>
      </c>
      <c r="K167" s="150">
        <f t="shared" si="68"/>
        <v>0</v>
      </c>
      <c r="L167" s="205">
        <f t="shared" si="69"/>
        <v>2900</v>
      </c>
      <c r="M167" s="167">
        <f t="shared" si="74"/>
        <v>2071.8541319326223</v>
      </c>
      <c r="N167" s="208">
        <f t="shared" si="70"/>
        <v>0</v>
      </c>
      <c r="O167" s="173">
        <f t="shared" si="75"/>
        <v>0</v>
      </c>
      <c r="P167" s="174"/>
      <c r="Q167" s="177">
        <f t="shared" si="71"/>
        <v>14.93806829123421</v>
      </c>
      <c r="R167" s="178"/>
      <c r="S167" s="178">
        <f t="shared" si="77"/>
        <v>0.28793126631353938</v>
      </c>
      <c r="T167" s="178">
        <f t="shared" si="78"/>
        <v>15.225999557547748</v>
      </c>
      <c r="V167" s="178">
        <f t="shared" si="79"/>
        <v>15.225999557547748</v>
      </c>
      <c r="W167" s="181">
        <f t="shared" si="80"/>
        <v>0</v>
      </c>
      <c r="X167" s="181">
        <f t="shared" si="81"/>
        <v>0</v>
      </c>
      <c r="Y167" s="182">
        <f t="shared" si="72"/>
        <v>0</v>
      </c>
      <c r="Z167" s="174"/>
      <c r="AA167" s="181">
        <f t="shared" si="82"/>
        <v>0</v>
      </c>
      <c r="AB167" s="210" t="str">
        <f t="shared" si="73"/>
        <v/>
      </c>
    </row>
    <row r="168" spans="1:28" ht="12">
      <c r="A168" s="41" t="s">
        <v>76</v>
      </c>
      <c r="B168" s="193"/>
      <c r="C168" s="195">
        <f>+B168*1</f>
        <v>0</v>
      </c>
      <c r="D168" s="196">
        <v>4</v>
      </c>
      <c r="E168" s="156">
        <f t="shared" si="66"/>
        <v>0</v>
      </c>
      <c r="F168" s="202">
        <f t="shared" si="76"/>
        <v>0</v>
      </c>
      <c r="G168" s="162">
        <v>52</v>
      </c>
      <c r="I168" s="203">
        <v>68.7</v>
      </c>
      <c r="J168" s="150">
        <f t="shared" si="67"/>
        <v>0</v>
      </c>
      <c r="K168" s="150">
        <f t="shared" si="68"/>
        <v>0</v>
      </c>
      <c r="L168" s="205">
        <f t="shared" si="69"/>
        <v>580</v>
      </c>
      <c r="M168" s="167">
        <f t="shared" si="74"/>
        <v>414.37082638652447</v>
      </c>
      <c r="N168" s="208">
        <f t="shared" si="70"/>
        <v>0</v>
      </c>
      <c r="O168" s="173">
        <f t="shared" si="75"/>
        <v>0</v>
      </c>
      <c r="P168" s="174"/>
      <c r="Q168" s="177">
        <f t="shared" si="71"/>
        <v>2.987613658246842</v>
      </c>
      <c r="R168" s="179"/>
      <c r="S168" s="178">
        <f t="shared" si="77"/>
        <v>5.758625326270788E-2</v>
      </c>
      <c r="T168" s="178">
        <f t="shared" si="78"/>
        <v>3.0451999115095498</v>
      </c>
      <c r="V168" s="178">
        <f t="shared" si="79"/>
        <v>71.745199911509559</v>
      </c>
      <c r="W168" s="181">
        <f t="shared" si="80"/>
        <v>0</v>
      </c>
      <c r="X168" s="181">
        <f t="shared" si="81"/>
        <v>0</v>
      </c>
      <c r="Y168" s="182">
        <f t="shared" si="72"/>
        <v>0</v>
      </c>
      <c r="Z168" s="174"/>
      <c r="AA168" s="181">
        <f t="shared" si="82"/>
        <v>0</v>
      </c>
      <c r="AB168" s="210">
        <f t="shared" si="73"/>
        <v>4.4326054024884431E-2</v>
      </c>
    </row>
    <row r="169" spans="1:28" ht="12">
      <c r="A169" s="41" t="s">
        <v>77</v>
      </c>
      <c r="B169" s="193">
        <v>16</v>
      </c>
      <c r="C169" s="195">
        <f>B169*4.3333</f>
        <v>69.332800000000006</v>
      </c>
      <c r="D169" s="196">
        <v>4</v>
      </c>
      <c r="E169" s="156">
        <f t="shared" si="66"/>
        <v>277.33120000000002</v>
      </c>
      <c r="F169" s="202">
        <f t="shared" si="76"/>
        <v>16</v>
      </c>
      <c r="G169" s="162">
        <v>52</v>
      </c>
      <c r="I169" s="203">
        <v>68.7</v>
      </c>
      <c r="J169" s="150">
        <f t="shared" si="67"/>
        <v>4763.1633600000005</v>
      </c>
      <c r="K169" s="150">
        <f t="shared" si="68"/>
        <v>57157.960320000006</v>
      </c>
      <c r="L169" s="205">
        <f t="shared" si="69"/>
        <v>580</v>
      </c>
      <c r="M169" s="167">
        <f t="shared" si="74"/>
        <v>414.37082638652447</v>
      </c>
      <c r="N169" s="208">
        <f t="shared" si="70"/>
        <v>241.28</v>
      </c>
      <c r="O169" s="173">
        <f t="shared" si="75"/>
        <v>172.3782637767942</v>
      </c>
      <c r="P169" s="174"/>
      <c r="Q169" s="177">
        <f t="shared" si="71"/>
        <v>2.987613658246842</v>
      </c>
      <c r="R169" s="178"/>
      <c r="S169" s="178">
        <f t="shared" si="77"/>
        <v>5.758625326270788E-2</v>
      </c>
      <c r="T169" s="178">
        <f t="shared" si="78"/>
        <v>3.0451999115095498</v>
      </c>
      <c r="V169" s="178">
        <f t="shared" si="79"/>
        <v>71.745199911509559</v>
      </c>
      <c r="W169" s="181">
        <f t="shared" si="80"/>
        <v>4974.2955964247103</v>
      </c>
      <c r="X169" s="181">
        <f t="shared" si="81"/>
        <v>211.13223642470984</v>
      </c>
      <c r="Y169" s="182">
        <f t="shared" si="72"/>
        <v>2533.5868370965181</v>
      </c>
      <c r="Z169" s="174"/>
      <c r="AA169" s="181">
        <f t="shared" si="82"/>
        <v>2485.6945636613727</v>
      </c>
      <c r="AB169" s="210">
        <f t="shared" si="73"/>
        <v>4.4326054024884431E-2</v>
      </c>
    </row>
    <row r="170" spans="1:28" ht="12">
      <c r="A170" s="41" t="s">
        <v>78</v>
      </c>
      <c r="B170" s="193">
        <v>9</v>
      </c>
      <c r="C170" s="195">
        <f>B170*4.3333*2</f>
        <v>77.999400000000009</v>
      </c>
      <c r="D170" s="196">
        <v>4</v>
      </c>
      <c r="E170" s="156">
        <f t="shared" si="66"/>
        <v>311.99760000000003</v>
      </c>
      <c r="F170" s="202">
        <f t="shared" si="76"/>
        <v>9</v>
      </c>
      <c r="G170" s="162">
        <v>52</v>
      </c>
      <c r="I170" s="203">
        <v>68.7</v>
      </c>
      <c r="J170" s="150">
        <f t="shared" si="67"/>
        <v>5358.5587800000012</v>
      </c>
      <c r="K170" s="150">
        <f t="shared" si="68"/>
        <v>64302.705360000014</v>
      </c>
      <c r="L170" s="205">
        <f t="shared" si="69"/>
        <v>580</v>
      </c>
      <c r="M170" s="167">
        <f t="shared" si="74"/>
        <v>414.37082638652447</v>
      </c>
      <c r="N170" s="208">
        <f t="shared" si="70"/>
        <v>271.44</v>
      </c>
      <c r="O170" s="173">
        <f t="shared" si="75"/>
        <v>193.92554674889345</v>
      </c>
      <c r="P170" s="174"/>
      <c r="Q170" s="177">
        <f t="shared" si="71"/>
        <v>2.987613658246842</v>
      </c>
      <c r="R170" s="178"/>
      <c r="S170" s="178">
        <f t="shared" si="77"/>
        <v>5.758625326270788E-2</v>
      </c>
      <c r="T170" s="178">
        <f t="shared" si="78"/>
        <v>3.0451999115095498</v>
      </c>
      <c r="V170" s="178">
        <f t="shared" si="79"/>
        <v>71.745199911509559</v>
      </c>
      <c r="W170" s="181">
        <f t="shared" si="80"/>
        <v>5596.0825459777989</v>
      </c>
      <c r="X170" s="181">
        <f t="shared" si="81"/>
        <v>237.52376597779767</v>
      </c>
      <c r="Y170" s="182">
        <f t="shared" si="72"/>
        <v>2850.285191733572</v>
      </c>
      <c r="Z170" s="174"/>
      <c r="AA170" s="181">
        <f t="shared" si="82"/>
        <v>2796.4063841190441</v>
      </c>
      <c r="AB170" s="210">
        <f t="shared" si="73"/>
        <v>4.4326054024884431E-2</v>
      </c>
    </row>
    <row r="171" spans="1:28" ht="12">
      <c r="A171" s="41" t="s">
        <v>79</v>
      </c>
      <c r="B171" s="193">
        <v>2</v>
      </c>
      <c r="C171" s="195">
        <f>B171*4.3333*3</f>
        <v>25.9998</v>
      </c>
      <c r="D171" s="196">
        <v>4</v>
      </c>
      <c r="E171" s="156">
        <f t="shared" si="66"/>
        <v>103.9992</v>
      </c>
      <c r="F171" s="202">
        <f t="shared" si="76"/>
        <v>2</v>
      </c>
      <c r="G171" s="162">
        <v>52</v>
      </c>
      <c r="I171" s="203">
        <v>68.7</v>
      </c>
      <c r="J171" s="150">
        <f t="shared" ref="J171:J188" si="84">+C171*I171</f>
        <v>1786.1862600000002</v>
      </c>
      <c r="K171" s="150">
        <f t="shared" si="68"/>
        <v>21434.235120000001</v>
      </c>
      <c r="L171" s="205">
        <f t="shared" ref="L171:L197" si="85">+D171*L$16</f>
        <v>580</v>
      </c>
      <c r="M171" s="167">
        <f t="shared" si="74"/>
        <v>414.37082638652447</v>
      </c>
      <c r="N171" s="208">
        <f t="shared" ref="N171:N197" si="86">ROUND((C171*L171*12)/2000,2)</f>
        <v>90.48</v>
      </c>
      <c r="O171" s="173">
        <f t="shared" si="75"/>
        <v>64.641848916297818</v>
      </c>
      <c r="P171" s="174"/>
      <c r="Q171" s="177">
        <f t="shared" si="71"/>
        <v>2.987613658246842</v>
      </c>
      <c r="R171" s="178"/>
      <c r="S171" s="178">
        <f t="shared" si="77"/>
        <v>5.758625326270788E-2</v>
      </c>
      <c r="T171" s="178">
        <f t="shared" si="78"/>
        <v>3.0451999115095498</v>
      </c>
      <c r="V171" s="178">
        <f t="shared" si="79"/>
        <v>71.745199911509559</v>
      </c>
      <c r="W171" s="181">
        <f t="shared" si="80"/>
        <v>1865.3608486592664</v>
      </c>
      <c r="X171" s="181">
        <f t="shared" si="81"/>
        <v>79.174588659266192</v>
      </c>
      <c r="Y171" s="182">
        <f t="shared" si="72"/>
        <v>950.0950639111943</v>
      </c>
      <c r="Z171" s="174"/>
      <c r="AA171" s="181">
        <f t="shared" si="82"/>
        <v>932.13546137301466</v>
      </c>
      <c r="AB171" s="210">
        <f t="shared" si="73"/>
        <v>4.4326054024884431E-2</v>
      </c>
    </row>
    <row r="172" spans="1:28" ht="12">
      <c r="A172" s="41" t="s">
        <v>80</v>
      </c>
      <c r="B172" s="193"/>
      <c r="C172" s="195">
        <f>(B172*4.3333)*4</f>
        <v>0</v>
      </c>
      <c r="D172" s="196">
        <v>4</v>
      </c>
      <c r="E172" s="156">
        <f t="shared" si="66"/>
        <v>0</v>
      </c>
      <c r="F172" s="202">
        <f t="shared" si="76"/>
        <v>0</v>
      </c>
      <c r="G172" s="162">
        <v>52</v>
      </c>
      <c r="I172" s="203">
        <v>68.7</v>
      </c>
      <c r="J172" s="150">
        <f t="shared" si="84"/>
        <v>0</v>
      </c>
      <c r="K172" s="150">
        <f t="shared" si="68"/>
        <v>0</v>
      </c>
      <c r="L172" s="205">
        <f t="shared" si="85"/>
        <v>580</v>
      </c>
      <c r="M172" s="167">
        <f t="shared" si="74"/>
        <v>414.37082638652447</v>
      </c>
      <c r="N172" s="208">
        <f t="shared" si="86"/>
        <v>0</v>
      </c>
      <c r="O172" s="173">
        <f t="shared" si="75"/>
        <v>0</v>
      </c>
      <c r="P172" s="174"/>
      <c r="Q172" s="177">
        <f t="shared" si="71"/>
        <v>2.987613658246842</v>
      </c>
      <c r="R172" s="178"/>
      <c r="S172" s="178">
        <f t="shared" si="77"/>
        <v>5.758625326270788E-2</v>
      </c>
      <c r="T172" s="178">
        <f t="shared" si="78"/>
        <v>3.0451999115095498</v>
      </c>
      <c r="V172" s="178">
        <f t="shared" si="79"/>
        <v>71.745199911509559</v>
      </c>
      <c r="W172" s="181">
        <f t="shared" si="80"/>
        <v>0</v>
      </c>
      <c r="X172" s="181">
        <f t="shared" si="81"/>
        <v>0</v>
      </c>
      <c r="Y172" s="182">
        <f t="shared" si="72"/>
        <v>0</v>
      </c>
      <c r="Z172" s="174"/>
      <c r="AA172" s="181">
        <f t="shared" si="82"/>
        <v>0</v>
      </c>
      <c r="AB172" s="210">
        <f t="shared" si="73"/>
        <v>4.4326054024884431E-2</v>
      </c>
    </row>
    <row r="173" spans="1:28" ht="12">
      <c r="A173" s="41" t="s">
        <v>172</v>
      </c>
      <c r="B173" s="193"/>
      <c r="C173" s="195">
        <f>(B173*4.3333)*6</f>
        <v>0</v>
      </c>
      <c r="D173" s="196">
        <v>4</v>
      </c>
      <c r="E173" s="156">
        <f t="shared" si="66"/>
        <v>0</v>
      </c>
      <c r="F173" s="201">
        <f t="shared" si="76"/>
        <v>0</v>
      </c>
      <c r="G173" s="162">
        <v>52</v>
      </c>
      <c r="I173" s="203">
        <v>68.7</v>
      </c>
      <c r="J173" s="150">
        <f t="shared" si="84"/>
        <v>0</v>
      </c>
      <c r="K173" s="150">
        <f t="shared" si="68"/>
        <v>0</v>
      </c>
      <c r="L173" s="205">
        <f t="shared" si="85"/>
        <v>580</v>
      </c>
      <c r="M173" s="167">
        <f t="shared" si="74"/>
        <v>414.37082638652447</v>
      </c>
      <c r="N173" s="208">
        <f t="shared" si="86"/>
        <v>0</v>
      </c>
      <c r="O173" s="173">
        <f t="shared" si="75"/>
        <v>0</v>
      </c>
      <c r="P173" s="174"/>
      <c r="Q173" s="177">
        <f t="shared" si="71"/>
        <v>2.987613658246842</v>
      </c>
      <c r="R173" s="178"/>
      <c r="S173" s="178">
        <f t="shared" si="77"/>
        <v>5.758625326270788E-2</v>
      </c>
      <c r="T173" s="178">
        <f t="shared" si="78"/>
        <v>3.0451999115095498</v>
      </c>
      <c r="V173" s="178">
        <f t="shared" si="79"/>
        <v>71.745199911509559</v>
      </c>
      <c r="W173" s="181">
        <f t="shared" si="80"/>
        <v>0</v>
      </c>
      <c r="X173" s="181">
        <f t="shared" si="81"/>
        <v>0</v>
      </c>
      <c r="Y173" s="182">
        <f t="shared" si="72"/>
        <v>0</v>
      </c>
      <c r="Z173" s="174"/>
      <c r="AA173" s="181">
        <f t="shared" si="82"/>
        <v>0</v>
      </c>
      <c r="AB173" s="210">
        <f t="shared" si="73"/>
        <v>4.4326054024884431E-2</v>
      </c>
    </row>
    <row r="174" spans="1:28" ht="12">
      <c r="A174" s="41" t="s">
        <v>173</v>
      </c>
      <c r="B174" s="193"/>
      <c r="C174" s="195">
        <f>B174*4.33</f>
        <v>0</v>
      </c>
      <c r="D174" s="196">
        <f>5*3.5</f>
        <v>17.5</v>
      </c>
      <c r="E174" s="156">
        <f>C174*D174</f>
        <v>0</v>
      </c>
      <c r="F174" s="202">
        <f>B174</f>
        <v>0</v>
      </c>
      <c r="G174" s="162">
        <v>52</v>
      </c>
      <c r="I174" s="203"/>
      <c r="J174" s="150">
        <f t="shared" si="84"/>
        <v>0</v>
      </c>
      <c r="K174" s="150">
        <f t="shared" si="68"/>
        <v>0</v>
      </c>
      <c r="L174" s="205">
        <f t="shared" si="85"/>
        <v>2537.5</v>
      </c>
      <c r="M174" s="167">
        <f t="shared" si="74"/>
        <v>1812.8723654410446</v>
      </c>
      <c r="N174" s="208">
        <f t="shared" si="86"/>
        <v>0</v>
      </c>
      <c r="O174" s="173">
        <f t="shared" si="75"/>
        <v>0</v>
      </c>
      <c r="P174" s="174"/>
      <c r="Q174" s="177">
        <f>M174*$R$12</f>
        <v>13.070809754829934</v>
      </c>
      <c r="R174" s="178"/>
      <c r="S174" s="178">
        <f>Q174*$U$11</f>
        <v>0.25193985802434699</v>
      </c>
      <c r="T174" s="178">
        <f>+Q174+S174</f>
        <v>13.322749612854281</v>
      </c>
      <c r="V174" s="178">
        <f>I174+T174</f>
        <v>13.322749612854281</v>
      </c>
      <c r="W174" s="181">
        <f>C174*V174</f>
        <v>0</v>
      </c>
      <c r="X174" s="181">
        <f>W174-J174</f>
        <v>0</v>
      </c>
      <c r="Y174" s="182">
        <f t="shared" si="72"/>
        <v>0</v>
      </c>
      <c r="Z174" s="174"/>
      <c r="AA174" s="181">
        <f>O174*$R$11</f>
        <v>0</v>
      </c>
      <c r="AB174" s="210" t="str">
        <f>IF(I174=0,"",V174/I174-1)</f>
        <v/>
      </c>
    </row>
    <row r="175" spans="1:28" ht="12">
      <c r="A175" s="41" t="s">
        <v>177</v>
      </c>
      <c r="B175" s="193"/>
      <c r="C175" s="195">
        <f>B175*4.33</f>
        <v>0</v>
      </c>
      <c r="D175" s="196">
        <f>5*5</f>
        <v>25</v>
      </c>
      <c r="E175" s="156">
        <f>C175*D175</f>
        <v>0</v>
      </c>
      <c r="F175" s="202">
        <f>B175</f>
        <v>0</v>
      </c>
      <c r="G175" s="162">
        <v>52</v>
      </c>
      <c r="I175" s="203"/>
      <c r="J175" s="150">
        <f t="shared" si="84"/>
        <v>0</v>
      </c>
      <c r="K175" s="150">
        <f t="shared" si="68"/>
        <v>0</v>
      </c>
      <c r="L175" s="205">
        <f t="shared" si="85"/>
        <v>3625</v>
      </c>
      <c r="M175" s="167">
        <f t="shared" si="74"/>
        <v>2589.8176649157781</v>
      </c>
      <c r="N175" s="208">
        <f t="shared" si="86"/>
        <v>0</v>
      </c>
      <c r="O175" s="173">
        <f t="shared" si="75"/>
        <v>0</v>
      </c>
      <c r="P175" s="174"/>
      <c r="Q175" s="177">
        <f>M175*$R$12</f>
        <v>18.672585364042764</v>
      </c>
      <c r="R175" s="178"/>
      <c r="S175" s="178">
        <f>Q175*$U$11</f>
        <v>0.35991408289192428</v>
      </c>
      <c r="T175" s="178">
        <f>+Q175+S175</f>
        <v>19.032499446934686</v>
      </c>
      <c r="V175" s="178">
        <f>I175+T175</f>
        <v>19.032499446934686</v>
      </c>
      <c r="W175" s="181">
        <f>C175*V175</f>
        <v>0</v>
      </c>
      <c r="X175" s="181">
        <f>W175-J175</f>
        <v>0</v>
      </c>
      <c r="Y175" s="182">
        <f t="shared" si="72"/>
        <v>0</v>
      </c>
      <c r="Z175" s="174"/>
      <c r="AA175" s="181">
        <f>O175*$R$11</f>
        <v>0</v>
      </c>
      <c r="AB175" s="210" t="str">
        <f>IF(I175=0,"",V175/I175-1)</f>
        <v/>
      </c>
    </row>
    <row r="176" spans="1:28" ht="12">
      <c r="A176" s="41" t="s">
        <v>81</v>
      </c>
      <c r="B176" s="193"/>
      <c r="C176" s="195">
        <f>B176*4.33</f>
        <v>0</v>
      </c>
      <c r="D176" s="196">
        <f>6*3.5</f>
        <v>21</v>
      </c>
      <c r="E176" s="156">
        <f t="shared" si="66"/>
        <v>0</v>
      </c>
      <c r="F176" s="202">
        <f t="shared" si="76"/>
        <v>0</v>
      </c>
      <c r="G176" s="162">
        <v>52</v>
      </c>
      <c r="I176" s="203">
        <v>405.81</v>
      </c>
      <c r="J176" s="150">
        <f t="shared" si="84"/>
        <v>0</v>
      </c>
      <c r="K176" s="150">
        <f t="shared" si="68"/>
        <v>0</v>
      </c>
      <c r="L176" s="205">
        <f t="shared" si="85"/>
        <v>3045</v>
      </c>
      <c r="M176" s="167">
        <f t="shared" si="74"/>
        <v>2175.4468385292535</v>
      </c>
      <c r="N176" s="208">
        <f t="shared" si="86"/>
        <v>0</v>
      </c>
      <c r="O176" s="173">
        <f t="shared" si="75"/>
        <v>0</v>
      </c>
      <c r="P176" s="174"/>
      <c r="Q176" s="177">
        <f t="shared" si="71"/>
        <v>15.68497170579592</v>
      </c>
      <c r="R176" s="178"/>
      <c r="S176" s="178">
        <f t="shared" si="77"/>
        <v>0.30232782962921639</v>
      </c>
      <c r="T176" s="178">
        <f t="shared" si="78"/>
        <v>15.987299535425137</v>
      </c>
      <c r="V176" s="178">
        <f t="shared" si="79"/>
        <v>421.79729953542517</v>
      </c>
      <c r="W176" s="181">
        <f t="shared" si="80"/>
        <v>0</v>
      </c>
      <c r="X176" s="181">
        <f t="shared" si="81"/>
        <v>0</v>
      </c>
      <c r="Y176" s="182">
        <f t="shared" si="72"/>
        <v>0</v>
      </c>
      <c r="Z176" s="174"/>
      <c r="AA176" s="181">
        <f t="shared" si="82"/>
        <v>0</v>
      </c>
      <c r="AB176" s="210">
        <f t="shared" si="73"/>
        <v>3.9396021624467537E-2</v>
      </c>
    </row>
    <row r="177" spans="1:28" ht="12">
      <c r="A177" s="41" t="s">
        <v>178</v>
      </c>
      <c r="B177" s="193"/>
      <c r="C177" s="195">
        <f>B177*4.33</f>
        <v>0</v>
      </c>
      <c r="D177" s="196">
        <f>6*5</f>
        <v>30</v>
      </c>
      <c r="E177" s="156">
        <f t="shared" si="66"/>
        <v>0</v>
      </c>
      <c r="F177" s="202">
        <f t="shared" si="76"/>
        <v>0</v>
      </c>
      <c r="G177" s="162">
        <v>52</v>
      </c>
      <c r="I177" s="203">
        <v>0</v>
      </c>
      <c r="J177" s="150">
        <f t="shared" si="84"/>
        <v>0</v>
      </c>
      <c r="K177" s="150">
        <f t="shared" si="68"/>
        <v>0</v>
      </c>
      <c r="L177" s="205">
        <f t="shared" si="85"/>
        <v>4350</v>
      </c>
      <c r="M177" s="167">
        <f t="shared" si="74"/>
        <v>3107.7811978989334</v>
      </c>
      <c r="N177" s="208">
        <f t="shared" si="86"/>
        <v>0</v>
      </c>
      <c r="O177" s="173">
        <f t="shared" si="75"/>
        <v>0</v>
      </c>
      <c r="P177" s="174"/>
      <c r="Q177" s="177">
        <f t="shared" si="71"/>
        <v>22.407102436851314</v>
      </c>
      <c r="R177" s="178"/>
      <c r="S177" s="178">
        <f t="shared" si="77"/>
        <v>0.43189689947030907</v>
      </c>
      <c r="T177" s="178">
        <f t="shared" si="78"/>
        <v>22.838999336321624</v>
      </c>
      <c r="V177" s="178">
        <f t="shared" si="79"/>
        <v>22.838999336321624</v>
      </c>
      <c r="W177" s="181">
        <f t="shared" si="80"/>
        <v>0</v>
      </c>
      <c r="X177" s="181">
        <f t="shared" si="81"/>
        <v>0</v>
      </c>
      <c r="Y177" s="182">
        <f t="shared" si="72"/>
        <v>0</v>
      </c>
      <c r="Z177" s="174"/>
      <c r="AA177" s="181">
        <f t="shared" si="82"/>
        <v>0</v>
      </c>
      <c r="AB177" s="210" t="str">
        <f t="shared" si="73"/>
        <v/>
      </c>
    </row>
    <row r="178" spans="1:28" ht="12">
      <c r="A178" s="41" t="s">
        <v>82</v>
      </c>
      <c r="B178" s="193"/>
      <c r="C178" s="195">
        <f>+B178*1</f>
        <v>0</v>
      </c>
      <c r="D178" s="196">
        <v>6</v>
      </c>
      <c r="E178" s="156">
        <f t="shared" si="66"/>
        <v>0</v>
      </c>
      <c r="F178" s="202">
        <f t="shared" si="76"/>
        <v>0</v>
      </c>
      <c r="G178" s="162">
        <v>52</v>
      </c>
      <c r="I178" s="203">
        <v>103.05</v>
      </c>
      <c r="J178" s="150">
        <f t="shared" si="84"/>
        <v>0</v>
      </c>
      <c r="K178" s="150">
        <f t="shared" si="68"/>
        <v>0</v>
      </c>
      <c r="L178" s="205">
        <f t="shared" si="85"/>
        <v>870</v>
      </c>
      <c r="M178" s="167">
        <f t="shared" si="74"/>
        <v>621.55623957978673</v>
      </c>
      <c r="N178" s="208">
        <f t="shared" si="86"/>
        <v>0</v>
      </c>
      <c r="O178" s="173">
        <f t="shared" si="75"/>
        <v>0</v>
      </c>
      <c r="P178" s="174"/>
      <c r="Q178" s="177">
        <f t="shared" si="71"/>
        <v>4.4814204873702632</v>
      </c>
      <c r="R178" s="179"/>
      <c r="S178" s="178">
        <f t="shared" si="77"/>
        <v>8.6379379894061831E-2</v>
      </c>
      <c r="T178" s="178">
        <f t="shared" si="78"/>
        <v>4.5677998672643252</v>
      </c>
      <c r="V178" s="178">
        <f t="shared" si="79"/>
        <v>107.61779986726432</v>
      </c>
      <c r="W178" s="181">
        <f t="shared" si="80"/>
        <v>0</v>
      </c>
      <c r="X178" s="181">
        <f t="shared" si="81"/>
        <v>0</v>
      </c>
      <c r="Y178" s="182">
        <f t="shared" si="72"/>
        <v>0</v>
      </c>
      <c r="Z178" s="174"/>
      <c r="AA178" s="181">
        <f t="shared" si="82"/>
        <v>0</v>
      </c>
      <c r="AB178" s="210">
        <f t="shared" si="73"/>
        <v>4.4326054024884209E-2</v>
      </c>
    </row>
    <row r="179" spans="1:28" ht="12">
      <c r="A179" s="41" t="s">
        <v>83</v>
      </c>
      <c r="B179" s="193">
        <v>12</v>
      </c>
      <c r="C179" s="195">
        <f>B179*4.3333</f>
        <v>51.999600000000001</v>
      </c>
      <c r="D179" s="196">
        <v>6</v>
      </c>
      <c r="E179" s="156">
        <f t="shared" si="66"/>
        <v>311.99760000000003</v>
      </c>
      <c r="F179" s="202">
        <f t="shared" si="76"/>
        <v>12</v>
      </c>
      <c r="G179" s="162">
        <v>52</v>
      </c>
      <c r="I179" s="203">
        <v>103.05</v>
      </c>
      <c r="J179" s="150">
        <f t="shared" si="84"/>
        <v>5358.5587800000003</v>
      </c>
      <c r="K179" s="150">
        <f t="shared" ref="K179:K198" si="87">J179*12</f>
        <v>64302.705360000007</v>
      </c>
      <c r="L179" s="205">
        <f t="shared" si="85"/>
        <v>870</v>
      </c>
      <c r="M179" s="167">
        <f t="shared" si="74"/>
        <v>621.55623957978673</v>
      </c>
      <c r="N179" s="208">
        <f t="shared" si="86"/>
        <v>271.44</v>
      </c>
      <c r="O179" s="173">
        <f t="shared" si="75"/>
        <v>193.92554674889345</v>
      </c>
      <c r="P179" s="174"/>
      <c r="Q179" s="177">
        <f t="shared" si="71"/>
        <v>4.4814204873702632</v>
      </c>
      <c r="R179" s="178"/>
      <c r="S179" s="178">
        <f t="shared" si="77"/>
        <v>8.6379379894061831E-2</v>
      </c>
      <c r="T179" s="178">
        <f t="shared" si="78"/>
        <v>4.5677998672643252</v>
      </c>
      <c r="V179" s="178">
        <f t="shared" si="79"/>
        <v>107.61779986726432</v>
      </c>
      <c r="W179" s="181">
        <f t="shared" si="80"/>
        <v>5596.082545977798</v>
      </c>
      <c r="X179" s="181">
        <f t="shared" si="81"/>
        <v>237.52376597779767</v>
      </c>
      <c r="Y179" s="182">
        <f t="shared" si="72"/>
        <v>2850.285191733572</v>
      </c>
      <c r="Z179" s="174"/>
      <c r="AA179" s="181">
        <f t="shared" si="82"/>
        <v>2796.4063841190441</v>
      </c>
      <c r="AB179" s="210">
        <f t="shared" si="73"/>
        <v>4.4326054024884209E-2</v>
      </c>
    </row>
    <row r="180" spans="1:28" ht="12">
      <c r="A180" s="41" t="s">
        <v>84</v>
      </c>
      <c r="B180" s="193">
        <v>2</v>
      </c>
      <c r="C180" s="195">
        <f>B180*4.3333*2</f>
        <v>17.333200000000001</v>
      </c>
      <c r="D180" s="196">
        <v>6</v>
      </c>
      <c r="E180" s="156">
        <f t="shared" si="66"/>
        <v>103.9992</v>
      </c>
      <c r="F180" s="202">
        <f t="shared" si="76"/>
        <v>2</v>
      </c>
      <c r="G180" s="162">
        <v>52</v>
      </c>
      <c r="I180" s="203">
        <v>103.05</v>
      </c>
      <c r="J180" s="150">
        <f t="shared" si="84"/>
        <v>1786.1862600000002</v>
      </c>
      <c r="K180" s="150">
        <f t="shared" si="87"/>
        <v>21434.235120000001</v>
      </c>
      <c r="L180" s="205">
        <f t="shared" si="85"/>
        <v>870</v>
      </c>
      <c r="M180" s="167">
        <f t="shared" si="74"/>
        <v>621.55623957978673</v>
      </c>
      <c r="N180" s="208">
        <f t="shared" si="86"/>
        <v>90.48</v>
      </c>
      <c r="O180" s="173">
        <f t="shared" si="75"/>
        <v>64.641848916297818</v>
      </c>
      <c r="P180" s="174"/>
      <c r="Q180" s="177">
        <f t="shared" si="71"/>
        <v>4.4814204873702632</v>
      </c>
      <c r="R180" s="178"/>
      <c r="S180" s="178">
        <f t="shared" si="77"/>
        <v>8.6379379894061831E-2</v>
      </c>
      <c r="T180" s="178">
        <f t="shared" si="78"/>
        <v>4.5677998672643252</v>
      </c>
      <c r="V180" s="178">
        <f t="shared" si="79"/>
        <v>107.61779986726432</v>
      </c>
      <c r="W180" s="181">
        <f t="shared" si="80"/>
        <v>1865.3608486592661</v>
      </c>
      <c r="X180" s="181">
        <f t="shared" si="81"/>
        <v>79.174588659265964</v>
      </c>
      <c r="Y180" s="182">
        <f t="shared" si="72"/>
        <v>950.09506391119157</v>
      </c>
      <c r="Z180" s="174"/>
      <c r="AA180" s="181">
        <f t="shared" si="82"/>
        <v>932.13546137301466</v>
      </c>
      <c r="AB180" s="210">
        <f t="shared" si="73"/>
        <v>4.4326054024884209E-2</v>
      </c>
    </row>
    <row r="181" spans="1:28" ht="12">
      <c r="A181" s="41" t="s">
        <v>85</v>
      </c>
      <c r="B181" s="193"/>
      <c r="C181" s="195">
        <f>B181*4.3333*3</f>
        <v>0</v>
      </c>
      <c r="D181" s="196">
        <v>6</v>
      </c>
      <c r="E181" s="156">
        <f t="shared" si="66"/>
        <v>0</v>
      </c>
      <c r="F181" s="202">
        <f t="shared" si="76"/>
        <v>0</v>
      </c>
      <c r="G181" s="162">
        <v>52</v>
      </c>
      <c r="I181" s="203">
        <v>103.05</v>
      </c>
      <c r="J181" s="150">
        <f t="shared" si="84"/>
        <v>0</v>
      </c>
      <c r="K181" s="150">
        <f t="shared" si="87"/>
        <v>0</v>
      </c>
      <c r="L181" s="205">
        <f t="shared" si="85"/>
        <v>870</v>
      </c>
      <c r="M181" s="167">
        <f t="shared" si="74"/>
        <v>621.55623957978673</v>
      </c>
      <c r="N181" s="208">
        <f t="shared" si="86"/>
        <v>0</v>
      </c>
      <c r="O181" s="173">
        <f t="shared" si="75"/>
        <v>0</v>
      </c>
      <c r="P181" s="174"/>
      <c r="Q181" s="177">
        <f t="shared" si="71"/>
        <v>4.4814204873702632</v>
      </c>
      <c r="R181" s="178"/>
      <c r="S181" s="178">
        <f t="shared" si="77"/>
        <v>8.6379379894061831E-2</v>
      </c>
      <c r="T181" s="178">
        <f t="shared" si="78"/>
        <v>4.5677998672643252</v>
      </c>
      <c r="V181" s="178">
        <f t="shared" si="79"/>
        <v>107.61779986726432</v>
      </c>
      <c r="W181" s="181">
        <f t="shared" si="80"/>
        <v>0</v>
      </c>
      <c r="X181" s="181">
        <f t="shared" si="81"/>
        <v>0</v>
      </c>
      <c r="Y181" s="182">
        <f t="shared" si="72"/>
        <v>0</v>
      </c>
      <c r="Z181" s="174"/>
      <c r="AA181" s="181">
        <f t="shared" si="82"/>
        <v>0</v>
      </c>
      <c r="AB181" s="210">
        <f t="shared" si="73"/>
        <v>4.4326054024884209E-2</v>
      </c>
    </row>
    <row r="182" spans="1:28" ht="12">
      <c r="A182" s="41" t="s">
        <v>86</v>
      </c>
      <c r="B182" s="193"/>
      <c r="C182" s="195">
        <f>B182*4.3333*4</f>
        <v>0</v>
      </c>
      <c r="D182" s="196">
        <v>6</v>
      </c>
      <c r="E182" s="156">
        <f t="shared" si="66"/>
        <v>0</v>
      </c>
      <c r="F182" s="202">
        <f t="shared" si="76"/>
        <v>0</v>
      </c>
      <c r="G182" s="162">
        <v>52</v>
      </c>
      <c r="I182" s="203">
        <v>103.05</v>
      </c>
      <c r="J182" s="150">
        <f t="shared" si="84"/>
        <v>0</v>
      </c>
      <c r="K182" s="150">
        <f t="shared" si="87"/>
        <v>0</v>
      </c>
      <c r="L182" s="205">
        <f t="shared" si="85"/>
        <v>870</v>
      </c>
      <c r="M182" s="167">
        <f t="shared" si="74"/>
        <v>621.55623957978673</v>
      </c>
      <c r="N182" s="208">
        <f t="shared" si="86"/>
        <v>0</v>
      </c>
      <c r="O182" s="173">
        <f t="shared" si="75"/>
        <v>0</v>
      </c>
      <c r="P182" s="174"/>
      <c r="Q182" s="177">
        <f t="shared" si="71"/>
        <v>4.4814204873702632</v>
      </c>
      <c r="R182" s="178"/>
      <c r="S182" s="178">
        <f t="shared" si="77"/>
        <v>8.6379379894061831E-2</v>
      </c>
      <c r="T182" s="178">
        <f t="shared" si="78"/>
        <v>4.5677998672643252</v>
      </c>
      <c r="V182" s="178">
        <f t="shared" si="79"/>
        <v>107.61779986726432</v>
      </c>
      <c r="W182" s="181">
        <f t="shared" si="80"/>
        <v>0</v>
      </c>
      <c r="X182" s="181">
        <f t="shared" si="81"/>
        <v>0</v>
      </c>
      <c r="Y182" s="182">
        <f t="shared" si="72"/>
        <v>0</v>
      </c>
      <c r="Z182" s="174"/>
      <c r="AA182" s="181">
        <f t="shared" si="82"/>
        <v>0</v>
      </c>
      <c r="AB182" s="210">
        <f t="shared" si="73"/>
        <v>4.4326054024884209E-2</v>
      </c>
    </row>
    <row r="183" spans="1:28" ht="12">
      <c r="A183" s="41" t="s">
        <v>87</v>
      </c>
      <c r="B183" s="193">
        <v>1</v>
      </c>
      <c r="C183" s="195">
        <f>+B183*1</f>
        <v>1</v>
      </c>
      <c r="D183" s="196">
        <v>8</v>
      </c>
      <c r="E183" s="156">
        <f t="shared" si="66"/>
        <v>8</v>
      </c>
      <c r="F183" s="202">
        <f t="shared" si="76"/>
        <v>1</v>
      </c>
      <c r="G183" s="162">
        <v>52</v>
      </c>
      <c r="I183" s="203">
        <v>134.97</v>
      </c>
      <c r="J183" s="150">
        <f t="shared" si="84"/>
        <v>134.97</v>
      </c>
      <c r="K183" s="150">
        <f t="shared" si="87"/>
        <v>1619.6399999999999</v>
      </c>
      <c r="L183" s="205">
        <f t="shared" si="85"/>
        <v>1160</v>
      </c>
      <c r="M183" s="167">
        <f t="shared" si="74"/>
        <v>828.74165277304894</v>
      </c>
      <c r="N183" s="208">
        <f t="shared" si="86"/>
        <v>6.96</v>
      </c>
      <c r="O183" s="173">
        <f t="shared" si="75"/>
        <v>4.9724499166382943</v>
      </c>
      <c r="P183" s="174"/>
      <c r="Q183" s="177">
        <f t="shared" si="71"/>
        <v>5.975227316493684</v>
      </c>
      <c r="R183" s="179"/>
      <c r="S183" s="178">
        <f t="shared" si="77"/>
        <v>0.11517250652541576</v>
      </c>
      <c r="T183" s="178">
        <f t="shared" si="78"/>
        <v>6.0903998230190997</v>
      </c>
      <c r="V183" s="178">
        <f t="shared" si="79"/>
        <v>141.06039982301911</v>
      </c>
      <c r="W183" s="181">
        <f t="shared" si="80"/>
        <v>141.06039982301911</v>
      </c>
      <c r="X183" s="181">
        <f t="shared" si="81"/>
        <v>6.0903998230191121</v>
      </c>
      <c r="Y183" s="182">
        <f t="shared" si="72"/>
        <v>73.084797876229345</v>
      </c>
      <c r="Z183" s="174"/>
      <c r="AA183" s="181">
        <f t="shared" si="82"/>
        <v>71.702727797924211</v>
      </c>
      <c r="AB183" s="210">
        <f t="shared" si="73"/>
        <v>4.5124100340958151E-2</v>
      </c>
    </row>
    <row r="184" spans="1:28" ht="12">
      <c r="A184" s="41" t="s">
        <v>88</v>
      </c>
      <c r="B184" s="193">
        <v>2</v>
      </c>
      <c r="C184" s="195">
        <f>B184*4.3333</f>
        <v>8.6666000000000007</v>
      </c>
      <c r="D184" s="196">
        <v>8</v>
      </c>
      <c r="E184" s="156">
        <f t="shared" si="66"/>
        <v>69.332800000000006</v>
      </c>
      <c r="F184" s="202">
        <f t="shared" si="76"/>
        <v>2</v>
      </c>
      <c r="G184" s="162">
        <v>52</v>
      </c>
      <c r="I184" s="203">
        <v>134.97</v>
      </c>
      <c r="J184" s="150">
        <f t="shared" si="84"/>
        <v>1169.731002</v>
      </c>
      <c r="K184" s="150">
        <f t="shared" si="87"/>
        <v>14036.772024</v>
      </c>
      <c r="L184" s="205">
        <f t="shared" si="85"/>
        <v>1160</v>
      </c>
      <c r="M184" s="167">
        <f t="shared" si="74"/>
        <v>828.74165277304894</v>
      </c>
      <c r="N184" s="208">
        <f t="shared" si="86"/>
        <v>60.32</v>
      </c>
      <c r="O184" s="173">
        <f t="shared" si="75"/>
        <v>43.09456594419855</v>
      </c>
      <c r="P184" s="174"/>
      <c r="Q184" s="177">
        <f t="shared" si="71"/>
        <v>5.975227316493684</v>
      </c>
      <c r="R184" s="178"/>
      <c r="S184" s="178">
        <f t="shared" si="77"/>
        <v>0.11517250652541576</v>
      </c>
      <c r="T184" s="178">
        <f t="shared" si="78"/>
        <v>6.0903998230190997</v>
      </c>
      <c r="V184" s="178">
        <f t="shared" si="79"/>
        <v>141.06039982301911</v>
      </c>
      <c r="W184" s="181">
        <f>C184*V184</f>
        <v>1222.5140611061775</v>
      </c>
      <c r="X184" s="181">
        <f t="shared" si="81"/>
        <v>52.783059106177461</v>
      </c>
      <c r="Y184" s="182">
        <f t="shared" si="72"/>
        <v>633.39670927412953</v>
      </c>
      <c r="Z184" s="174"/>
      <c r="AA184" s="181">
        <f t="shared" si="82"/>
        <v>621.42364091534319</v>
      </c>
      <c r="AB184" s="210">
        <f t="shared" si="73"/>
        <v>4.5124100340958151E-2</v>
      </c>
    </row>
    <row r="185" spans="1:28" ht="12">
      <c r="A185" s="41" t="s">
        <v>89</v>
      </c>
      <c r="B185" s="193">
        <v>5</v>
      </c>
      <c r="C185" s="195">
        <f>B185*4.3333*2</f>
        <v>43.333000000000006</v>
      </c>
      <c r="D185" s="196">
        <v>8</v>
      </c>
      <c r="E185" s="156">
        <f t="shared" si="66"/>
        <v>346.66400000000004</v>
      </c>
      <c r="F185" s="202">
        <f t="shared" si="76"/>
        <v>5</v>
      </c>
      <c r="G185" s="162">
        <v>52</v>
      </c>
      <c r="I185" s="203">
        <v>134.97</v>
      </c>
      <c r="J185" s="150">
        <f t="shared" si="84"/>
        <v>5848.6550100000004</v>
      </c>
      <c r="K185" s="150">
        <f t="shared" si="87"/>
        <v>70183.860119999998</v>
      </c>
      <c r="L185" s="205">
        <f t="shared" si="85"/>
        <v>1160</v>
      </c>
      <c r="M185" s="167">
        <f t="shared" si="74"/>
        <v>828.74165277304894</v>
      </c>
      <c r="N185" s="208">
        <f t="shared" si="86"/>
        <v>301.60000000000002</v>
      </c>
      <c r="O185" s="173">
        <f t="shared" si="75"/>
        <v>215.47282972099276</v>
      </c>
      <c r="P185" s="174"/>
      <c r="Q185" s="177">
        <f t="shared" si="71"/>
        <v>5.975227316493684</v>
      </c>
      <c r="R185" s="178"/>
      <c r="S185" s="178">
        <f t="shared" si="77"/>
        <v>0.11517250652541576</v>
      </c>
      <c r="T185" s="178">
        <f t="shared" si="78"/>
        <v>6.0903998230190997</v>
      </c>
      <c r="V185" s="178">
        <f t="shared" si="79"/>
        <v>141.06039982301911</v>
      </c>
      <c r="W185" s="181">
        <f t="shared" si="80"/>
        <v>6112.5703055308877</v>
      </c>
      <c r="X185" s="181">
        <f t="shared" si="81"/>
        <v>263.91529553088731</v>
      </c>
      <c r="Y185" s="182">
        <f t="shared" si="72"/>
        <v>3166.9835463706477</v>
      </c>
      <c r="Z185" s="174"/>
      <c r="AA185" s="181">
        <f t="shared" si="82"/>
        <v>3107.1182045767159</v>
      </c>
      <c r="AB185" s="210">
        <f t="shared" si="73"/>
        <v>4.5124100340958151E-2</v>
      </c>
    </row>
    <row r="186" spans="1:28" ht="12">
      <c r="A186" s="41" t="s">
        <v>90</v>
      </c>
      <c r="B186" s="193"/>
      <c r="C186" s="195">
        <f>B186*4.3333*3</f>
        <v>0</v>
      </c>
      <c r="D186" s="196">
        <v>8</v>
      </c>
      <c r="E186" s="156">
        <f t="shared" si="66"/>
        <v>0</v>
      </c>
      <c r="F186" s="202">
        <f t="shared" si="76"/>
        <v>0</v>
      </c>
      <c r="G186" s="162">
        <v>52</v>
      </c>
      <c r="I186" s="203">
        <v>134.97</v>
      </c>
      <c r="J186" s="150">
        <f t="shared" si="84"/>
        <v>0</v>
      </c>
      <c r="K186" s="150">
        <f t="shared" si="87"/>
        <v>0</v>
      </c>
      <c r="L186" s="205">
        <f t="shared" si="85"/>
        <v>1160</v>
      </c>
      <c r="M186" s="167">
        <f t="shared" si="74"/>
        <v>828.74165277304894</v>
      </c>
      <c r="N186" s="208">
        <f t="shared" si="86"/>
        <v>0</v>
      </c>
      <c r="O186" s="173">
        <f t="shared" si="75"/>
        <v>0</v>
      </c>
      <c r="P186" s="174"/>
      <c r="Q186" s="177">
        <f t="shared" si="71"/>
        <v>5.975227316493684</v>
      </c>
      <c r="R186" s="178"/>
      <c r="S186" s="178">
        <f t="shared" si="77"/>
        <v>0.11517250652541576</v>
      </c>
      <c r="T186" s="178">
        <f t="shared" si="78"/>
        <v>6.0903998230190997</v>
      </c>
      <c r="V186" s="178">
        <f t="shared" si="79"/>
        <v>141.06039982301911</v>
      </c>
      <c r="W186" s="181">
        <f t="shared" si="80"/>
        <v>0</v>
      </c>
      <c r="X186" s="181">
        <f t="shared" si="81"/>
        <v>0</v>
      </c>
      <c r="Y186" s="182">
        <f t="shared" si="72"/>
        <v>0</v>
      </c>
      <c r="Z186" s="174"/>
      <c r="AA186" s="181">
        <f t="shared" si="82"/>
        <v>0</v>
      </c>
      <c r="AB186" s="210">
        <f t="shared" si="73"/>
        <v>4.5124100340958151E-2</v>
      </c>
    </row>
    <row r="187" spans="1:28" ht="12">
      <c r="A187" s="41" t="s">
        <v>91</v>
      </c>
      <c r="B187" s="193"/>
      <c r="C187" s="195">
        <f>B187*4.3333*4</f>
        <v>0</v>
      </c>
      <c r="D187" s="196">
        <v>8</v>
      </c>
      <c r="E187" s="156">
        <f t="shared" si="66"/>
        <v>0</v>
      </c>
      <c r="F187" s="202">
        <f t="shared" si="76"/>
        <v>0</v>
      </c>
      <c r="G187" s="162">
        <v>52</v>
      </c>
      <c r="I187" s="203">
        <v>134.97</v>
      </c>
      <c r="J187" s="150">
        <f t="shared" si="84"/>
        <v>0</v>
      </c>
      <c r="K187" s="150">
        <f t="shared" si="87"/>
        <v>0</v>
      </c>
      <c r="L187" s="205">
        <f t="shared" si="85"/>
        <v>1160</v>
      </c>
      <c r="M187" s="167">
        <f t="shared" si="74"/>
        <v>828.74165277304894</v>
      </c>
      <c r="N187" s="208">
        <f t="shared" si="86"/>
        <v>0</v>
      </c>
      <c r="O187" s="173">
        <f t="shared" si="75"/>
        <v>0</v>
      </c>
      <c r="P187" s="174"/>
      <c r="Q187" s="177">
        <f t="shared" si="71"/>
        <v>5.975227316493684</v>
      </c>
      <c r="R187" s="178"/>
      <c r="S187" s="178">
        <f t="shared" si="77"/>
        <v>0.11517250652541576</v>
      </c>
      <c r="T187" s="178">
        <f t="shared" si="78"/>
        <v>6.0903998230190997</v>
      </c>
      <c r="V187" s="178">
        <f t="shared" si="79"/>
        <v>141.06039982301911</v>
      </c>
      <c r="W187" s="181">
        <f t="shared" si="80"/>
        <v>0</v>
      </c>
      <c r="X187" s="181">
        <f t="shared" si="81"/>
        <v>0</v>
      </c>
      <c r="Y187" s="182">
        <f t="shared" si="72"/>
        <v>0</v>
      </c>
      <c r="Z187" s="174"/>
      <c r="AA187" s="181">
        <f t="shared" si="82"/>
        <v>0</v>
      </c>
      <c r="AB187" s="210">
        <f t="shared" si="73"/>
        <v>4.5124100340958151E-2</v>
      </c>
    </row>
    <row r="188" spans="1:28" ht="12">
      <c r="A188" s="41" t="s">
        <v>92</v>
      </c>
      <c r="B188" s="193"/>
      <c r="C188" s="195">
        <f>B188*4.3333*5</f>
        <v>0</v>
      </c>
      <c r="D188" s="196">
        <v>8</v>
      </c>
      <c r="E188" s="156">
        <f t="shared" si="66"/>
        <v>0</v>
      </c>
      <c r="F188" s="202">
        <f t="shared" si="76"/>
        <v>0</v>
      </c>
      <c r="G188" s="162">
        <v>52</v>
      </c>
      <c r="I188" s="203">
        <v>134.97</v>
      </c>
      <c r="J188" s="150">
        <f t="shared" si="84"/>
        <v>0</v>
      </c>
      <c r="K188" s="150">
        <f t="shared" si="87"/>
        <v>0</v>
      </c>
      <c r="L188" s="205">
        <f t="shared" si="85"/>
        <v>1160</v>
      </c>
      <c r="M188" s="167">
        <f t="shared" si="74"/>
        <v>828.74165277304894</v>
      </c>
      <c r="N188" s="208">
        <f t="shared" si="86"/>
        <v>0</v>
      </c>
      <c r="O188" s="173">
        <f t="shared" si="75"/>
        <v>0</v>
      </c>
      <c r="P188" s="174"/>
      <c r="Q188" s="177">
        <f t="shared" si="71"/>
        <v>5.975227316493684</v>
      </c>
      <c r="R188" s="178"/>
      <c r="S188" s="178">
        <f t="shared" si="77"/>
        <v>0.11517250652541576</v>
      </c>
      <c r="T188" s="178">
        <f t="shared" si="78"/>
        <v>6.0903998230190997</v>
      </c>
      <c r="V188" s="178">
        <f t="shared" si="79"/>
        <v>141.06039982301911</v>
      </c>
      <c r="W188" s="181">
        <f t="shared" si="80"/>
        <v>0</v>
      </c>
      <c r="X188" s="181">
        <f t="shared" si="81"/>
        <v>0</v>
      </c>
      <c r="Y188" s="182">
        <f t="shared" si="72"/>
        <v>0</v>
      </c>
      <c r="Z188" s="174"/>
      <c r="AA188" s="181">
        <f t="shared" si="82"/>
        <v>0</v>
      </c>
      <c r="AB188" s="210">
        <f t="shared" si="73"/>
        <v>4.5124100340958151E-2</v>
      </c>
    </row>
    <row r="189" spans="1:28" ht="12">
      <c r="A189" s="27" t="s">
        <v>52</v>
      </c>
      <c r="B189" s="213"/>
      <c r="C189" s="195">
        <f>B189</f>
        <v>0</v>
      </c>
      <c r="D189" s="196">
        <v>1</v>
      </c>
      <c r="E189" s="197">
        <f t="shared" si="66"/>
        <v>0</v>
      </c>
      <c r="F189" s="201">
        <f t="shared" si="76"/>
        <v>0</v>
      </c>
      <c r="G189" s="162">
        <v>12</v>
      </c>
      <c r="I189" s="203">
        <v>3.84</v>
      </c>
      <c r="J189" s="150">
        <f>F189*I189</f>
        <v>0</v>
      </c>
      <c r="K189" s="150">
        <f t="shared" si="87"/>
        <v>0</v>
      </c>
      <c r="L189" s="205">
        <f t="shared" si="85"/>
        <v>145</v>
      </c>
      <c r="M189" s="167">
        <f t="shared" si="74"/>
        <v>103.59270659663112</v>
      </c>
      <c r="N189" s="208">
        <f t="shared" si="86"/>
        <v>0</v>
      </c>
      <c r="O189" s="173">
        <f t="shared" si="75"/>
        <v>0</v>
      </c>
      <c r="P189" s="174"/>
      <c r="Q189" s="177">
        <f t="shared" si="71"/>
        <v>0.7469034145617105</v>
      </c>
      <c r="R189" s="178"/>
      <c r="S189" s="178">
        <f t="shared" si="77"/>
        <v>1.439656331567697E-2</v>
      </c>
      <c r="T189" s="178">
        <f t="shared" si="78"/>
        <v>0.76129997787738746</v>
      </c>
      <c r="V189" s="178">
        <f t="shared" si="79"/>
        <v>4.6012999778773871</v>
      </c>
      <c r="W189" s="181">
        <f>C189*V189</f>
        <v>0</v>
      </c>
      <c r="X189" s="181">
        <f>W189-J189</f>
        <v>0</v>
      </c>
      <c r="Y189" s="182">
        <f>X189*12</f>
        <v>0</v>
      </c>
      <c r="Z189" s="174"/>
      <c r="AA189" s="181">
        <f>O189*$R$11</f>
        <v>0</v>
      </c>
      <c r="AB189" s="174"/>
    </row>
    <row r="190" spans="1:28" ht="12">
      <c r="A190" s="41" t="s">
        <v>93</v>
      </c>
      <c r="B190" s="193"/>
      <c r="C190" s="195">
        <f t="shared" ref="C190:C198" si="88">B190</f>
        <v>0</v>
      </c>
      <c r="D190" s="196"/>
      <c r="E190" s="156">
        <f t="shared" si="66"/>
        <v>0</v>
      </c>
      <c r="F190" s="202">
        <f t="shared" si="76"/>
        <v>0</v>
      </c>
      <c r="G190" s="162">
        <v>12</v>
      </c>
      <c r="I190" s="234">
        <v>1.21</v>
      </c>
      <c r="J190" s="150">
        <f t="shared" ref="J190:J198" si="89">+C190*I190</f>
        <v>0</v>
      </c>
      <c r="K190" s="150">
        <f t="shared" si="87"/>
        <v>0</v>
      </c>
      <c r="L190" s="205">
        <f t="shared" si="85"/>
        <v>0</v>
      </c>
      <c r="M190" s="167">
        <f t="shared" si="74"/>
        <v>0</v>
      </c>
      <c r="N190" s="208">
        <f t="shared" si="86"/>
        <v>0</v>
      </c>
      <c r="O190" s="173">
        <f t="shared" si="75"/>
        <v>0</v>
      </c>
      <c r="P190" s="174"/>
      <c r="Q190" s="174"/>
      <c r="R190" s="174"/>
      <c r="S190" s="174"/>
      <c r="T190" s="174"/>
      <c r="V190" s="174"/>
      <c r="W190" s="174"/>
      <c r="X190" s="174"/>
      <c r="Y190" s="174"/>
      <c r="Z190" s="174"/>
      <c r="AA190" s="174"/>
      <c r="AB190" s="174"/>
    </row>
    <row r="191" spans="1:28" ht="12">
      <c r="A191" s="41" t="s">
        <v>94</v>
      </c>
      <c r="B191" s="193"/>
      <c r="C191" s="195">
        <f t="shared" si="88"/>
        <v>0</v>
      </c>
      <c r="D191" s="196"/>
      <c r="E191" s="156">
        <f t="shared" si="66"/>
        <v>0</v>
      </c>
      <c r="F191" s="202">
        <f t="shared" si="76"/>
        <v>0</v>
      </c>
      <c r="G191" s="162">
        <v>12</v>
      </c>
      <c r="I191" s="234">
        <v>1.86</v>
      </c>
      <c r="J191" s="150">
        <f t="shared" si="89"/>
        <v>0</v>
      </c>
      <c r="K191" s="150">
        <f t="shared" si="87"/>
        <v>0</v>
      </c>
      <c r="L191" s="205">
        <f t="shared" si="85"/>
        <v>0</v>
      </c>
      <c r="M191" s="167">
        <f t="shared" si="74"/>
        <v>0</v>
      </c>
      <c r="N191" s="208">
        <f t="shared" si="86"/>
        <v>0</v>
      </c>
      <c r="O191" s="173">
        <f t="shared" si="75"/>
        <v>0</v>
      </c>
      <c r="P191" s="174"/>
      <c r="Q191" s="174"/>
      <c r="R191" s="174"/>
      <c r="S191" s="174"/>
      <c r="T191" s="174"/>
      <c r="V191" s="174"/>
      <c r="W191" s="174"/>
      <c r="X191" s="174"/>
      <c r="Y191" s="174"/>
      <c r="Z191" s="174"/>
      <c r="AA191" s="174"/>
      <c r="AB191" s="174"/>
    </row>
    <row r="192" spans="1:28" ht="12">
      <c r="A192" s="41" t="s">
        <v>95</v>
      </c>
      <c r="B192" s="252"/>
      <c r="C192" s="195">
        <f t="shared" si="88"/>
        <v>0</v>
      </c>
      <c r="D192" s="196"/>
      <c r="E192" s="156">
        <f t="shared" si="66"/>
        <v>0</v>
      </c>
      <c r="F192" s="202">
        <f t="shared" si="76"/>
        <v>0</v>
      </c>
      <c r="G192" s="162">
        <v>12</v>
      </c>
      <c r="I192" s="234">
        <v>1.86</v>
      </c>
      <c r="J192" s="150">
        <f t="shared" si="89"/>
        <v>0</v>
      </c>
      <c r="K192" s="150">
        <f t="shared" si="87"/>
        <v>0</v>
      </c>
      <c r="L192" s="205">
        <f t="shared" si="85"/>
        <v>0</v>
      </c>
      <c r="M192" s="167">
        <f t="shared" si="74"/>
        <v>0</v>
      </c>
      <c r="N192" s="208">
        <f t="shared" si="86"/>
        <v>0</v>
      </c>
      <c r="O192" s="173">
        <f t="shared" si="75"/>
        <v>0</v>
      </c>
      <c r="P192" s="174"/>
      <c r="Q192" s="174"/>
      <c r="R192" s="174"/>
      <c r="S192" s="174"/>
      <c r="T192" s="174"/>
      <c r="V192" s="174"/>
      <c r="W192" s="174"/>
      <c r="X192" s="174"/>
      <c r="Y192" s="174"/>
      <c r="Z192" s="174"/>
      <c r="AA192" s="174"/>
      <c r="AB192" s="174"/>
    </row>
    <row r="193" spans="1:28" ht="12">
      <c r="A193" s="41" t="s">
        <v>96</v>
      </c>
      <c r="B193" s="252"/>
      <c r="C193" s="195">
        <f t="shared" si="88"/>
        <v>0</v>
      </c>
      <c r="D193" s="196"/>
      <c r="E193" s="156">
        <f t="shared" si="66"/>
        <v>0</v>
      </c>
      <c r="F193" s="202">
        <f t="shared" si="76"/>
        <v>0</v>
      </c>
      <c r="G193" s="162">
        <v>12</v>
      </c>
      <c r="I193" s="234">
        <v>7.1</v>
      </c>
      <c r="J193" s="150">
        <f t="shared" si="89"/>
        <v>0</v>
      </c>
      <c r="K193" s="150">
        <f t="shared" si="87"/>
        <v>0</v>
      </c>
      <c r="L193" s="205">
        <f t="shared" si="85"/>
        <v>0</v>
      </c>
      <c r="M193" s="167">
        <f t="shared" si="74"/>
        <v>0</v>
      </c>
      <c r="N193" s="208">
        <f t="shared" si="86"/>
        <v>0</v>
      </c>
      <c r="O193" s="173">
        <f t="shared" si="75"/>
        <v>0</v>
      </c>
      <c r="P193" s="174"/>
      <c r="Q193" s="174"/>
      <c r="R193" s="174"/>
      <c r="S193" s="174"/>
      <c r="T193" s="174"/>
      <c r="V193" s="174"/>
      <c r="W193" s="174"/>
      <c r="X193" s="174"/>
      <c r="Y193" s="174"/>
      <c r="Z193" s="174"/>
      <c r="AA193" s="174"/>
      <c r="AB193" s="174"/>
    </row>
    <row r="194" spans="1:28" ht="12">
      <c r="A194" s="41" t="s">
        <v>197</v>
      </c>
      <c r="B194" s="193"/>
      <c r="C194" s="195">
        <f t="shared" si="88"/>
        <v>0</v>
      </c>
      <c r="D194" s="196"/>
      <c r="E194" s="156">
        <f t="shared" si="66"/>
        <v>0</v>
      </c>
      <c r="F194" s="202">
        <f t="shared" si="76"/>
        <v>0</v>
      </c>
      <c r="G194" s="162">
        <v>12</v>
      </c>
      <c r="I194" s="234">
        <v>8.1999999999999993</v>
      </c>
      <c r="J194" s="150">
        <f t="shared" si="89"/>
        <v>0</v>
      </c>
      <c r="K194" s="150">
        <f t="shared" si="87"/>
        <v>0</v>
      </c>
      <c r="L194" s="205">
        <f t="shared" si="85"/>
        <v>0</v>
      </c>
      <c r="M194" s="167">
        <f t="shared" si="74"/>
        <v>0</v>
      </c>
      <c r="N194" s="208">
        <f t="shared" si="86"/>
        <v>0</v>
      </c>
      <c r="O194" s="173">
        <f t="shared" si="75"/>
        <v>0</v>
      </c>
      <c r="P194" s="174"/>
      <c r="Q194" s="174"/>
      <c r="R194" s="174"/>
      <c r="S194" s="174"/>
      <c r="T194" s="174"/>
      <c r="V194" s="174"/>
      <c r="W194" s="174"/>
      <c r="X194" s="174"/>
      <c r="Y194" s="174"/>
      <c r="Z194" s="174"/>
      <c r="AA194" s="174"/>
      <c r="AB194" s="174"/>
    </row>
    <row r="195" spans="1:28" ht="12">
      <c r="A195" s="41" t="s">
        <v>97</v>
      </c>
      <c r="B195" s="252"/>
      <c r="C195" s="195">
        <f t="shared" si="88"/>
        <v>0</v>
      </c>
      <c r="D195" s="196"/>
      <c r="E195" s="156">
        <f t="shared" si="66"/>
        <v>0</v>
      </c>
      <c r="F195" s="202">
        <f t="shared" si="76"/>
        <v>0</v>
      </c>
      <c r="G195" s="162">
        <v>12</v>
      </c>
      <c r="I195" s="234">
        <v>11.48</v>
      </c>
      <c r="J195" s="150">
        <f t="shared" si="89"/>
        <v>0</v>
      </c>
      <c r="K195" s="150">
        <f t="shared" si="87"/>
        <v>0</v>
      </c>
      <c r="L195" s="205">
        <f t="shared" si="85"/>
        <v>0</v>
      </c>
      <c r="M195" s="167">
        <f t="shared" si="74"/>
        <v>0</v>
      </c>
      <c r="N195" s="208">
        <f t="shared" si="86"/>
        <v>0</v>
      </c>
      <c r="O195" s="173">
        <f t="shared" si="75"/>
        <v>0</v>
      </c>
      <c r="P195" s="174"/>
      <c r="Q195" s="174"/>
      <c r="R195" s="174"/>
      <c r="S195" s="174"/>
      <c r="T195" s="174"/>
      <c r="V195" s="174"/>
      <c r="W195" s="174"/>
      <c r="X195" s="174"/>
      <c r="Y195" s="174"/>
      <c r="Z195" s="174"/>
      <c r="AA195" s="174"/>
      <c r="AB195" s="174"/>
    </row>
    <row r="196" spans="1:28" ht="12">
      <c r="A196" s="41" t="s">
        <v>98</v>
      </c>
      <c r="B196" s="193"/>
      <c r="C196" s="195">
        <f t="shared" si="88"/>
        <v>0</v>
      </c>
      <c r="D196" s="196"/>
      <c r="E196" s="156">
        <f t="shared" si="66"/>
        <v>0</v>
      </c>
      <c r="F196" s="202">
        <f t="shared" si="76"/>
        <v>0</v>
      </c>
      <c r="G196" s="162">
        <v>12</v>
      </c>
      <c r="I196" s="234">
        <v>14.21</v>
      </c>
      <c r="J196" s="150">
        <f t="shared" si="89"/>
        <v>0</v>
      </c>
      <c r="K196" s="150">
        <f t="shared" si="87"/>
        <v>0</v>
      </c>
      <c r="L196" s="205">
        <f t="shared" si="85"/>
        <v>0</v>
      </c>
      <c r="M196" s="167">
        <f t="shared" si="74"/>
        <v>0</v>
      </c>
      <c r="N196" s="208">
        <f t="shared" si="86"/>
        <v>0</v>
      </c>
      <c r="O196" s="173">
        <f t="shared" si="75"/>
        <v>0</v>
      </c>
      <c r="P196" s="174"/>
      <c r="Q196" s="174"/>
      <c r="R196" s="174"/>
      <c r="S196" s="174"/>
      <c r="T196" s="174"/>
      <c r="V196" s="174"/>
      <c r="W196" s="174"/>
      <c r="X196" s="174"/>
      <c r="Y196" s="174"/>
      <c r="Z196" s="174"/>
      <c r="AA196" s="174"/>
      <c r="AB196" s="174"/>
    </row>
    <row r="197" spans="1:28" ht="12">
      <c r="A197" s="41" t="s">
        <v>99</v>
      </c>
      <c r="B197" s="214"/>
      <c r="C197" s="195">
        <f t="shared" si="88"/>
        <v>0</v>
      </c>
      <c r="D197" s="196"/>
      <c r="E197" s="156">
        <f t="shared" si="66"/>
        <v>0</v>
      </c>
      <c r="F197" s="202">
        <f t="shared" si="76"/>
        <v>0</v>
      </c>
      <c r="G197" s="162">
        <v>12</v>
      </c>
      <c r="I197" s="234">
        <v>16.12</v>
      </c>
      <c r="J197" s="150">
        <f t="shared" si="89"/>
        <v>0</v>
      </c>
      <c r="K197" s="150">
        <f t="shared" si="87"/>
        <v>0</v>
      </c>
      <c r="L197" s="205">
        <f t="shared" si="85"/>
        <v>0</v>
      </c>
      <c r="M197" s="167">
        <f t="shared" si="74"/>
        <v>0</v>
      </c>
      <c r="N197" s="208">
        <f t="shared" si="86"/>
        <v>0</v>
      </c>
      <c r="O197" s="173">
        <f t="shared" si="75"/>
        <v>0</v>
      </c>
      <c r="P197" s="174"/>
      <c r="Q197" s="174"/>
      <c r="R197" s="174"/>
      <c r="S197" s="174"/>
      <c r="T197" s="174"/>
      <c r="V197" s="174"/>
      <c r="W197" s="174"/>
      <c r="X197" s="174"/>
      <c r="Y197" s="174"/>
      <c r="Z197" s="174"/>
      <c r="AA197" s="174"/>
      <c r="AB197" s="174"/>
    </row>
    <row r="198" spans="1:28" ht="12">
      <c r="A198" s="41" t="s">
        <v>100</v>
      </c>
      <c r="B198" s="214"/>
      <c r="C198" s="195">
        <f t="shared" si="88"/>
        <v>0</v>
      </c>
      <c r="D198" s="196"/>
      <c r="E198" s="156">
        <f t="shared" si="66"/>
        <v>0</v>
      </c>
      <c r="F198" s="215"/>
      <c r="G198" s="162">
        <v>12</v>
      </c>
      <c r="I198" s="203">
        <v>24.05</v>
      </c>
      <c r="J198" s="150">
        <f t="shared" si="89"/>
        <v>0</v>
      </c>
      <c r="K198" s="150">
        <f t="shared" si="87"/>
        <v>0</v>
      </c>
      <c r="L198" s="211"/>
      <c r="M198" s="167">
        <f t="shared" si="74"/>
        <v>0</v>
      </c>
      <c r="N198" s="150"/>
      <c r="O198" s="173">
        <f t="shared" si="75"/>
        <v>0</v>
      </c>
      <c r="P198" s="174"/>
      <c r="Q198" s="174"/>
      <c r="R198" s="174"/>
      <c r="S198" s="174"/>
      <c r="T198" s="174"/>
      <c r="V198" s="174"/>
      <c r="W198" s="174"/>
      <c r="X198" s="174"/>
      <c r="Y198" s="174"/>
      <c r="Z198" s="174"/>
      <c r="AA198" s="174"/>
      <c r="AB198" s="174"/>
    </row>
    <row r="199" spans="1:28">
      <c r="A199" s="47" t="s">
        <v>101</v>
      </c>
      <c r="B199" s="191"/>
      <c r="C199" s="218"/>
      <c r="D199" s="161"/>
      <c r="E199" s="171"/>
      <c r="F199" s="223"/>
      <c r="G199" s="162">
        <v>12</v>
      </c>
      <c r="I199" s="203">
        <v>27.33</v>
      </c>
      <c r="J199" s="150"/>
      <c r="K199" s="150"/>
      <c r="L199" s="211"/>
      <c r="M199" s="167">
        <f t="shared" si="74"/>
        <v>0</v>
      </c>
      <c r="N199" s="150"/>
      <c r="O199" s="150"/>
      <c r="P199" s="174"/>
      <c r="Q199" s="174"/>
      <c r="R199" s="174"/>
      <c r="S199" s="174"/>
      <c r="T199" s="174"/>
      <c r="V199" s="174"/>
      <c r="W199" s="174"/>
      <c r="X199" s="174"/>
      <c r="Y199" s="174"/>
      <c r="Z199" s="174"/>
      <c r="AA199" s="174"/>
      <c r="AB199" s="174"/>
    </row>
    <row r="200" spans="1:28">
      <c r="A200" s="44" t="s">
        <v>167</v>
      </c>
      <c r="B200" s="192"/>
      <c r="C200" s="217"/>
      <c r="D200" s="227"/>
      <c r="E200" s="157">
        <f>SUM(E138:E199)</f>
        <v>2157.0914683999999</v>
      </c>
      <c r="F200" s="200"/>
      <c r="G200" s="216"/>
      <c r="I200" s="228"/>
      <c r="J200" s="150">
        <f>SUM(J138:J198)</f>
        <v>38282.829886</v>
      </c>
      <c r="K200" s="150">
        <f>SUM(K138:K198)</f>
        <v>459393.95863200014</v>
      </c>
      <c r="L200" s="150"/>
      <c r="M200" s="167">
        <f t="shared" si="74"/>
        <v>0</v>
      </c>
      <c r="N200" s="150">
        <f>SUM(N138:N198)</f>
        <v>1876.6799999999998</v>
      </c>
      <c r="O200" s="150">
        <f>SUM(O138:O198)</f>
        <v>1340.7611076949356</v>
      </c>
      <c r="P200" s="174"/>
      <c r="Q200" s="174"/>
      <c r="R200" s="174"/>
      <c r="S200" s="174"/>
      <c r="T200" s="174"/>
      <c r="V200" s="174"/>
      <c r="W200" s="181">
        <f>SUM(W138:W199)</f>
        <v>39925.023573172424</v>
      </c>
      <c r="X200" s="181">
        <f>SUM(X138:X199)</f>
        <v>1642.1936871724226</v>
      </c>
      <c r="Y200" s="181">
        <f>SUM(Y138:Y199)</f>
        <v>19706.324246069071</v>
      </c>
      <c r="Z200" s="174"/>
      <c r="AA200" s="182">
        <f>SUM(AA138:AA199)</f>
        <v>19333.775172960977</v>
      </c>
      <c r="AB200" s="174"/>
    </row>
    <row r="201" spans="1:28">
      <c r="A201" s="142"/>
      <c r="B201" s="222"/>
      <c r="C201" s="226"/>
      <c r="D201" s="222"/>
      <c r="E201" s="225"/>
      <c r="F201" s="224"/>
      <c r="G201" s="222"/>
      <c r="H201" s="142"/>
      <c r="I201" s="222"/>
      <c r="J201" s="225"/>
      <c r="K201" s="219"/>
      <c r="L201" s="219"/>
      <c r="M201" s="167">
        <f t="shared" si="74"/>
        <v>0</v>
      </c>
      <c r="N201" s="220"/>
      <c r="O201" s="219"/>
      <c r="P201" s="174"/>
      <c r="Q201" s="174"/>
      <c r="R201" s="174"/>
      <c r="S201" s="174"/>
      <c r="T201" s="174"/>
      <c r="V201" s="174"/>
      <c r="W201" s="174"/>
      <c r="X201" s="174"/>
      <c r="Y201" s="174"/>
      <c r="Z201" s="174"/>
      <c r="AA201" s="174"/>
      <c r="AB201" s="174"/>
    </row>
    <row r="202" spans="1:28">
      <c r="A202" s="14"/>
      <c r="B202" s="162"/>
      <c r="C202" s="184"/>
      <c r="D202" s="162"/>
      <c r="E202" s="185"/>
      <c r="F202" s="175"/>
      <c r="G202" s="162"/>
      <c r="H202" s="14"/>
      <c r="I202" s="162"/>
      <c r="J202" s="185"/>
      <c r="K202" s="174"/>
      <c r="L202" s="174"/>
      <c r="M202" s="167">
        <f t="shared" si="74"/>
        <v>0</v>
      </c>
      <c r="N202" s="174"/>
      <c r="O202" s="174"/>
      <c r="P202" s="174"/>
      <c r="Q202" s="174"/>
      <c r="R202" s="174"/>
      <c r="S202" s="174"/>
      <c r="T202" s="174"/>
      <c r="U202" s="14"/>
      <c r="V202" s="174"/>
      <c r="W202" s="174"/>
      <c r="X202" s="174"/>
      <c r="Y202" s="174"/>
      <c r="Z202" s="174"/>
      <c r="AA202" s="174"/>
      <c r="AB202" s="174"/>
    </row>
    <row r="203" spans="1:28">
      <c r="B203" s="162"/>
      <c r="C203" s="184"/>
      <c r="D203" s="162"/>
      <c r="E203" s="185"/>
      <c r="F203" s="175"/>
      <c r="G203" s="162"/>
      <c r="I203" s="162"/>
      <c r="J203" s="185"/>
      <c r="K203" s="174"/>
      <c r="L203" s="174"/>
      <c r="M203" s="167">
        <f t="shared" si="74"/>
        <v>0</v>
      </c>
      <c r="N203" s="174"/>
      <c r="O203" s="174"/>
      <c r="P203" s="174"/>
      <c r="Q203" s="174"/>
      <c r="R203" s="174"/>
      <c r="S203" s="174"/>
      <c r="T203" s="174"/>
      <c r="V203" s="174"/>
      <c r="W203" s="174"/>
      <c r="X203" s="174"/>
      <c r="Y203" s="174"/>
      <c r="Z203" s="174"/>
      <c r="AA203" s="174"/>
      <c r="AB203" s="174"/>
    </row>
    <row r="204" spans="1:28" ht="12" thickBot="1">
      <c r="B204" s="162"/>
      <c r="C204" s="169"/>
      <c r="D204" s="162"/>
      <c r="E204" s="170"/>
      <c r="F204" s="183"/>
      <c r="G204" s="162"/>
      <c r="I204" s="162"/>
      <c r="J204" s="185"/>
      <c r="K204" s="174"/>
      <c r="L204" s="174"/>
      <c r="M204" s="167">
        <f>L204*$O$5</f>
        <v>0</v>
      </c>
      <c r="N204" s="174"/>
      <c r="O204" s="174"/>
      <c r="P204" s="174"/>
      <c r="Q204" s="174"/>
      <c r="R204" s="174"/>
      <c r="S204" s="174"/>
      <c r="T204" s="174"/>
      <c r="V204" s="174"/>
      <c r="W204" s="174"/>
      <c r="X204" s="174"/>
      <c r="Y204" s="174"/>
      <c r="Z204" s="174"/>
      <c r="AA204" s="174"/>
      <c r="AB204" s="174"/>
    </row>
    <row r="205" spans="1:28" ht="12" thickBot="1">
      <c r="A205" s="219" t="s">
        <v>37</v>
      </c>
      <c r="B205" s="254">
        <f>SUM(B139:B204)</f>
        <v>294</v>
      </c>
      <c r="C205" s="174"/>
      <c r="D205" s="172"/>
      <c r="E205" s="157">
        <f>+E135+E200</f>
        <v>5197.8877480000001</v>
      </c>
      <c r="F205" s="174"/>
      <c r="G205" s="172"/>
      <c r="H205" s="174"/>
      <c r="I205" s="172"/>
      <c r="J205" s="221">
        <f>+J199+J135</f>
        <v>45739.104140000003</v>
      </c>
      <c r="K205" s="150">
        <f>+K199+K135</f>
        <v>548869.24968000012</v>
      </c>
      <c r="L205" s="174"/>
      <c r="M205" s="167">
        <f>L205*$O$5</f>
        <v>0</v>
      </c>
      <c r="N205" s="150">
        <f>+N199+N135</f>
        <v>2645.52</v>
      </c>
      <c r="O205" s="150">
        <f>+O199+O135</f>
        <v>1890.0453596932384</v>
      </c>
      <c r="P205" s="150"/>
      <c r="Q205" s="150"/>
      <c r="R205" s="150"/>
      <c r="S205" s="150"/>
      <c r="T205" s="150"/>
      <c r="U205" s="148"/>
      <c r="V205" s="150"/>
      <c r="W205" s="182">
        <f>W70+W135+W200</f>
        <v>269727.24602185679</v>
      </c>
      <c r="X205" s="182">
        <f>X70+X135+X200</f>
        <v>11451.87199585678</v>
      </c>
      <c r="Y205" s="182">
        <f>Y70+Y135+Y200</f>
        <v>137422.46395028135</v>
      </c>
      <c r="Z205" s="182"/>
      <c r="AA205" s="182">
        <f>AA70+AA135+AA200</f>
        <v>134891.88990261185</v>
      </c>
      <c r="AB205" s="174"/>
    </row>
    <row r="206" spans="1:28">
      <c r="O206" s="30"/>
      <c r="Y206" s="210"/>
      <c r="AA206" s="14"/>
      <c r="AB206" s="1"/>
    </row>
    <row r="207" spans="1:28">
      <c r="O207" s="30"/>
    </row>
    <row r="209" spans="1:1">
      <c r="A209" s="38"/>
    </row>
    <row r="210" spans="1:1">
      <c r="A210" s="38"/>
    </row>
    <row r="300" spans="1:27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>
      <c r="A316" s="14"/>
    </row>
    <row r="317" spans="1:27">
      <c r="A317" s="14"/>
    </row>
    <row r="318" spans="1:27">
      <c r="A318" s="14"/>
    </row>
  </sheetData>
  <phoneticPr fontId="0" type="noConversion"/>
  <pageMargins left="0.15" right="0.15" top="0.5" bottom="0.5" header="0.5" footer="0.5"/>
  <pageSetup scale="45" fitToHeight="0" orientation="landscape" r:id="rId1"/>
  <headerFooter alignWithMargins="0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58"/>
    <pageSetUpPr fitToPage="1"/>
  </sheetPr>
  <dimension ref="A1:W167"/>
  <sheetViews>
    <sheetView showGridLines="0" zoomScaleNormal="75" workbookViewId="0">
      <pane xSplit="5" ySplit="8" topLeftCell="F9" activePane="bottomRight" state="frozen"/>
      <selection activeCell="A80" sqref="A80"/>
      <selection pane="topRight" activeCell="A80" sqref="A80"/>
      <selection pane="bottomLeft" activeCell="A80" sqref="A80"/>
      <selection pane="bottomRight" activeCell="R63" activeCellId="1" sqref="R58 R63"/>
    </sheetView>
  </sheetViews>
  <sheetFormatPr defaultColWidth="10.6640625" defaultRowHeight="12.75"/>
  <cols>
    <col min="1" max="1" width="3.1640625" style="49" customWidth="1"/>
    <col min="2" max="2" width="5.1640625" style="49" customWidth="1"/>
    <col min="3" max="3" width="4.1640625" style="49" customWidth="1"/>
    <col min="4" max="4" width="14" style="49" customWidth="1"/>
    <col min="5" max="5" width="10.6640625" style="49" customWidth="1"/>
    <col min="6" max="6" width="13" style="49" customWidth="1"/>
    <col min="7" max="7" width="15.33203125" style="49" customWidth="1"/>
    <col min="8" max="8" width="13.6640625" style="49" customWidth="1"/>
    <col min="9" max="9" width="14.33203125" style="49" customWidth="1"/>
    <col min="10" max="10" width="14.6640625" style="49" customWidth="1"/>
    <col min="11" max="11" width="14.1640625" style="49" customWidth="1"/>
    <col min="12" max="12" width="13.5" style="49" customWidth="1"/>
    <col min="13" max="13" width="12.33203125" style="49" customWidth="1"/>
    <col min="14" max="14" width="15.33203125" style="49" customWidth="1"/>
    <col min="15" max="15" width="13.5" style="49" customWidth="1"/>
    <col min="16" max="16" width="13.6640625" style="49" customWidth="1"/>
    <col min="17" max="17" width="13.33203125" style="49" customWidth="1"/>
    <col min="18" max="18" width="14.83203125" style="49" customWidth="1"/>
    <col min="19" max="19" width="15.83203125" style="49" bestFit="1" customWidth="1"/>
    <col min="20" max="20" width="12" style="49" bestFit="1" customWidth="1"/>
    <col min="21" max="21" width="12" style="49" customWidth="1"/>
    <col min="22" max="16384" width="10.6640625" style="49"/>
  </cols>
  <sheetData>
    <row r="1" spans="1:23">
      <c r="A1" s="48" t="s">
        <v>181</v>
      </c>
      <c r="B1" s="48"/>
      <c r="C1" s="48"/>
      <c r="D1" s="48"/>
    </row>
    <row r="2" spans="1:23">
      <c r="A2" s="48" t="s">
        <v>106</v>
      </c>
      <c r="B2" s="48"/>
      <c r="C2" s="48"/>
      <c r="D2" s="48"/>
    </row>
    <row r="3" spans="1:23">
      <c r="A3" s="272" t="str">
        <f>TEXT(F7,"mmm yy")&amp;" - "&amp;TEXT(Q7,"mmm yy")</f>
        <v>May 13 - Apr 14</v>
      </c>
      <c r="B3" s="272"/>
      <c r="C3" s="272"/>
      <c r="D3" s="272"/>
    </row>
    <row r="6" spans="1:23">
      <c r="F6" s="50"/>
    </row>
    <row r="7" spans="1:23">
      <c r="F7" s="51">
        <v>41395</v>
      </c>
      <c r="G7" s="52">
        <f t="shared" ref="G7:Q7" si="0">EOMONTH(F7,1)</f>
        <v>41455</v>
      </c>
      <c r="H7" s="52">
        <f t="shared" si="0"/>
        <v>41486</v>
      </c>
      <c r="I7" s="52">
        <f t="shared" si="0"/>
        <v>41517</v>
      </c>
      <c r="J7" s="52">
        <f t="shared" si="0"/>
        <v>41547</v>
      </c>
      <c r="K7" s="52">
        <f t="shared" si="0"/>
        <v>41578</v>
      </c>
      <c r="L7" s="52">
        <f t="shared" si="0"/>
        <v>41608</v>
      </c>
      <c r="M7" s="52">
        <f t="shared" si="0"/>
        <v>41639</v>
      </c>
      <c r="N7" s="52">
        <f t="shared" si="0"/>
        <v>41670</v>
      </c>
      <c r="O7" s="52">
        <f t="shared" si="0"/>
        <v>41698</v>
      </c>
      <c r="P7" s="52">
        <f t="shared" si="0"/>
        <v>41729</v>
      </c>
      <c r="Q7" s="52">
        <f t="shared" si="0"/>
        <v>41759</v>
      </c>
      <c r="R7" s="53" t="s">
        <v>17</v>
      </c>
    </row>
    <row r="8" spans="1:23">
      <c r="F8" s="54" t="s">
        <v>29</v>
      </c>
      <c r="G8" s="54" t="s">
        <v>29</v>
      </c>
      <c r="H8" s="54" t="s">
        <v>29</v>
      </c>
      <c r="I8" s="54" t="s">
        <v>29</v>
      </c>
      <c r="J8" s="54" t="s">
        <v>29</v>
      </c>
      <c r="K8" s="54" t="s">
        <v>29</v>
      </c>
      <c r="L8" s="54" t="s">
        <v>29</v>
      </c>
      <c r="M8" s="54" t="s">
        <v>29</v>
      </c>
      <c r="N8" s="54" t="s">
        <v>29</v>
      </c>
      <c r="O8" s="54" t="s">
        <v>29</v>
      </c>
      <c r="P8" s="54" t="s">
        <v>29</v>
      </c>
      <c r="Q8" s="54" t="s">
        <v>29</v>
      </c>
      <c r="R8" s="54" t="s">
        <v>29</v>
      </c>
    </row>
    <row r="9" spans="1:23" ht="18">
      <c r="A9" s="55" t="s">
        <v>107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spans="1:23">
      <c r="A11" s="49" t="s">
        <v>108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>
      <c r="B12" s="49" t="s">
        <v>59</v>
      </c>
      <c r="F12" s="58">
        <v>4434</v>
      </c>
      <c r="G12" s="58">
        <v>4166</v>
      </c>
      <c r="H12" s="58">
        <v>4470</v>
      </c>
      <c r="I12" s="58">
        <v>4288</v>
      </c>
      <c r="J12" s="58">
        <v>4239</v>
      </c>
      <c r="K12" s="58">
        <v>4442</v>
      </c>
      <c r="L12" s="58">
        <v>4226</v>
      </c>
      <c r="M12" s="58">
        <v>4150</v>
      </c>
      <c r="N12" s="58">
        <v>4281</v>
      </c>
      <c r="O12" s="58">
        <v>3780</v>
      </c>
      <c r="P12" s="58">
        <v>4308</v>
      </c>
      <c r="Q12" s="57">
        <v>4319</v>
      </c>
      <c r="R12" s="57">
        <f>SUM(F12:Q12)</f>
        <v>51103</v>
      </c>
      <c r="S12" s="57"/>
      <c r="T12" s="57"/>
      <c r="U12" s="57"/>
      <c r="V12" s="57"/>
      <c r="W12" s="57"/>
    </row>
    <row r="13" spans="1:23">
      <c r="B13" s="49" t="s">
        <v>39</v>
      </c>
      <c r="F13" s="58">
        <v>11175</v>
      </c>
      <c r="G13" s="58">
        <v>9630</v>
      </c>
      <c r="H13" s="58">
        <v>9807</v>
      </c>
      <c r="I13" s="58">
        <v>8374</v>
      </c>
      <c r="J13" s="58">
        <v>8647</v>
      </c>
      <c r="K13" s="58">
        <v>13706</v>
      </c>
      <c r="L13" s="58">
        <v>11066</v>
      </c>
      <c r="M13" s="58">
        <v>7987</v>
      </c>
      <c r="N13" s="58">
        <v>8246</v>
      </c>
      <c r="O13" s="58">
        <v>6136</v>
      </c>
      <c r="P13" s="58">
        <v>7982</v>
      </c>
      <c r="Q13" s="58">
        <v>9667</v>
      </c>
      <c r="R13" s="57">
        <f>SUM(F13:Q13)</f>
        <v>112423</v>
      </c>
      <c r="S13" s="57"/>
      <c r="T13" s="57"/>
      <c r="U13" s="57"/>
      <c r="V13" s="57"/>
      <c r="W13" s="57"/>
    </row>
    <row r="14" spans="1:23">
      <c r="B14" s="49" t="s">
        <v>109</v>
      </c>
      <c r="F14" s="58">
        <v>4108</v>
      </c>
      <c r="G14" s="58">
        <v>3880</v>
      </c>
      <c r="H14" s="58">
        <v>4315</v>
      </c>
      <c r="I14" s="58">
        <v>4365</v>
      </c>
      <c r="J14" s="58">
        <v>4012</v>
      </c>
      <c r="K14" s="58">
        <v>5559</v>
      </c>
      <c r="L14" s="58">
        <v>4383</v>
      </c>
      <c r="M14" s="58">
        <v>4088</v>
      </c>
      <c r="N14" s="58">
        <v>4181</v>
      </c>
      <c r="O14" s="58">
        <v>3532</v>
      </c>
      <c r="P14" s="58">
        <v>4034</v>
      </c>
      <c r="Q14" s="58">
        <v>4302</v>
      </c>
      <c r="R14" s="57">
        <f>SUM(F14:Q14)</f>
        <v>50759</v>
      </c>
      <c r="S14" s="57"/>
      <c r="T14" s="57"/>
      <c r="U14" s="57"/>
      <c r="V14" s="57"/>
      <c r="W14" s="57"/>
    </row>
    <row r="15" spans="1:23">
      <c r="A15" s="49" t="s">
        <v>17</v>
      </c>
      <c r="F15" s="59">
        <f>SUM(F12:F14)</f>
        <v>19717</v>
      </c>
      <c r="G15" s="59">
        <f t="shared" ref="G15:Q15" si="1">SUM(G12:G14)</f>
        <v>17676</v>
      </c>
      <c r="H15" s="59">
        <f t="shared" si="1"/>
        <v>18592</v>
      </c>
      <c r="I15" s="59">
        <f t="shared" si="1"/>
        <v>17027</v>
      </c>
      <c r="J15" s="59">
        <f t="shared" si="1"/>
        <v>16898</v>
      </c>
      <c r="K15" s="59">
        <f t="shared" si="1"/>
        <v>23707</v>
      </c>
      <c r="L15" s="59">
        <f t="shared" si="1"/>
        <v>19675</v>
      </c>
      <c r="M15" s="59">
        <f t="shared" si="1"/>
        <v>16225</v>
      </c>
      <c r="N15" s="59">
        <f t="shared" si="1"/>
        <v>16708</v>
      </c>
      <c r="O15" s="59">
        <f t="shared" si="1"/>
        <v>13448</v>
      </c>
      <c r="P15" s="59">
        <f t="shared" si="1"/>
        <v>16324</v>
      </c>
      <c r="Q15" s="59">
        <f t="shared" si="1"/>
        <v>18288</v>
      </c>
      <c r="R15" s="59">
        <f>SUM(R12:R14)</f>
        <v>214285</v>
      </c>
      <c r="S15" s="57"/>
      <c r="T15" s="57"/>
      <c r="U15" s="57"/>
      <c r="V15" s="57"/>
      <c r="W15" s="57"/>
    </row>
    <row r="16" spans="1:23" s="64" customFormat="1">
      <c r="A16" s="60" t="s">
        <v>57</v>
      </c>
      <c r="B16" s="60"/>
      <c r="C16" s="60"/>
      <c r="D16" s="60"/>
      <c r="E16" s="60"/>
      <c r="F16" s="61">
        <f>+F15-F54</f>
        <v>-170.6256734765775</v>
      </c>
      <c r="G16" s="61">
        <f>+G15-G54</f>
        <v>-116.77138083517639</v>
      </c>
      <c r="H16" s="61">
        <f t="shared" ref="H16:M16" si="2">H15-H54</f>
        <v>-199.24424351987909</v>
      </c>
      <c r="I16" s="61">
        <f t="shared" si="2"/>
        <v>-121.77618523334604</v>
      </c>
      <c r="J16" s="61">
        <f t="shared" si="2"/>
        <v>-85.505122308411956</v>
      </c>
      <c r="K16" s="61">
        <f t="shared" si="2"/>
        <v>4267.6331142130584</v>
      </c>
      <c r="L16" s="61">
        <f t="shared" si="2"/>
        <v>-347.45073352798499</v>
      </c>
      <c r="M16" s="61">
        <f t="shared" si="2"/>
        <v>-245.30514869634135</v>
      </c>
      <c r="N16" s="61">
        <f>+N15-N54</f>
        <v>-154.75391742118154</v>
      </c>
      <c r="O16" s="61">
        <f>O15-O54</f>
        <v>-15.872397659031776</v>
      </c>
      <c r="P16" s="61">
        <f>P15-P54</f>
        <v>-112.20565010054997</v>
      </c>
      <c r="Q16" s="61">
        <f>Q15-Q54</f>
        <v>-146.36611529644142</v>
      </c>
      <c r="R16" s="62">
        <f>SUM(F16:Q16)</f>
        <v>2551.7565461381364</v>
      </c>
      <c r="S16" s="63"/>
      <c r="T16" s="63"/>
      <c r="U16" s="63"/>
      <c r="V16" s="63"/>
      <c r="W16" s="63"/>
    </row>
    <row r="17" spans="1:23" s="64" customFormat="1">
      <c r="A17" s="60" t="s">
        <v>110</v>
      </c>
      <c r="B17" s="60"/>
      <c r="C17" s="60"/>
      <c r="D17" s="60"/>
      <c r="E17" s="65"/>
      <c r="F17" s="66">
        <f t="shared" ref="F17:R17" si="3">+F16/F15</f>
        <v>-8.6537340100713844E-3</v>
      </c>
      <c r="G17" s="66">
        <f t="shared" si="3"/>
        <v>-6.6062107283987549E-3</v>
      </c>
      <c r="H17" s="66">
        <f t="shared" si="3"/>
        <v>-1.0716665421680243E-2</v>
      </c>
      <c r="I17" s="66">
        <f t="shared" si="3"/>
        <v>-7.1519460406029274E-3</v>
      </c>
      <c r="J17" s="66">
        <f t="shared" si="3"/>
        <v>-5.060073518073852E-3</v>
      </c>
      <c r="K17" s="66">
        <f t="shared" si="3"/>
        <v>0.18001573856721889</v>
      </c>
      <c r="L17" s="66">
        <f t="shared" si="3"/>
        <v>-1.7659503610062771E-2</v>
      </c>
      <c r="M17" s="66">
        <f t="shared" si="3"/>
        <v>-1.5118961398850005E-2</v>
      </c>
      <c r="N17" s="66">
        <f t="shared" si="3"/>
        <v>-9.2622646289909939E-3</v>
      </c>
      <c r="O17" s="66">
        <f t="shared" si="3"/>
        <v>-1.1802794214033148E-3</v>
      </c>
      <c r="P17" s="66">
        <f t="shared" si="3"/>
        <v>-6.8736614861890453E-3</v>
      </c>
      <c r="Q17" s="66">
        <f t="shared" si="3"/>
        <v>-8.0033965057109257E-3</v>
      </c>
      <c r="R17" s="66">
        <f t="shared" si="3"/>
        <v>1.1908236909434334E-2</v>
      </c>
      <c r="S17" s="63"/>
      <c r="T17" s="63"/>
      <c r="U17" s="63"/>
      <c r="V17" s="63"/>
      <c r="W17" s="63"/>
    </row>
    <row r="18" spans="1:23">
      <c r="E18" s="48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57"/>
      <c r="S18" s="57"/>
      <c r="T18" s="57"/>
      <c r="U18" s="57"/>
      <c r="V18" s="57"/>
      <c r="W18" s="57"/>
    </row>
    <row r="19" spans="1:23">
      <c r="B19" s="49" t="s">
        <v>59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57"/>
      <c r="S19" s="57"/>
      <c r="T19" s="57"/>
      <c r="U19" s="57"/>
      <c r="V19" s="57"/>
      <c r="W19" s="57"/>
    </row>
    <row r="20" spans="1:23">
      <c r="C20" s="69" t="s">
        <v>111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57"/>
      <c r="S20" s="57"/>
      <c r="T20" s="57"/>
      <c r="U20" s="57"/>
      <c r="V20" s="57"/>
      <c r="W20" s="57"/>
    </row>
    <row r="21" spans="1:23">
      <c r="D21" s="70" t="s">
        <v>112</v>
      </c>
      <c r="F21" s="71">
        <v>233.68411299064337</v>
      </c>
      <c r="G21" s="71">
        <v>218.94960190245828</v>
      </c>
      <c r="H21" s="71">
        <v>244.13068029694793</v>
      </c>
      <c r="I21" s="71">
        <v>244.57917184017472</v>
      </c>
      <c r="J21" s="71">
        <v>232.78977009454272</v>
      </c>
      <c r="K21" s="71">
        <v>246.47227468528953</v>
      </c>
      <c r="L21" s="71">
        <v>234.31380172379946</v>
      </c>
      <c r="M21" s="71">
        <v>222.06669074724127</v>
      </c>
      <c r="N21" s="71">
        <v>223.69803483572559</v>
      </c>
      <c r="O21" s="71">
        <v>195.22030473646362</v>
      </c>
      <c r="P21" s="71">
        <v>225.68484392942736</v>
      </c>
      <c r="Q21" s="71">
        <v>230.00403233724955</v>
      </c>
      <c r="R21" s="57">
        <f>SUM(F21:Q21)</f>
        <v>2751.5933201199632</v>
      </c>
      <c r="S21" s="72"/>
      <c r="T21" s="57"/>
      <c r="U21" s="73"/>
      <c r="V21" s="57"/>
      <c r="W21" s="57"/>
    </row>
    <row r="22" spans="1:23">
      <c r="D22" s="70" t="s">
        <v>113</v>
      </c>
      <c r="F22" s="74">
        <v>3196.9053193865684</v>
      </c>
      <c r="G22" s="74">
        <v>2978.2245473056228</v>
      </c>
      <c r="H22" s="74">
        <v>3261.8394971456105</v>
      </c>
      <c r="I22" s="74">
        <v>3088.6359418040315</v>
      </c>
      <c r="J22" s="74">
        <v>3036.6707214431476</v>
      </c>
      <c r="K22" s="74">
        <v>3191.5186197855651</v>
      </c>
      <c r="L22" s="74">
        <v>3049.156545989782</v>
      </c>
      <c r="M22" s="74">
        <v>2963.6057216467098</v>
      </c>
      <c r="N22" s="74">
        <v>3060.261746333872</v>
      </c>
      <c r="O22" s="74">
        <v>2706.0934854859579</v>
      </c>
      <c r="P22" s="74">
        <v>3097.2035559151091</v>
      </c>
      <c r="Q22" s="74">
        <v>3108.0687186220034</v>
      </c>
      <c r="R22" s="57">
        <f>SUM(F22:Q22)</f>
        <v>36738.184420863981</v>
      </c>
      <c r="S22" s="57"/>
      <c r="T22" s="57"/>
      <c r="U22" s="73"/>
      <c r="V22" s="57"/>
      <c r="W22" s="57"/>
    </row>
    <row r="23" spans="1:23">
      <c r="C23" s="75" t="s">
        <v>114</v>
      </c>
      <c r="D23" s="76"/>
      <c r="E23" s="76"/>
      <c r="F23" s="77">
        <f>SUM(F21:F22)</f>
        <v>3430.5894323772118</v>
      </c>
      <c r="G23" s="77">
        <f t="shared" ref="G23:Q23" si="4">SUM(G21:G22)</f>
        <v>3197.174149208081</v>
      </c>
      <c r="H23" s="77">
        <f t="shared" si="4"/>
        <v>3505.9701774425585</v>
      </c>
      <c r="I23" s="77">
        <f t="shared" si="4"/>
        <v>3333.2151136442062</v>
      </c>
      <c r="J23" s="77">
        <f t="shared" si="4"/>
        <v>3269.4604915376904</v>
      </c>
      <c r="K23" s="77">
        <f t="shared" si="4"/>
        <v>3437.9908944708545</v>
      </c>
      <c r="L23" s="77">
        <f t="shared" si="4"/>
        <v>3283.4703477135813</v>
      </c>
      <c r="M23" s="77">
        <f t="shared" si="4"/>
        <v>3185.6724123939512</v>
      </c>
      <c r="N23" s="77">
        <f t="shared" si="4"/>
        <v>3283.9597811695976</v>
      </c>
      <c r="O23" s="77">
        <f t="shared" si="4"/>
        <v>2901.3137902224216</v>
      </c>
      <c r="P23" s="77">
        <f t="shared" si="4"/>
        <v>3322.8883998445363</v>
      </c>
      <c r="Q23" s="77">
        <f t="shared" si="4"/>
        <v>3338.072750959253</v>
      </c>
      <c r="R23" s="78">
        <f>SUM(F23:Q23)</f>
        <v>39489.777740983947</v>
      </c>
      <c r="S23" s="57"/>
      <c r="T23" s="57"/>
      <c r="U23" s="73"/>
      <c r="V23" s="57"/>
      <c r="W23" s="57"/>
    </row>
    <row r="24" spans="1:23" s="79" customFormat="1">
      <c r="C24" s="80" t="s">
        <v>104</v>
      </c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3"/>
      <c r="U24" s="84"/>
      <c r="V24" s="83"/>
      <c r="W24" s="83"/>
    </row>
    <row r="25" spans="1:23">
      <c r="D25" s="70" t="s">
        <v>115</v>
      </c>
      <c r="F25" s="71">
        <v>38.538144391546453</v>
      </c>
      <c r="G25" s="71">
        <v>37.273745809976845</v>
      </c>
      <c r="H25" s="71">
        <v>38.05925985893434</v>
      </c>
      <c r="I25" s="71">
        <v>37.892356741372581</v>
      </c>
      <c r="J25" s="71">
        <v>40.813547428851408</v>
      </c>
      <c r="K25" s="71">
        <v>35.512843751462015</v>
      </c>
      <c r="L25" s="71">
        <v>35.324977305861864</v>
      </c>
      <c r="M25" s="71">
        <v>39.774607684821639</v>
      </c>
      <c r="N25" s="71">
        <v>41.575871940353011</v>
      </c>
      <c r="O25" s="71">
        <v>32.671518622794352</v>
      </c>
      <c r="P25" s="71">
        <v>38.450136033744172</v>
      </c>
      <c r="Q25" s="71">
        <v>32.116096797017377</v>
      </c>
      <c r="R25" s="57">
        <f>SUM(F25:Q25)</f>
        <v>448.00310636673601</v>
      </c>
      <c r="S25" s="57"/>
      <c r="T25" s="73"/>
      <c r="U25" s="57"/>
      <c r="V25" s="57"/>
      <c r="W25" s="57"/>
    </row>
    <row r="26" spans="1:23">
      <c r="D26" s="70" t="s">
        <v>104</v>
      </c>
      <c r="F26" s="83">
        <v>1194.2204481463218</v>
      </c>
      <c r="G26" s="83">
        <v>1143.6134259523503</v>
      </c>
      <c r="H26" s="83">
        <v>1172.1272585563922</v>
      </c>
      <c r="I26" s="83">
        <v>1143.0939611319227</v>
      </c>
      <c r="J26" s="83">
        <v>1160.2037023361756</v>
      </c>
      <c r="K26" s="83">
        <v>1190.6759931601428</v>
      </c>
      <c r="L26" s="83">
        <v>1121.8993489733007</v>
      </c>
      <c r="M26" s="83">
        <v>1160.1268657486196</v>
      </c>
      <c r="N26" s="83">
        <v>1182.2888480804204</v>
      </c>
      <c r="O26" s="83">
        <v>1033.8096138911508</v>
      </c>
      <c r="P26" s="83">
        <v>1159.0080439209</v>
      </c>
      <c r="Q26" s="83">
        <v>1158.8770663796427</v>
      </c>
      <c r="R26" s="57">
        <f>SUM(F26:Q26)</f>
        <v>13819.944576277339</v>
      </c>
      <c r="S26" s="57"/>
      <c r="T26" s="57"/>
      <c r="U26" s="57"/>
      <c r="V26" s="57"/>
      <c r="W26" s="57"/>
    </row>
    <row r="27" spans="1:23" ht="13.5" thickBot="1">
      <c r="C27" s="85" t="s">
        <v>116</v>
      </c>
      <c r="D27" s="86"/>
      <c r="E27" s="86"/>
      <c r="F27" s="87">
        <f>SUM(F25:F26)</f>
        <v>1232.7585925378683</v>
      </c>
      <c r="G27" s="87">
        <f t="shared" ref="G27:Q27" si="5">SUM(G25:G26)</f>
        <v>1180.8871717623272</v>
      </c>
      <c r="H27" s="87">
        <f t="shared" si="5"/>
        <v>1210.1865184153266</v>
      </c>
      <c r="I27" s="87">
        <f t="shared" si="5"/>
        <v>1180.9863178732953</v>
      </c>
      <c r="J27" s="87">
        <f t="shared" si="5"/>
        <v>1201.0172497650271</v>
      </c>
      <c r="K27" s="87">
        <f t="shared" si="5"/>
        <v>1226.1888369116048</v>
      </c>
      <c r="L27" s="87">
        <f t="shared" si="5"/>
        <v>1157.2243262791626</v>
      </c>
      <c r="M27" s="87">
        <f t="shared" si="5"/>
        <v>1199.9014734334412</v>
      </c>
      <c r="N27" s="87">
        <f t="shared" si="5"/>
        <v>1223.8647200207733</v>
      </c>
      <c r="O27" s="87">
        <f t="shared" si="5"/>
        <v>1066.4811325139451</v>
      </c>
      <c r="P27" s="87">
        <f t="shared" si="5"/>
        <v>1197.4581799546443</v>
      </c>
      <c r="Q27" s="87">
        <f t="shared" si="5"/>
        <v>1190.9931631766601</v>
      </c>
      <c r="R27" s="88">
        <f>SUM(F27:Q27)</f>
        <v>14267.947682644079</v>
      </c>
      <c r="S27" s="89"/>
      <c r="T27" s="57"/>
      <c r="U27" s="57"/>
      <c r="V27" s="57"/>
      <c r="W27" s="57"/>
    </row>
    <row r="28" spans="1:23" ht="13.5" thickBot="1">
      <c r="B28" s="90" t="s">
        <v>103</v>
      </c>
      <c r="C28" s="91"/>
      <c r="D28" s="91"/>
      <c r="E28" s="91"/>
      <c r="F28" s="92">
        <f t="shared" ref="F28:R28" si="6">F23+F27</f>
        <v>4663.3480249150798</v>
      </c>
      <c r="G28" s="92">
        <f t="shared" si="6"/>
        <v>4378.0613209704079</v>
      </c>
      <c r="H28" s="92">
        <f t="shared" si="6"/>
        <v>4716.1566958578851</v>
      </c>
      <c r="I28" s="92">
        <f t="shared" si="6"/>
        <v>4514.201431517502</v>
      </c>
      <c r="J28" s="92">
        <f t="shared" si="6"/>
        <v>4470.4777413027177</v>
      </c>
      <c r="K28" s="92">
        <f t="shared" si="6"/>
        <v>4664.1797313824591</v>
      </c>
      <c r="L28" s="92">
        <f t="shared" si="6"/>
        <v>4440.6946739927444</v>
      </c>
      <c r="M28" s="92">
        <f t="shared" si="6"/>
        <v>4385.5738858273926</v>
      </c>
      <c r="N28" s="92">
        <f t="shared" si="6"/>
        <v>4507.8245011903709</v>
      </c>
      <c r="O28" s="92">
        <f t="shared" si="6"/>
        <v>3967.794922736367</v>
      </c>
      <c r="P28" s="92">
        <f t="shared" si="6"/>
        <v>4520.3465797991803</v>
      </c>
      <c r="Q28" s="92">
        <f t="shared" si="6"/>
        <v>4529.0659141359129</v>
      </c>
      <c r="R28" s="93">
        <f t="shared" si="6"/>
        <v>53757.725423628028</v>
      </c>
      <c r="S28" s="57"/>
      <c r="T28" s="72"/>
      <c r="U28" s="57"/>
      <c r="V28" s="57"/>
      <c r="W28" s="57"/>
    </row>
    <row r="29" spans="1:23"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57"/>
      <c r="S29" s="57"/>
      <c r="T29" s="57"/>
      <c r="U29" s="57"/>
      <c r="V29" s="57"/>
      <c r="W29" s="57"/>
    </row>
    <row r="30" spans="1:23">
      <c r="B30" s="49" t="s">
        <v>39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</row>
    <row r="31" spans="1:23">
      <c r="C31" s="49" t="s">
        <v>111</v>
      </c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</row>
    <row r="32" spans="1:23">
      <c r="D32" s="70" t="s">
        <v>117</v>
      </c>
      <c r="F32" s="95">
        <v>599.80197971880398</v>
      </c>
      <c r="G32" s="95">
        <v>530.17078093277416</v>
      </c>
      <c r="H32" s="95">
        <v>582.48426266432477</v>
      </c>
      <c r="I32" s="71">
        <v>592.85288192996597</v>
      </c>
      <c r="J32" s="71">
        <v>552.52718831555262</v>
      </c>
      <c r="K32" s="71">
        <v>578.68381221844788</v>
      </c>
      <c r="L32" s="71">
        <v>528.15354593290067</v>
      </c>
      <c r="M32" s="71">
        <v>548.78039284403178</v>
      </c>
      <c r="N32" s="71">
        <v>599.74437874509863</v>
      </c>
      <c r="O32" s="71">
        <v>459.35752363420113</v>
      </c>
      <c r="P32" s="71">
        <v>504.87486675474531</v>
      </c>
      <c r="Q32" s="71">
        <v>525.47505943550266</v>
      </c>
      <c r="R32" s="57">
        <f>SUM(F32:Q32)</f>
        <v>6602.9066731263492</v>
      </c>
      <c r="S32" s="72">
        <f>+R32/R34</f>
        <v>0.18264817412912154</v>
      </c>
      <c r="T32" s="57"/>
      <c r="U32" s="73"/>
      <c r="V32" s="57"/>
      <c r="W32" s="57"/>
    </row>
    <row r="33" spans="2:23">
      <c r="D33" s="70" t="s">
        <v>118</v>
      </c>
      <c r="F33" s="83">
        <v>2622.0880325321518</v>
      </c>
      <c r="G33" s="83">
        <v>2397.9398124307781</v>
      </c>
      <c r="H33" s="83">
        <v>2755.0662681862295</v>
      </c>
      <c r="I33" s="83">
        <v>2550.4350670683575</v>
      </c>
      <c r="J33" s="83">
        <v>2508.515030500289</v>
      </c>
      <c r="K33" s="83">
        <v>2487.2121905544545</v>
      </c>
      <c r="L33" s="83">
        <v>2385.6789758889727</v>
      </c>
      <c r="M33" s="83">
        <v>2519.5768316371164</v>
      </c>
      <c r="N33" s="83">
        <v>2575.9658005358278</v>
      </c>
      <c r="O33" s="83">
        <v>2050.2052732089605</v>
      </c>
      <c r="P33" s="83">
        <v>2270.7638126610618</v>
      </c>
      <c r="Q33" s="83">
        <v>2424.6053343784665</v>
      </c>
      <c r="R33" s="57">
        <f>SUM(F33:Q33)</f>
        <v>29548.052429582669</v>
      </c>
      <c r="S33" s="72">
        <f>+R33/R34</f>
        <v>0.8173518258708784</v>
      </c>
      <c r="T33" s="73"/>
      <c r="U33" s="57"/>
      <c r="V33" s="57"/>
      <c r="W33" s="57"/>
    </row>
    <row r="34" spans="2:23">
      <c r="C34" s="75" t="s">
        <v>114</v>
      </c>
      <c r="D34" s="76"/>
      <c r="E34" s="76"/>
      <c r="F34" s="77">
        <f>SUM(F32:F33)</f>
        <v>3221.8900122509558</v>
      </c>
      <c r="G34" s="77">
        <f t="shared" ref="G34:Q34" si="7">SUM(G32:G33)</f>
        <v>2928.1105933635522</v>
      </c>
      <c r="H34" s="77">
        <f t="shared" si="7"/>
        <v>3337.5505308505544</v>
      </c>
      <c r="I34" s="77">
        <f t="shared" si="7"/>
        <v>3143.2879489983234</v>
      </c>
      <c r="J34" s="77">
        <f t="shared" si="7"/>
        <v>3061.0422188158418</v>
      </c>
      <c r="K34" s="77">
        <f t="shared" si="7"/>
        <v>3065.8960027729026</v>
      </c>
      <c r="L34" s="77">
        <f t="shared" si="7"/>
        <v>2913.8325218218733</v>
      </c>
      <c r="M34" s="77">
        <f t="shared" si="7"/>
        <v>3068.357224481148</v>
      </c>
      <c r="N34" s="77">
        <f t="shared" si="7"/>
        <v>3175.7101792809262</v>
      </c>
      <c r="O34" s="77">
        <f t="shared" si="7"/>
        <v>2509.5627968431618</v>
      </c>
      <c r="P34" s="77">
        <f t="shared" si="7"/>
        <v>2775.638679415807</v>
      </c>
      <c r="Q34" s="77">
        <f t="shared" si="7"/>
        <v>2950.0803938139693</v>
      </c>
      <c r="R34" s="78">
        <f>SUM(R32:R33)</f>
        <v>36150.959102709021</v>
      </c>
      <c r="S34" s="264"/>
      <c r="T34" s="57"/>
      <c r="U34" s="57"/>
      <c r="V34" s="57"/>
      <c r="W34" s="57"/>
    </row>
    <row r="35" spans="2:23">
      <c r="C35" s="49" t="s">
        <v>104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2:23">
      <c r="D36" s="70" t="s">
        <v>117</v>
      </c>
      <c r="F36" s="95">
        <v>367.06714354459132</v>
      </c>
      <c r="G36" s="95">
        <v>328.09427317867534</v>
      </c>
      <c r="H36" s="95">
        <v>329.54465918054211</v>
      </c>
      <c r="I36" s="95">
        <v>352.68192301906163</v>
      </c>
      <c r="J36" s="95">
        <v>340.36527590577344</v>
      </c>
      <c r="K36" s="95">
        <v>377.20065671579005</v>
      </c>
      <c r="L36" s="95">
        <v>325.09833698607571</v>
      </c>
      <c r="M36" s="95">
        <v>364.37754628092375</v>
      </c>
      <c r="N36" s="95">
        <v>417.94401388106837</v>
      </c>
      <c r="O36" s="95">
        <v>307.11192879136638</v>
      </c>
      <c r="P36" s="95">
        <v>331.6498929372994</v>
      </c>
      <c r="Q36" s="71">
        <v>360.60799571360258</v>
      </c>
      <c r="R36" s="57">
        <f>SUM(F36:Q36)</f>
        <v>4201.7436461347697</v>
      </c>
      <c r="S36" s="72">
        <f>+R36/R38</f>
        <v>0.15895688179659009</v>
      </c>
      <c r="T36" s="57"/>
      <c r="U36" s="73"/>
      <c r="V36" s="57"/>
      <c r="W36" s="57"/>
    </row>
    <row r="37" spans="2:23">
      <c r="D37" s="70" t="s">
        <v>118</v>
      </c>
      <c r="F37" s="83">
        <v>1931.1004927659535</v>
      </c>
      <c r="G37" s="83">
        <v>1746.8651933225365</v>
      </c>
      <c r="H37" s="83">
        <v>1963.5623576308999</v>
      </c>
      <c r="I37" s="83">
        <v>1809.9748816984611</v>
      </c>
      <c r="J37" s="83">
        <v>1820.2498862840782</v>
      </c>
      <c r="K37" s="83">
        <v>1869.41049491579</v>
      </c>
      <c r="L37" s="83">
        <v>1809.0752007272929</v>
      </c>
      <c r="M37" s="83">
        <v>2114.3664921068785</v>
      </c>
      <c r="N37" s="83">
        <v>2057.3552230688183</v>
      </c>
      <c r="O37" s="83">
        <v>1575.312749288136</v>
      </c>
      <c r="P37" s="83">
        <v>1715.4204979482606</v>
      </c>
      <c r="Q37" s="83">
        <v>1818.7918116329542</v>
      </c>
      <c r="R37" s="57">
        <f>SUM(F37:Q37)</f>
        <v>22231.485281390058</v>
      </c>
      <c r="S37" s="72">
        <f>+R37/R38</f>
        <v>0.84104311820340993</v>
      </c>
      <c r="T37" s="57"/>
      <c r="U37" s="73"/>
      <c r="V37" s="57"/>
      <c r="W37" s="57"/>
    </row>
    <row r="38" spans="2:23">
      <c r="C38" s="75" t="s">
        <v>119</v>
      </c>
      <c r="D38" s="76"/>
      <c r="E38" s="76"/>
      <c r="F38" s="77">
        <f>SUM(F36:F37)</f>
        <v>2298.1676363105448</v>
      </c>
      <c r="G38" s="77">
        <f t="shared" ref="G38:Q38" si="8">SUM(G36:G37)</f>
        <v>2074.9594665012119</v>
      </c>
      <c r="H38" s="77">
        <f t="shared" si="8"/>
        <v>2293.107016811442</v>
      </c>
      <c r="I38" s="77">
        <f t="shared" si="8"/>
        <v>2162.6568047175228</v>
      </c>
      <c r="J38" s="77">
        <f t="shared" si="8"/>
        <v>2160.6151621898516</v>
      </c>
      <c r="K38" s="77">
        <f t="shared" si="8"/>
        <v>2246.61115163158</v>
      </c>
      <c r="L38" s="77">
        <f t="shared" si="8"/>
        <v>2134.1735377133687</v>
      </c>
      <c r="M38" s="77">
        <f t="shared" si="8"/>
        <v>2478.744038387802</v>
      </c>
      <c r="N38" s="77">
        <f t="shared" si="8"/>
        <v>2475.2992369498866</v>
      </c>
      <c r="O38" s="77">
        <f t="shared" si="8"/>
        <v>1882.4246780795024</v>
      </c>
      <c r="P38" s="77">
        <f t="shared" si="8"/>
        <v>2047.0703908855601</v>
      </c>
      <c r="Q38" s="77">
        <f t="shared" si="8"/>
        <v>2179.3998073465568</v>
      </c>
      <c r="R38" s="78">
        <f>SUM(R36:R37)</f>
        <v>26433.228927524826</v>
      </c>
      <c r="S38" s="57"/>
      <c r="T38" s="57"/>
      <c r="U38" s="57"/>
      <c r="V38" s="57"/>
      <c r="W38" s="57"/>
    </row>
    <row r="39" spans="2:23">
      <c r="C39" s="49" t="s">
        <v>58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</row>
    <row r="40" spans="2:23">
      <c r="D40" s="70" t="s">
        <v>117</v>
      </c>
      <c r="F40" s="95">
        <v>859.42000000000007</v>
      </c>
      <c r="G40" s="95">
        <v>604.19000000000005</v>
      </c>
      <c r="H40" s="95">
        <v>595.79999999999995</v>
      </c>
      <c r="I40" s="95">
        <v>499.4</v>
      </c>
      <c r="J40" s="95">
        <v>532.79</v>
      </c>
      <c r="K40" s="95">
        <v>658.32999999999993</v>
      </c>
      <c r="L40" s="95">
        <v>976.85999999999979</v>
      </c>
      <c r="M40" s="95">
        <v>440.7</v>
      </c>
      <c r="N40" s="95">
        <v>432.02000000000004</v>
      </c>
      <c r="O40" s="95">
        <v>298.38000000000005</v>
      </c>
      <c r="P40" s="95">
        <v>531.53</v>
      </c>
      <c r="Q40" s="71">
        <v>742.08999999999992</v>
      </c>
      <c r="R40" s="57">
        <f>SUM(F40:Q40)</f>
        <v>7171.51</v>
      </c>
      <c r="S40" s="72">
        <f>+R40/R42</f>
        <v>0.16067971356189562</v>
      </c>
      <c r="T40" s="57"/>
      <c r="U40" s="73"/>
      <c r="V40" s="57"/>
      <c r="W40" s="57"/>
    </row>
    <row r="41" spans="2:23">
      <c r="D41" s="70" t="s">
        <v>118</v>
      </c>
      <c r="F41" s="83">
        <v>4736.7999999999993</v>
      </c>
      <c r="G41" s="83">
        <v>3927.450000000003</v>
      </c>
      <c r="H41" s="83">
        <v>3533.6299999999983</v>
      </c>
      <c r="I41" s="83">
        <v>2464.2300000000005</v>
      </c>
      <c r="J41" s="83">
        <v>2746.58</v>
      </c>
      <c r="K41" s="83">
        <v>3245.3499999999985</v>
      </c>
      <c r="L41" s="83">
        <v>5173.8899999999967</v>
      </c>
      <c r="M41" s="83">
        <v>2008.9299999999992</v>
      </c>
      <c r="N41" s="83">
        <v>2090.8999999999992</v>
      </c>
      <c r="O41" s="83">
        <v>1273.7100000000005</v>
      </c>
      <c r="P41" s="83">
        <v>2527.6200000000008</v>
      </c>
      <c r="Q41" s="83">
        <v>3731.7300000000014</v>
      </c>
      <c r="R41" s="57">
        <f>SUM(F41:Q41)</f>
        <v>37460.82</v>
      </c>
      <c r="S41" s="72">
        <f>+R41/R42</f>
        <v>0.83932028643810441</v>
      </c>
      <c r="T41" s="57"/>
      <c r="U41" s="73"/>
      <c r="V41" s="57"/>
      <c r="W41" s="57"/>
    </row>
    <row r="42" spans="2:23" ht="13.5" thickBot="1">
      <c r="C42" s="96" t="s">
        <v>120</v>
      </c>
      <c r="D42" s="86"/>
      <c r="E42" s="86"/>
      <c r="F42" s="87">
        <f>SUM(F40:F41)</f>
        <v>5596.2199999999993</v>
      </c>
      <c r="G42" s="87">
        <f t="shared" ref="G42:Q42" si="9">SUM(G40:G41)</f>
        <v>4531.6400000000031</v>
      </c>
      <c r="H42" s="87">
        <f t="shared" si="9"/>
        <v>4129.4299999999985</v>
      </c>
      <c r="I42" s="87">
        <f t="shared" si="9"/>
        <v>2963.6300000000006</v>
      </c>
      <c r="J42" s="87">
        <f t="shared" si="9"/>
        <v>3279.37</v>
      </c>
      <c r="K42" s="87">
        <f t="shared" si="9"/>
        <v>3903.6799999999985</v>
      </c>
      <c r="L42" s="87">
        <f t="shared" si="9"/>
        <v>6150.7499999999964</v>
      </c>
      <c r="M42" s="87">
        <f t="shared" si="9"/>
        <v>2449.6299999999992</v>
      </c>
      <c r="N42" s="87">
        <f t="shared" si="9"/>
        <v>2522.9199999999992</v>
      </c>
      <c r="O42" s="87">
        <f t="shared" si="9"/>
        <v>1572.0900000000006</v>
      </c>
      <c r="P42" s="87">
        <f t="shared" si="9"/>
        <v>3059.1500000000005</v>
      </c>
      <c r="Q42" s="87">
        <f t="shared" si="9"/>
        <v>4473.8200000000015</v>
      </c>
      <c r="R42" s="88">
        <f>SUM(R40:R41)</f>
        <v>44632.33</v>
      </c>
      <c r="S42" s="89"/>
      <c r="T42" s="57"/>
      <c r="U42" s="57"/>
      <c r="V42" s="57"/>
      <c r="W42" s="57"/>
    </row>
    <row r="43" spans="2:23" ht="13.5" thickBot="1">
      <c r="B43" s="90" t="s">
        <v>56</v>
      </c>
      <c r="C43" s="91"/>
      <c r="D43" s="91"/>
      <c r="E43" s="91"/>
      <c r="F43" s="92">
        <f t="shared" ref="F43:R43" si="10">F34+F38+F42</f>
        <v>11116.2776485615</v>
      </c>
      <c r="G43" s="92">
        <f t="shared" si="10"/>
        <v>9534.7100598647667</v>
      </c>
      <c r="H43" s="92">
        <f t="shared" si="10"/>
        <v>9760.0875476619949</v>
      </c>
      <c r="I43" s="92">
        <f t="shared" si="10"/>
        <v>8269.5747537158477</v>
      </c>
      <c r="J43" s="92">
        <f t="shared" si="10"/>
        <v>8501.0273810056933</v>
      </c>
      <c r="K43" s="92">
        <f t="shared" si="10"/>
        <v>9216.1871544044807</v>
      </c>
      <c r="L43" s="92">
        <f t="shared" si="10"/>
        <v>11198.756059535239</v>
      </c>
      <c r="M43" s="92">
        <f t="shared" si="10"/>
        <v>7996.7312628689488</v>
      </c>
      <c r="N43" s="92">
        <f t="shared" si="10"/>
        <v>8173.9294162308115</v>
      </c>
      <c r="O43" s="92">
        <f t="shared" si="10"/>
        <v>5964.0774749226639</v>
      </c>
      <c r="P43" s="92">
        <f t="shared" si="10"/>
        <v>7881.8590703013679</v>
      </c>
      <c r="Q43" s="92">
        <f t="shared" si="10"/>
        <v>9603.3002011605276</v>
      </c>
      <c r="R43" s="93">
        <f t="shared" si="10"/>
        <v>107216.51803023386</v>
      </c>
      <c r="S43" s="57">
        <f>+R32+R36+R40</f>
        <v>17976.160319261122</v>
      </c>
      <c r="T43" s="72"/>
      <c r="U43" s="57"/>
      <c r="V43" s="57"/>
      <c r="W43" s="57"/>
    </row>
    <row r="44" spans="2:23"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57"/>
      <c r="S44" s="57"/>
      <c r="T44" s="57"/>
      <c r="U44" s="57"/>
      <c r="V44" s="57"/>
      <c r="W44" s="57"/>
    </row>
    <row r="45" spans="2:23">
      <c r="B45" s="49" t="s">
        <v>109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57"/>
      <c r="S45" s="57"/>
      <c r="T45" s="57"/>
      <c r="U45" s="57"/>
      <c r="V45" s="57"/>
      <c r="W45" s="57"/>
    </row>
    <row r="46" spans="2:23">
      <c r="C46" s="70" t="s">
        <v>112</v>
      </c>
      <c r="F46" s="71">
        <v>110.8435434115674</v>
      </c>
      <c r="G46" s="71">
        <v>114.34516508467013</v>
      </c>
      <c r="H46" s="71">
        <v>100.41244887789065</v>
      </c>
      <c r="I46" s="71">
        <v>123.60987785877725</v>
      </c>
      <c r="J46" s="71">
        <v>106.93044925942105</v>
      </c>
      <c r="K46" s="71">
        <v>87.706460251965936</v>
      </c>
      <c r="L46" s="71">
        <v>106.95860195358431</v>
      </c>
      <c r="M46" s="71">
        <v>124.77417423359402</v>
      </c>
      <c r="N46" s="71">
        <v>105.31727381655674</v>
      </c>
      <c r="O46" s="71">
        <v>96.383615871962036</v>
      </c>
      <c r="P46" s="71">
        <v>89.447756520582487</v>
      </c>
      <c r="Q46" s="71">
        <v>85.689762859428214</v>
      </c>
      <c r="R46" s="57">
        <f>SUM(F46:Q46)</f>
        <v>1252.4191300000002</v>
      </c>
      <c r="S46" s="72">
        <f>+R46/R48</f>
        <v>2.46738338028724E-2</v>
      </c>
      <c r="T46" s="57"/>
      <c r="U46" s="57"/>
      <c r="V46" s="57"/>
      <c r="W46" s="57"/>
    </row>
    <row r="47" spans="2:23" ht="13.5" thickBot="1">
      <c r="C47" s="70" t="s">
        <v>113</v>
      </c>
      <c r="F47" s="83">
        <v>3997.1564565884328</v>
      </c>
      <c r="G47" s="83">
        <v>3765.65483491533</v>
      </c>
      <c r="H47" s="83">
        <v>4214.5875511221093</v>
      </c>
      <c r="I47" s="83">
        <v>4241.3901221412225</v>
      </c>
      <c r="J47" s="83">
        <v>3905.069550740579</v>
      </c>
      <c r="K47" s="83">
        <v>5471.2935397480342</v>
      </c>
      <c r="L47" s="83">
        <v>4276.0413980464155</v>
      </c>
      <c r="M47" s="83">
        <v>3963.2258257664062</v>
      </c>
      <c r="N47" s="83">
        <v>4075.6827261834433</v>
      </c>
      <c r="O47" s="83">
        <v>3435.6163841280381</v>
      </c>
      <c r="P47" s="83">
        <v>3944.5522434794175</v>
      </c>
      <c r="Q47" s="83">
        <v>4216.3102371405721</v>
      </c>
      <c r="R47" s="57">
        <f>SUM(F47:Q47)</f>
        <v>49506.580869999998</v>
      </c>
      <c r="S47" s="72">
        <f>+R47/R48</f>
        <v>0.97532616619712753</v>
      </c>
    </row>
    <row r="48" spans="2:23" ht="13.5" thickBot="1">
      <c r="B48" s="90" t="s">
        <v>121</v>
      </c>
      <c r="C48" s="91"/>
      <c r="D48" s="91"/>
      <c r="E48" s="91"/>
      <c r="F48" s="98">
        <f>SUM(F46:F47)</f>
        <v>4108</v>
      </c>
      <c r="G48" s="98">
        <f t="shared" ref="G48:Q48" si="11">SUM(G46:G47)</f>
        <v>3880</v>
      </c>
      <c r="H48" s="98">
        <f t="shared" si="11"/>
        <v>4315</v>
      </c>
      <c r="I48" s="98">
        <f t="shared" si="11"/>
        <v>4365</v>
      </c>
      <c r="J48" s="98">
        <f t="shared" si="11"/>
        <v>4012</v>
      </c>
      <c r="K48" s="98">
        <f t="shared" si="11"/>
        <v>5559</v>
      </c>
      <c r="L48" s="98">
        <f t="shared" si="11"/>
        <v>4383</v>
      </c>
      <c r="M48" s="98">
        <f t="shared" si="11"/>
        <v>4088</v>
      </c>
      <c r="N48" s="98">
        <f t="shared" si="11"/>
        <v>4181</v>
      </c>
      <c r="O48" s="98">
        <f t="shared" si="11"/>
        <v>3532</v>
      </c>
      <c r="P48" s="98">
        <f t="shared" si="11"/>
        <v>4034</v>
      </c>
      <c r="Q48" s="98">
        <f t="shared" si="11"/>
        <v>4302</v>
      </c>
      <c r="R48" s="93">
        <f>SUM(R46:R47)</f>
        <v>50759</v>
      </c>
      <c r="U48" s="94"/>
    </row>
    <row r="49" spans="1:19"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</row>
    <row r="50" spans="1:19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</row>
    <row r="51" spans="1:19">
      <c r="B51" s="49" t="s">
        <v>114</v>
      </c>
      <c r="F51" s="94">
        <f t="shared" ref="F51:R51" si="12">F21+F22+F34+F46+F47</f>
        <v>10760.479444628167</v>
      </c>
      <c r="G51" s="94">
        <f t="shared" si="12"/>
        <v>10005.284742571634</v>
      </c>
      <c r="H51" s="94">
        <f t="shared" si="12"/>
        <v>11158.520708293112</v>
      </c>
      <c r="I51" s="94">
        <f t="shared" si="12"/>
        <v>10841.503062642529</v>
      </c>
      <c r="J51" s="94">
        <f t="shared" si="12"/>
        <v>10342.502710353532</v>
      </c>
      <c r="K51" s="94">
        <f t="shared" si="12"/>
        <v>12062.886897243758</v>
      </c>
      <c r="L51" s="94">
        <f t="shared" si="12"/>
        <v>10580.302869535455</v>
      </c>
      <c r="M51" s="94">
        <f t="shared" si="12"/>
        <v>10342.029636875099</v>
      </c>
      <c r="N51" s="94">
        <f t="shared" si="12"/>
        <v>10640.669960450523</v>
      </c>
      <c r="O51" s="94">
        <f t="shared" si="12"/>
        <v>8942.8765870655843</v>
      </c>
      <c r="P51" s="94">
        <f t="shared" si="12"/>
        <v>10132.527079260344</v>
      </c>
      <c r="Q51" s="94">
        <f t="shared" si="12"/>
        <v>10590.153144773223</v>
      </c>
      <c r="R51" s="94">
        <f t="shared" si="12"/>
        <v>126399.73684369295</v>
      </c>
    </row>
    <row r="52" spans="1:19">
      <c r="B52" s="49" t="s">
        <v>119</v>
      </c>
      <c r="F52" s="94">
        <f t="shared" ref="F52:R52" si="13">+F27+F38</f>
        <v>3530.9262288484133</v>
      </c>
      <c r="G52" s="94">
        <f t="shared" si="13"/>
        <v>3255.8466382635388</v>
      </c>
      <c r="H52" s="94">
        <f t="shared" si="13"/>
        <v>3503.2935352267687</v>
      </c>
      <c r="I52" s="94">
        <f t="shared" si="13"/>
        <v>3343.6431225908182</v>
      </c>
      <c r="J52" s="94">
        <f t="shared" si="13"/>
        <v>3361.632411954879</v>
      </c>
      <c r="K52" s="94">
        <f t="shared" si="13"/>
        <v>3472.7999885431846</v>
      </c>
      <c r="L52" s="94">
        <f t="shared" si="13"/>
        <v>3291.3978639925313</v>
      </c>
      <c r="M52" s="94">
        <f t="shared" si="13"/>
        <v>3678.6455118212434</v>
      </c>
      <c r="N52" s="94">
        <f t="shared" si="13"/>
        <v>3699.1639569706599</v>
      </c>
      <c r="O52" s="94">
        <f t="shared" si="13"/>
        <v>2948.9058105934473</v>
      </c>
      <c r="P52" s="94">
        <f t="shared" si="13"/>
        <v>3244.5285708402043</v>
      </c>
      <c r="Q52" s="94">
        <f t="shared" si="13"/>
        <v>3370.3929705232167</v>
      </c>
      <c r="R52" s="94">
        <f t="shared" si="13"/>
        <v>40701.176610168906</v>
      </c>
    </row>
    <row r="53" spans="1:19" ht="13.5" thickBot="1">
      <c r="B53" s="49" t="s">
        <v>120</v>
      </c>
      <c r="F53" s="94">
        <f t="shared" ref="F53:R53" si="14">F42</f>
        <v>5596.2199999999993</v>
      </c>
      <c r="G53" s="94">
        <f t="shared" si="14"/>
        <v>4531.6400000000031</v>
      </c>
      <c r="H53" s="94">
        <f t="shared" si="14"/>
        <v>4129.4299999999985</v>
      </c>
      <c r="I53" s="94">
        <f t="shared" si="14"/>
        <v>2963.6300000000006</v>
      </c>
      <c r="J53" s="94">
        <f t="shared" si="14"/>
        <v>3279.37</v>
      </c>
      <c r="K53" s="94">
        <f t="shared" si="14"/>
        <v>3903.6799999999985</v>
      </c>
      <c r="L53" s="94">
        <f t="shared" si="14"/>
        <v>6150.7499999999964</v>
      </c>
      <c r="M53" s="94">
        <f t="shared" si="14"/>
        <v>2449.6299999999992</v>
      </c>
      <c r="N53" s="94">
        <f t="shared" si="14"/>
        <v>2522.9199999999992</v>
      </c>
      <c r="O53" s="94">
        <f t="shared" si="14"/>
        <v>1572.0900000000006</v>
      </c>
      <c r="P53" s="94">
        <f t="shared" si="14"/>
        <v>3059.1500000000005</v>
      </c>
      <c r="Q53" s="94">
        <f t="shared" si="14"/>
        <v>4473.8200000000015</v>
      </c>
      <c r="R53" s="94">
        <f t="shared" si="14"/>
        <v>44632.33</v>
      </c>
      <c r="S53" s="68"/>
    </row>
    <row r="54" spans="1:19" ht="13.5" thickBot="1">
      <c r="A54" s="90" t="s">
        <v>122</v>
      </c>
      <c r="B54" s="91"/>
      <c r="C54" s="91"/>
      <c r="D54" s="91"/>
      <c r="E54" s="91"/>
      <c r="F54" s="99">
        <f t="shared" ref="F54:R54" si="15">SUM(F51:F53)</f>
        <v>19887.625673476578</v>
      </c>
      <c r="G54" s="99">
        <f t="shared" si="15"/>
        <v>17792.771380835176</v>
      </c>
      <c r="H54" s="99">
        <f t="shared" si="15"/>
        <v>18791.244243519879</v>
      </c>
      <c r="I54" s="99">
        <f t="shared" si="15"/>
        <v>17148.776185233346</v>
      </c>
      <c r="J54" s="99">
        <f t="shared" si="15"/>
        <v>16983.505122308412</v>
      </c>
      <c r="K54" s="99">
        <f t="shared" si="15"/>
        <v>19439.366885786942</v>
      </c>
      <c r="L54" s="99">
        <f t="shared" si="15"/>
        <v>20022.450733527985</v>
      </c>
      <c r="M54" s="99">
        <f t="shared" si="15"/>
        <v>16470.305148696341</v>
      </c>
      <c r="N54" s="99">
        <f t="shared" si="15"/>
        <v>16862.753917421182</v>
      </c>
      <c r="O54" s="99">
        <f t="shared" si="15"/>
        <v>13463.872397659032</v>
      </c>
      <c r="P54" s="99">
        <f t="shared" si="15"/>
        <v>16436.20565010055</v>
      </c>
      <c r="Q54" s="99">
        <f t="shared" si="15"/>
        <v>18434.366115296441</v>
      </c>
      <c r="R54" s="100">
        <f t="shared" si="15"/>
        <v>211733.24345386185</v>
      </c>
    </row>
    <row r="56" spans="1:19">
      <c r="B56" s="48" t="s">
        <v>123</v>
      </c>
    </row>
    <row r="57" spans="1:19">
      <c r="C57" s="48" t="s">
        <v>59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9">
      <c r="D58" s="49" t="s">
        <v>111</v>
      </c>
      <c r="F58" s="57">
        <f t="shared" ref="F58:R58" si="16">F21</f>
        <v>233.68411299064337</v>
      </c>
      <c r="G58" s="57">
        <f t="shared" si="16"/>
        <v>218.94960190245828</v>
      </c>
      <c r="H58" s="57">
        <f t="shared" si="16"/>
        <v>244.13068029694793</v>
      </c>
      <c r="I58" s="57">
        <f t="shared" si="16"/>
        <v>244.57917184017472</v>
      </c>
      <c r="J58" s="57">
        <f t="shared" si="16"/>
        <v>232.78977009454272</v>
      </c>
      <c r="K58" s="57">
        <f t="shared" si="16"/>
        <v>246.47227468528953</v>
      </c>
      <c r="L58" s="57">
        <f t="shared" si="16"/>
        <v>234.31380172379946</v>
      </c>
      <c r="M58" s="57">
        <f t="shared" si="16"/>
        <v>222.06669074724127</v>
      </c>
      <c r="N58" s="57">
        <f t="shared" si="16"/>
        <v>223.69803483572559</v>
      </c>
      <c r="O58" s="57">
        <f t="shared" si="16"/>
        <v>195.22030473646362</v>
      </c>
      <c r="P58" s="57">
        <f t="shared" si="16"/>
        <v>225.68484392942736</v>
      </c>
      <c r="Q58" s="57">
        <f t="shared" si="16"/>
        <v>230.00403233724955</v>
      </c>
      <c r="R58" s="57">
        <f t="shared" si="16"/>
        <v>2751.5933201199632</v>
      </c>
    </row>
    <row r="59" spans="1:19">
      <c r="D59" s="49" t="s">
        <v>124</v>
      </c>
      <c r="F59" s="57">
        <f t="shared" ref="F59:R59" si="17">F25</f>
        <v>38.538144391546453</v>
      </c>
      <c r="G59" s="57">
        <f t="shared" si="17"/>
        <v>37.273745809976845</v>
      </c>
      <c r="H59" s="57">
        <f t="shared" si="17"/>
        <v>38.05925985893434</v>
      </c>
      <c r="I59" s="57">
        <f t="shared" si="17"/>
        <v>37.892356741372581</v>
      </c>
      <c r="J59" s="57">
        <f t="shared" si="17"/>
        <v>40.813547428851408</v>
      </c>
      <c r="K59" s="57">
        <f t="shared" si="17"/>
        <v>35.512843751462015</v>
      </c>
      <c r="L59" s="57">
        <f t="shared" si="17"/>
        <v>35.324977305861864</v>
      </c>
      <c r="M59" s="57">
        <f t="shared" si="17"/>
        <v>39.774607684821639</v>
      </c>
      <c r="N59" s="57">
        <f t="shared" si="17"/>
        <v>41.575871940353011</v>
      </c>
      <c r="O59" s="57">
        <f t="shared" si="17"/>
        <v>32.671518622794352</v>
      </c>
      <c r="P59" s="57">
        <f t="shared" si="17"/>
        <v>38.450136033744172</v>
      </c>
      <c r="Q59" s="57">
        <f t="shared" si="17"/>
        <v>32.116096797017377</v>
      </c>
      <c r="R59" s="57">
        <f t="shared" si="17"/>
        <v>448.00310636673601</v>
      </c>
    </row>
    <row r="60" spans="1:19">
      <c r="C60" s="48" t="s">
        <v>103</v>
      </c>
      <c r="D60" s="48"/>
      <c r="E60" s="48"/>
      <c r="F60" s="101">
        <f t="shared" ref="F60:R60" si="18">SUM(F58:F59)</f>
        <v>272.22225738218981</v>
      </c>
      <c r="G60" s="101">
        <f t="shared" si="18"/>
        <v>256.22334771243516</v>
      </c>
      <c r="H60" s="101">
        <f t="shared" si="18"/>
        <v>282.18994015588225</v>
      </c>
      <c r="I60" s="101">
        <f t="shared" si="18"/>
        <v>282.47152858154732</v>
      </c>
      <c r="J60" s="101">
        <f t="shared" si="18"/>
        <v>273.60331752339414</v>
      </c>
      <c r="K60" s="101">
        <f t="shared" si="18"/>
        <v>281.98511843675158</v>
      </c>
      <c r="L60" s="101">
        <f t="shared" si="18"/>
        <v>269.63877902966135</v>
      </c>
      <c r="M60" s="101">
        <f t="shared" si="18"/>
        <v>261.8412984320629</v>
      </c>
      <c r="N60" s="101">
        <f t="shared" si="18"/>
        <v>265.2739067760786</v>
      </c>
      <c r="O60" s="101">
        <f t="shared" si="18"/>
        <v>227.89182335925796</v>
      </c>
      <c r="P60" s="101">
        <f t="shared" si="18"/>
        <v>264.13497996317153</v>
      </c>
      <c r="Q60" s="101">
        <f t="shared" si="18"/>
        <v>262.1201291342669</v>
      </c>
      <c r="R60" s="101">
        <f t="shared" si="18"/>
        <v>3199.5964264866993</v>
      </c>
    </row>
    <row r="61" spans="1:19" ht="7.5" customHeight="1">
      <c r="C61" s="48"/>
      <c r="D61" s="48"/>
      <c r="E61" s="48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  <row r="62" spans="1:19">
      <c r="C62" s="48" t="s">
        <v>39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9">
      <c r="D63" s="49" t="s">
        <v>111</v>
      </c>
      <c r="F63" s="57">
        <f t="shared" ref="F63:R63" si="19">F32</f>
        <v>599.80197971880398</v>
      </c>
      <c r="G63" s="57">
        <f t="shared" si="19"/>
        <v>530.17078093277416</v>
      </c>
      <c r="H63" s="57">
        <f t="shared" si="19"/>
        <v>582.48426266432477</v>
      </c>
      <c r="I63" s="57">
        <f t="shared" si="19"/>
        <v>592.85288192996597</v>
      </c>
      <c r="J63" s="57">
        <f t="shared" si="19"/>
        <v>552.52718831555262</v>
      </c>
      <c r="K63" s="57">
        <f t="shared" si="19"/>
        <v>578.68381221844788</v>
      </c>
      <c r="L63" s="57">
        <f t="shared" si="19"/>
        <v>528.15354593290067</v>
      </c>
      <c r="M63" s="57">
        <f t="shared" si="19"/>
        <v>548.78039284403178</v>
      </c>
      <c r="N63" s="57">
        <f t="shared" si="19"/>
        <v>599.74437874509863</v>
      </c>
      <c r="O63" s="57">
        <f t="shared" si="19"/>
        <v>459.35752363420113</v>
      </c>
      <c r="P63" s="57">
        <f t="shared" si="19"/>
        <v>504.87486675474531</v>
      </c>
      <c r="Q63" s="57">
        <f t="shared" si="19"/>
        <v>525.47505943550266</v>
      </c>
      <c r="R63" s="57">
        <f t="shared" si="19"/>
        <v>6602.9066731263492</v>
      </c>
    </row>
    <row r="64" spans="1:19">
      <c r="D64" s="49" t="s">
        <v>104</v>
      </c>
      <c r="F64" s="57">
        <f t="shared" ref="F64:R64" si="20">F36</f>
        <v>367.06714354459132</v>
      </c>
      <c r="G64" s="57">
        <f t="shared" si="20"/>
        <v>328.09427317867534</v>
      </c>
      <c r="H64" s="57">
        <f t="shared" si="20"/>
        <v>329.54465918054211</v>
      </c>
      <c r="I64" s="57">
        <f t="shared" si="20"/>
        <v>352.68192301906163</v>
      </c>
      <c r="J64" s="57">
        <f t="shared" si="20"/>
        <v>340.36527590577344</v>
      </c>
      <c r="K64" s="57">
        <f t="shared" si="20"/>
        <v>377.20065671579005</v>
      </c>
      <c r="L64" s="57">
        <f t="shared" si="20"/>
        <v>325.09833698607571</v>
      </c>
      <c r="M64" s="57">
        <f t="shared" si="20"/>
        <v>364.37754628092375</v>
      </c>
      <c r="N64" s="57">
        <f t="shared" si="20"/>
        <v>417.94401388106837</v>
      </c>
      <c r="O64" s="57">
        <f t="shared" si="20"/>
        <v>307.11192879136638</v>
      </c>
      <c r="P64" s="57">
        <f t="shared" si="20"/>
        <v>331.6498929372994</v>
      </c>
      <c r="Q64" s="57">
        <f t="shared" si="20"/>
        <v>360.60799571360258</v>
      </c>
      <c r="R64" s="57">
        <f t="shared" si="20"/>
        <v>4201.7436461347697</v>
      </c>
    </row>
    <row r="65" spans="1:18">
      <c r="D65" s="49" t="s">
        <v>58</v>
      </c>
      <c r="F65" s="57">
        <f t="shared" ref="F65:R65" si="21">F40</f>
        <v>859.42000000000007</v>
      </c>
      <c r="G65" s="57">
        <f t="shared" si="21"/>
        <v>604.19000000000005</v>
      </c>
      <c r="H65" s="57">
        <f t="shared" si="21"/>
        <v>595.79999999999995</v>
      </c>
      <c r="I65" s="57">
        <f t="shared" si="21"/>
        <v>499.4</v>
      </c>
      <c r="J65" s="57">
        <f t="shared" si="21"/>
        <v>532.79</v>
      </c>
      <c r="K65" s="57">
        <f t="shared" si="21"/>
        <v>658.32999999999993</v>
      </c>
      <c r="L65" s="57">
        <f t="shared" si="21"/>
        <v>976.85999999999979</v>
      </c>
      <c r="M65" s="57">
        <f t="shared" si="21"/>
        <v>440.7</v>
      </c>
      <c r="N65" s="57">
        <f t="shared" si="21"/>
        <v>432.02000000000004</v>
      </c>
      <c r="O65" s="57">
        <f t="shared" si="21"/>
        <v>298.38000000000005</v>
      </c>
      <c r="P65" s="57">
        <f t="shared" si="21"/>
        <v>531.53</v>
      </c>
      <c r="Q65" s="57">
        <f t="shared" si="21"/>
        <v>742.08999999999992</v>
      </c>
      <c r="R65" s="57">
        <f t="shared" si="21"/>
        <v>7171.51</v>
      </c>
    </row>
    <row r="66" spans="1:18">
      <c r="B66" s="48"/>
      <c r="C66" s="48" t="s">
        <v>56</v>
      </c>
      <c r="D66" s="48"/>
      <c r="E66" s="48"/>
      <c r="F66" s="101">
        <f t="shared" ref="F66:R66" si="22">SUM(F63:F65)</f>
        <v>1826.2891232633954</v>
      </c>
      <c r="G66" s="101">
        <f t="shared" si="22"/>
        <v>1462.4550541114495</v>
      </c>
      <c r="H66" s="101">
        <f t="shared" si="22"/>
        <v>1507.8289218448667</v>
      </c>
      <c r="I66" s="101">
        <f t="shared" si="22"/>
        <v>1444.9348049490277</v>
      </c>
      <c r="J66" s="101">
        <f t="shared" si="22"/>
        <v>1425.682464221326</v>
      </c>
      <c r="K66" s="101">
        <f t="shared" si="22"/>
        <v>1614.2144689342379</v>
      </c>
      <c r="L66" s="101">
        <f t="shared" si="22"/>
        <v>1830.1118829189763</v>
      </c>
      <c r="M66" s="101">
        <f t="shared" si="22"/>
        <v>1353.8579391249555</v>
      </c>
      <c r="N66" s="101">
        <f t="shared" si="22"/>
        <v>1449.7083926261671</v>
      </c>
      <c r="O66" s="101">
        <f t="shared" si="22"/>
        <v>1064.8494524255675</v>
      </c>
      <c r="P66" s="101">
        <f t="shared" si="22"/>
        <v>1368.0547596920446</v>
      </c>
      <c r="Q66" s="101">
        <f t="shared" si="22"/>
        <v>1628.173055149105</v>
      </c>
      <c r="R66" s="101">
        <f t="shared" si="22"/>
        <v>17976.160319261122</v>
      </c>
    </row>
    <row r="67" spans="1:18" ht="7.5" customHeight="1">
      <c r="C67" s="48"/>
      <c r="D67" s="48"/>
      <c r="E67" s="48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</row>
    <row r="68" spans="1:18">
      <c r="C68" s="48" t="s">
        <v>109</v>
      </c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D69" s="49" t="s">
        <v>111</v>
      </c>
      <c r="F69" s="57">
        <f t="shared" ref="F69:R69" si="23">F46</f>
        <v>110.8435434115674</v>
      </c>
      <c r="G69" s="57">
        <f t="shared" si="23"/>
        <v>114.34516508467013</v>
      </c>
      <c r="H69" s="57">
        <f t="shared" si="23"/>
        <v>100.41244887789065</v>
      </c>
      <c r="I69" s="57">
        <f t="shared" si="23"/>
        <v>123.60987785877725</v>
      </c>
      <c r="J69" s="57">
        <f t="shared" si="23"/>
        <v>106.93044925942105</v>
      </c>
      <c r="K69" s="57">
        <f t="shared" si="23"/>
        <v>87.706460251965936</v>
      </c>
      <c r="L69" s="57">
        <f t="shared" si="23"/>
        <v>106.95860195358431</v>
      </c>
      <c r="M69" s="57">
        <f t="shared" si="23"/>
        <v>124.77417423359402</v>
      </c>
      <c r="N69" s="57">
        <f t="shared" si="23"/>
        <v>105.31727381655674</v>
      </c>
      <c r="O69" s="57">
        <f t="shared" si="23"/>
        <v>96.383615871962036</v>
      </c>
      <c r="P69" s="57">
        <f t="shared" si="23"/>
        <v>89.447756520582487</v>
      </c>
      <c r="Q69" s="57">
        <f t="shared" si="23"/>
        <v>85.689762859428214</v>
      </c>
      <c r="R69" s="57">
        <f t="shared" si="23"/>
        <v>1252.4191300000002</v>
      </c>
    </row>
    <row r="70" spans="1:18" s="48" customFormat="1">
      <c r="C70" s="48" t="s">
        <v>121</v>
      </c>
      <c r="F70" s="101">
        <f t="shared" ref="F70:R70" si="24">SUM(F69)</f>
        <v>110.8435434115674</v>
      </c>
      <c r="G70" s="101">
        <f t="shared" si="24"/>
        <v>114.34516508467013</v>
      </c>
      <c r="H70" s="101">
        <f t="shared" si="24"/>
        <v>100.41244887789065</v>
      </c>
      <c r="I70" s="101">
        <f t="shared" si="24"/>
        <v>123.60987785877725</v>
      </c>
      <c r="J70" s="101">
        <f t="shared" si="24"/>
        <v>106.93044925942105</v>
      </c>
      <c r="K70" s="101">
        <f t="shared" si="24"/>
        <v>87.706460251965936</v>
      </c>
      <c r="L70" s="101">
        <f t="shared" si="24"/>
        <v>106.95860195358431</v>
      </c>
      <c r="M70" s="101">
        <f t="shared" si="24"/>
        <v>124.77417423359402</v>
      </c>
      <c r="N70" s="101">
        <f t="shared" si="24"/>
        <v>105.31727381655674</v>
      </c>
      <c r="O70" s="101">
        <f t="shared" si="24"/>
        <v>96.383615871962036</v>
      </c>
      <c r="P70" s="101">
        <f t="shared" si="24"/>
        <v>89.447756520582487</v>
      </c>
      <c r="Q70" s="101">
        <f t="shared" si="24"/>
        <v>85.689762859428214</v>
      </c>
      <c r="R70" s="101">
        <f t="shared" si="24"/>
        <v>1252.4191300000002</v>
      </c>
    </row>
    <row r="71" spans="1:18" ht="7.5" customHeight="1" thickBot="1">
      <c r="C71" s="48"/>
      <c r="D71" s="48"/>
      <c r="E71" s="48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</row>
    <row r="72" spans="1:18" ht="13.5" thickBot="1">
      <c r="B72" s="90" t="s">
        <v>123</v>
      </c>
      <c r="C72" s="91"/>
      <c r="D72" s="91"/>
      <c r="E72" s="91"/>
      <c r="F72" s="92">
        <f t="shared" ref="F72:R72" si="25">F60+F66+F70</f>
        <v>2209.3549240571524</v>
      </c>
      <c r="G72" s="92">
        <f t="shared" si="25"/>
        <v>1833.0235669085546</v>
      </c>
      <c r="H72" s="92">
        <f t="shared" si="25"/>
        <v>1890.4313108786396</v>
      </c>
      <c r="I72" s="92">
        <f t="shared" si="25"/>
        <v>1851.0162113893523</v>
      </c>
      <c r="J72" s="92">
        <f t="shared" si="25"/>
        <v>1806.2162310041413</v>
      </c>
      <c r="K72" s="92">
        <f t="shared" si="25"/>
        <v>1983.9060476229552</v>
      </c>
      <c r="L72" s="92">
        <f t="shared" si="25"/>
        <v>2206.7092639022217</v>
      </c>
      <c r="M72" s="92">
        <f t="shared" si="25"/>
        <v>1740.4734117906125</v>
      </c>
      <c r="N72" s="92">
        <f t="shared" si="25"/>
        <v>1820.2995732188024</v>
      </c>
      <c r="O72" s="92">
        <f t="shared" si="25"/>
        <v>1389.1248916567877</v>
      </c>
      <c r="P72" s="92">
        <f t="shared" si="25"/>
        <v>1721.6374961757988</v>
      </c>
      <c r="Q72" s="92">
        <f t="shared" si="25"/>
        <v>1975.9829471428</v>
      </c>
      <c r="R72" s="93">
        <f t="shared" si="25"/>
        <v>22428.175875747824</v>
      </c>
    </row>
    <row r="75" spans="1:18" ht="18">
      <c r="A75" s="55" t="s">
        <v>125</v>
      </c>
    </row>
    <row r="76" spans="1:18">
      <c r="E76" s="48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57"/>
    </row>
    <row r="77" spans="1:18">
      <c r="B77" s="49" t="s">
        <v>59</v>
      </c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57"/>
    </row>
    <row r="78" spans="1:18">
      <c r="C78" s="49" t="s">
        <v>112</v>
      </c>
      <c r="F78" s="103">
        <v>120.17</v>
      </c>
      <c r="G78" s="103">
        <v>120.17</v>
      </c>
      <c r="H78" s="103">
        <v>120.17</v>
      </c>
      <c r="I78" s="103">
        <v>120.17</v>
      </c>
      <c r="J78" s="103">
        <v>120.17</v>
      </c>
      <c r="K78" s="103">
        <v>120.17</v>
      </c>
      <c r="L78" s="103">
        <v>120.17</v>
      </c>
      <c r="M78" s="103">
        <v>120.17</v>
      </c>
      <c r="N78" s="103">
        <v>120.17</v>
      </c>
      <c r="O78" s="103">
        <v>120.17</v>
      </c>
      <c r="P78" s="103">
        <v>120.17</v>
      </c>
      <c r="Q78" s="103">
        <v>120.17</v>
      </c>
      <c r="R78" s="104">
        <f>AVERAGE(F78:Q78)</f>
        <v>120.17000000000002</v>
      </c>
    </row>
    <row r="79" spans="1:18">
      <c r="C79" s="49" t="s">
        <v>113</v>
      </c>
      <c r="F79" s="103">
        <v>120.17</v>
      </c>
      <c r="G79" s="103">
        <v>120.17</v>
      </c>
      <c r="H79" s="103">
        <v>120.17</v>
      </c>
      <c r="I79" s="103">
        <v>120.17</v>
      </c>
      <c r="J79" s="103">
        <v>120.17</v>
      </c>
      <c r="K79" s="103">
        <v>120.17</v>
      </c>
      <c r="L79" s="103">
        <v>120.17</v>
      </c>
      <c r="M79" s="103">
        <v>120.17</v>
      </c>
      <c r="N79" s="103">
        <v>120.17</v>
      </c>
      <c r="O79" s="103">
        <v>120.17</v>
      </c>
      <c r="P79" s="103">
        <v>120.17</v>
      </c>
      <c r="Q79" s="103">
        <v>120.17</v>
      </c>
      <c r="R79" s="104">
        <f>AVERAGE(F79:Q79)</f>
        <v>120.17000000000002</v>
      </c>
    </row>
    <row r="80" spans="1:18">
      <c r="C80" s="69" t="s">
        <v>126</v>
      </c>
      <c r="F80" s="103">
        <v>68.39</v>
      </c>
      <c r="G80" s="103">
        <v>68.39</v>
      </c>
      <c r="H80" s="103">
        <v>68.39</v>
      </c>
      <c r="I80" s="103">
        <v>68.39</v>
      </c>
      <c r="J80" s="103">
        <v>68.39</v>
      </c>
      <c r="K80" s="103">
        <v>68.39</v>
      </c>
      <c r="L80" s="103">
        <v>68.39</v>
      </c>
      <c r="M80" s="103">
        <v>68.39</v>
      </c>
      <c r="N80" s="103">
        <v>68.39</v>
      </c>
      <c r="O80" s="103">
        <v>68.39</v>
      </c>
      <c r="P80" s="103">
        <v>68.39</v>
      </c>
      <c r="Q80" s="103">
        <v>68.39</v>
      </c>
      <c r="R80" s="104">
        <f>AVERAGE(F80:Q80)</f>
        <v>68.39</v>
      </c>
    </row>
    <row r="81" spans="2:18">
      <c r="C81" s="49" t="s">
        <v>127</v>
      </c>
      <c r="F81" s="103">
        <v>68.39</v>
      </c>
      <c r="G81" s="103">
        <v>68.39</v>
      </c>
      <c r="H81" s="103">
        <v>68.39</v>
      </c>
      <c r="I81" s="103">
        <v>68.39</v>
      </c>
      <c r="J81" s="103">
        <v>68.39</v>
      </c>
      <c r="K81" s="103">
        <v>68.39</v>
      </c>
      <c r="L81" s="103">
        <v>68.39</v>
      </c>
      <c r="M81" s="103">
        <v>68.39</v>
      </c>
      <c r="N81" s="103">
        <v>68.39</v>
      </c>
      <c r="O81" s="103">
        <v>68.39</v>
      </c>
      <c r="P81" s="103">
        <v>68.39</v>
      </c>
      <c r="Q81" s="103">
        <v>68.39</v>
      </c>
      <c r="R81" s="104">
        <f>AVERAGE(F81:Q81)</f>
        <v>68.39</v>
      </c>
    </row>
    <row r="82" spans="2:18">
      <c r="C82" s="49" t="s">
        <v>128</v>
      </c>
      <c r="F82" s="105">
        <v>51.81</v>
      </c>
      <c r="G82" s="105">
        <v>51.81</v>
      </c>
      <c r="H82" s="105">
        <v>51.81</v>
      </c>
      <c r="I82" s="105">
        <v>51.81</v>
      </c>
      <c r="J82" s="105">
        <v>51.81</v>
      </c>
      <c r="K82" s="105">
        <v>51.81</v>
      </c>
      <c r="L82" s="105">
        <v>51.81</v>
      </c>
      <c r="M82" s="105">
        <v>51.81</v>
      </c>
      <c r="N82" s="105">
        <v>51.81</v>
      </c>
      <c r="O82" s="105">
        <v>51.81</v>
      </c>
      <c r="P82" s="105">
        <v>51.81</v>
      </c>
      <c r="Q82" s="105">
        <v>51.81</v>
      </c>
      <c r="R82" s="104">
        <f>AVERAGE(F82:Q82)</f>
        <v>51.81</v>
      </c>
    </row>
    <row r="83" spans="2:18">
      <c r="B83" s="49" t="s">
        <v>103</v>
      </c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</row>
    <row r="84" spans="2:18"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2:18">
      <c r="B85" s="49" t="s">
        <v>39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2:18">
      <c r="C86" s="49" t="s">
        <v>111</v>
      </c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2:18">
      <c r="D87" s="49" t="s">
        <v>117</v>
      </c>
      <c r="F87" s="106">
        <v>120.17</v>
      </c>
      <c r="G87" s="106">
        <v>120.17</v>
      </c>
      <c r="H87" s="106">
        <v>120.17</v>
      </c>
      <c r="I87" s="106">
        <v>120.17</v>
      </c>
      <c r="J87" s="106">
        <v>120.17</v>
      </c>
      <c r="K87" s="106">
        <v>120.17</v>
      </c>
      <c r="L87" s="106">
        <v>120.17</v>
      </c>
      <c r="M87" s="106">
        <v>120.17</v>
      </c>
      <c r="N87" s="106">
        <v>120.17</v>
      </c>
      <c r="O87" s="106">
        <v>120.17</v>
      </c>
      <c r="P87" s="106">
        <v>120.17</v>
      </c>
      <c r="Q87" s="106">
        <v>120.17</v>
      </c>
      <c r="R87" s="107">
        <f>AVERAGE(F87:Q87)</f>
        <v>120.17000000000002</v>
      </c>
    </row>
    <row r="88" spans="2:18">
      <c r="D88" s="49" t="s">
        <v>118</v>
      </c>
      <c r="F88" s="106">
        <v>120.17</v>
      </c>
      <c r="G88" s="106">
        <v>120.17</v>
      </c>
      <c r="H88" s="106">
        <v>120.17</v>
      </c>
      <c r="I88" s="106">
        <v>120.17</v>
      </c>
      <c r="J88" s="106">
        <v>120.17</v>
      </c>
      <c r="K88" s="106">
        <v>120.17</v>
      </c>
      <c r="L88" s="106">
        <v>120.17</v>
      </c>
      <c r="M88" s="106">
        <v>120.17</v>
      </c>
      <c r="N88" s="106">
        <v>120.17</v>
      </c>
      <c r="O88" s="106">
        <v>120.17</v>
      </c>
      <c r="P88" s="106">
        <v>120.17</v>
      </c>
      <c r="Q88" s="106">
        <v>120.17</v>
      </c>
      <c r="R88" s="107">
        <f>AVERAGE(F88:Q88)</f>
        <v>120.17000000000002</v>
      </c>
    </row>
    <row r="89" spans="2:18">
      <c r="C89" s="49" t="s">
        <v>114</v>
      </c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</row>
    <row r="90" spans="2:18">
      <c r="C90" s="49" t="s">
        <v>104</v>
      </c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</row>
    <row r="91" spans="2:18">
      <c r="D91" s="49" t="s">
        <v>129</v>
      </c>
      <c r="F91" s="106">
        <v>68.39</v>
      </c>
      <c r="G91" s="106">
        <v>68.39</v>
      </c>
      <c r="H91" s="106">
        <v>68.39</v>
      </c>
      <c r="I91" s="106">
        <v>68.39</v>
      </c>
      <c r="J91" s="106">
        <v>68.39</v>
      </c>
      <c r="K91" s="106">
        <v>68.39</v>
      </c>
      <c r="L91" s="106">
        <v>68.39</v>
      </c>
      <c r="M91" s="106">
        <v>68.39</v>
      </c>
      <c r="N91" s="106">
        <v>68.39</v>
      </c>
      <c r="O91" s="106">
        <v>68.39</v>
      </c>
      <c r="P91" s="106">
        <v>68.39</v>
      </c>
      <c r="Q91" s="106">
        <v>68.39</v>
      </c>
      <c r="R91" s="107">
        <f>AVERAGE(F91:Q91)</f>
        <v>68.39</v>
      </c>
    </row>
    <row r="92" spans="2:18">
      <c r="D92" s="49" t="s">
        <v>118</v>
      </c>
      <c r="F92" s="106">
        <v>68.39</v>
      </c>
      <c r="G92" s="106">
        <v>68.39</v>
      </c>
      <c r="H92" s="106">
        <v>68.39</v>
      </c>
      <c r="I92" s="106">
        <v>68.39</v>
      </c>
      <c r="J92" s="106">
        <v>68.39</v>
      </c>
      <c r="K92" s="106">
        <v>68.39</v>
      </c>
      <c r="L92" s="106">
        <v>68.39</v>
      </c>
      <c r="M92" s="106">
        <v>68.39</v>
      </c>
      <c r="N92" s="106">
        <v>68.39</v>
      </c>
      <c r="O92" s="106">
        <v>68.39</v>
      </c>
      <c r="P92" s="106">
        <v>68.39</v>
      </c>
      <c r="Q92" s="106">
        <v>68.39</v>
      </c>
      <c r="R92" s="107">
        <f>AVERAGE(F92:Q92)</f>
        <v>68.39</v>
      </c>
    </row>
    <row r="93" spans="2:18">
      <c r="C93" s="49" t="s">
        <v>119</v>
      </c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</row>
    <row r="94" spans="2:18">
      <c r="C94" s="49" t="s">
        <v>58</v>
      </c>
      <c r="E94" s="110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</row>
    <row r="95" spans="2:18">
      <c r="D95" s="49" t="s">
        <v>117</v>
      </c>
      <c r="F95" s="241">
        <v>36.770000000000003</v>
      </c>
      <c r="G95" s="241">
        <v>36.770000000000003</v>
      </c>
      <c r="H95" s="241">
        <v>36.770000000000003</v>
      </c>
      <c r="I95" s="241">
        <v>36.770000000000003</v>
      </c>
      <c r="J95" s="241">
        <v>36.770000000000003</v>
      </c>
      <c r="K95" s="241">
        <v>36.770000000000003</v>
      </c>
      <c r="L95" s="241">
        <v>39.54</v>
      </c>
      <c r="M95" s="241">
        <v>39.54</v>
      </c>
      <c r="N95" s="241">
        <v>39.54</v>
      </c>
      <c r="O95" s="241">
        <v>39.54</v>
      </c>
      <c r="P95" s="241">
        <v>39.54</v>
      </c>
      <c r="Q95" s="241">
        <v>39.54</v>
      </c>
      <c r="R95" s="111">
        <v>38.09158730867</v>
      </c>
    </row>
    <row r="96" spans="2:18">
      <c r="D96" s="49" t="s">
        <v>118</v>
      </c>
      <c r="F96" s="241">
        <v>52.379084318527255</v>
      </c>
      <c r="G96" s="241">
        <v>52.428546181364489</v>
      </c>
      <c r="H96" s="241">
        <v>45.284609311105051</v>
      </c>
      <c r="I96" s="241">
        <v>37.176303348307613</v>
      </c>
      <c r="J96" s="241">
        <v>38.945500112867649</v>
      </c>
      <c r="K96" s="241">
        <v>38.684988029026158</v>
      </c>
      <c r="L96" s="241">
        <v>48.337397122861169</v>
      </c>
      <c r="M96" s="241">
        <v>42.304023534916624</v>
      </c>
      <c r="N96" s="241">
        <v>40.519115787459967</v>
      </c>
      <c r="O96" s="241">
        <v>35.64614771023232</v>
      </c>
      <c r="P96" s="241">
        <v>36.402823130059062</v>
      </c>
      <c r="Q96" s="241">
        <v>38.281218469717814</v>
      </c>
      <c r="R96" s="111">
        <v>43.731908716894083</v>
      </c>
    </row>
    <row r="97" spans="1:21">
      <c r="C97" s="49" t="s">
        <v>120</v>
      </c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108"/>
    </row>
    <row r="98" spans="1:21">
      <c r="B98" s="49" t="s">
        <v>56</v>
      </c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</row>
    <row r="99" spans="1:21"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</row>
    <row r="100" spans="1:21">
      <c r="B100" s="49" t="s">
        <v>109</v>
      </c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</row>
    <row r="101" spans="1:21">
      <c r="C101" s="49" t="s">
        <v>112</v>
      </c>
      <c r="F101" s="106">
        <v>121.17</v>
      </c>
      <c r="G101" s="106">
        <v>121.17</v>
      </c>
      <c r="H101" s="106">
        <v>121.17</v>
      </c>
      <c r="I101" s="106">
        <v>121.17</v>
      </c>
      <c r="J101" s="106">
        <v>121.17</v>
      </c>
      <c r="K101" s="106">
        <v>121.17</v>
      </c>
      <c r="L101" s="106">
        <v>121.17</v>
      </c>
      <c r="M101" s="106">
        <v>121.17</v>
      </c>
      <c r="N101" s="106">
        <v>121.17</v>
      </c>
      <c r="O101" s="106">
        <v>121.17</v>
      </c>
      <c r="P101" s="106">
        <v>121.17</v>
      </c>
      <c r="Q101" s="106">
        <v>121.17</v>
      </c>
      <c r="R101" s="107">
        <f>AVERAGE(F101:Q101)</f>
        <v>121.17000000000002</v>
      </c>
    </row>
    <row r="102" spans="1:21">
      <c r="C102" s="49" t="s">
        <v>113</v>
      </c>
      <c r="F102" s="241">
        <v>85.050758342088216</v>
      </c>
      <c r="G102" s="241">
        <v>83.950821359281221</v>
      </c>
      <c r="H102" s="241">
        <v>88.446714903388127</v>
      </c>
      <c r="I102" s="241">
        <v>81.11288780155202</v>
      </c>
      <c r="J102" s="241">
        <v>82.843727431662174</v>
      </c>
      <c r="K102" s="241">
        <v>67.469711783782188</v>
      </c>
      <c r="L102" s="241">
        <v>76.664614695043639</v>
      </c>
      <c r="M102" s="241">
        <v>81.737737779671207</v>
      </c>
      <c r="N102" s="241">
        <v>79.226389202777781</v>
      </c>
      <c r="O102" s="241">
        <v>85.172401265940948</v>
      </c>
      <c r="P102" s="241">
        <v>78.096165629859129</v>
      </c>
      <c r="Q102" s="241">
        <v>82.077205416700295</v>
      </c>
      <c r="R102" s="107">
        <f>AVERAGE(F102:Q102)</f>
        <v>80.987427967645573</v>
      </c>
    </row>
    <row r="103" spans="1:21">
      <c r="B103" s="49" t="s">
        <v>121</v>
      </c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59"/>
    </row>
    <row r="104" spans="1:21"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6" spans="1:21"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1:21" ht="18">
      <c r="A107" s="55" t="s">
        <v>130</v>
      </c>
    </row>
    <row r="108" spans="1:21" s="48" customFormat="1">
      <c r="A108" s="48" t="s">
        <v>108</v>
      </c>
      <c r="F108" s="113">
        <v>1660865</v>
      </c>
      <c r="G108" s="113">
        <v>1509369</v>
      </c>
      <c r="H108" s="113">
        <v>1573219</v>
      </c>
      <c r="I108" s="113">
        <v>1455731</v>
      </c>
      <c r="J108" s="113">
        <v>1432520</v>
      </c>
      <c r="K108" s="113">
        <v>1534205</v>
      </c>
      <c r="L108" s="113">
        <v>1594864</v>
      </c>
      <c r="M108" s="113">
        <v>1432228</v>
      </c>
      <c r="N108" s="113">
        <v>1448345</v>
      </c>
      <c r="O108" s="113">
        <v>1193278</v>
      </c>
      <c r="P108" s="113">
        <v>1370723</v>
      </c>
      <c r="Q108" s="113">
        <v>1499382</v>
      </c>
      <c r="R108" s="114">
        <f>SUM(F108:Q108)</f>
        <v>17704729</v>
      </c>
    </row>
    <row r="109" spans="1:21"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</row>
    <row r="110" spans="1:21">
      <c r="A110" s="48" t="s">
        <v>14</v>
      </c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</row>
    <row r="111" spans="1:21">
      <c r="B111" s="49" t="s">
        <v>59</v>
      </c>
      <c r="F111" s="57">
        <v>480192.70663454552</v>
      </c>
      <c r="G111" s="57">
        <v>449201.35473407881</v>
      </c>
      <c r="H111" s="57">
        <v>488149.192448274</v>
      </c>
      <c r="I111" s="57">
        <v>465700.83172405593</v>
      </c>
      <c r="J111" s="57">
        <v>459061.92008631834</v>
      </c>
      <c r="K111" s="57">
        <v>480699.00327282294</v>
      </c>
      <c r="L111" s="57">
        <v>458399.58250070928</v>
      </c>
      <c r="M111" s="57">
        <v>448834.28454377595</v>
      </c>
      <c r="N111" s="57">
        <v>462015.16578536748</v>
      </c>
      <c r="O111" s="57">
        <v>407348.27321556426</v>
      </c>
      <c r="P111" s="57">
        <v>465312.19896805211</v>
      </c>
      <c r="Q111" s="57">
        <v>466712.11590281007</v>
      </c>
      <c r="R111" s="57">
        <v>5531626.6298163757</v>
      </c>
      <c r="S111" s="82"/>
      <c r="T111" s="260"/>
      <c r="U111" s="261"/>
    </row>
    <row r="112" spans="1:21">
      <c r="B112" s="49" t="s">
        <v>39</v>
      </c>
      <c r="F112" s="57">
        <v>827278.2174317264</v>
      </c>
      <c r="G112" s="57">
        <v>724832.19851187966</v>
      </c>
      <c r="H112" s="57">
        <v>743163.20670289616</v>
      </c>
      <c r="I112" s="57">
        <v>638750.19965475844</v>
      </c>
      <c r="J112" s="57">
        <v>645228.57659607951</v>
      </c>
      <c r="K112" s="57">
        <v>674893.47531607642</v>
      </c>
      <c r="L112" s="57">
        <v>787742.63491337374</v>
      </c>
      <c r="M112" s="57">
        <v>643725.24967572256</v>
      </c>
      <c r="N112" s="57">
        <v>655890.00723847258</v>
      </c>
      <c r="O112" s="57">
        <v>490023.54782734311</v>
      </c>
      <c r="P112" s="57">
        <v>589352.48281747673</v>
      </c>
      <c r="Q112" s="57">
        <v>678707.80414286978</v>
      </c>
      <c r="R112" s="57">
        <v>8099587.6008286756</v>
      </c>
      <c r="S112" s="82"/>
      <c r="T112" s="260"/>
      <c r="U112" s="261"/>
    </row>
    <row r="113" spans="1:21">
      <c r="B113" s="49" t="s">
        <v>109</v>
      </c>
      <c r="F113" s="57">
        <v>353392.10000000003</v>
      </c>
      <c r="G113" s="57">
        <v>329985.01999999996</v>
      </c>
      <c r="H113" s="57">
        <v>384933.39999999997</v>
      </c>
      <c r="I113" s="57">
        <v>359009.21</v>
      </c>
      <c r="J113" s="57">
        <v>336467.28</v>
      </c>
      <c r="K113" s="57">
        <v>379773.99</v>
      </c>
      <c r="L113" s="57">
        <v>340781.24</v>
      </c>
      <c r="M113" s="57">
        <v>339064</v>
      </c>
      <c r="N113" s="57">
        <v>335662.92000000004</v>
      </c>
      <c r="O113" s="57">
        <v>304298.5</v>
      </c>
      <c r="P113" s="57">
        <v>318892.78999999998</v>
      </c>
      <c r="Q113" s="57">
        <v>356445.99</v>
      </c>
      <c r="R113" s="57">
        <v>4138706.44</v>
      </c>
      <c r="S113" s="82"/>
      <c r="T113" s="260"/>
      <c r="U113" s="261"/>
    </row>
    <row r="114" spans="1:21" s="48" customFormat="1">
      <c r="A114" s="48" t="s">
        <v>17</v>
      </c>
      <c r="F114" s="101">
        <f t="shared" ref="F114:R114" si="26">SUM(F111:F113)</f>
        <v>1660863.024066272</v>
      </c>
      <c r="G114" s="101">
        <f t="shared" si="26"/>
        <v>1504018.5732459584</v>
      </c>
      <c r="H114" s="101">
        <f t="shared" si="26"/>
        <v>1616245.7991511701</v>
      </c>
      <c r="I114" s="101">
        <f t="shared" si="26"/>
        <v>1463460.2413788144</v>
      </c>
      <c r="J114" s="101">
        <f t="shared" si="26"/>
        <v>1440757.7766823978</v>
      </c>
      <c r="K114" s="101">
        <f t="shared" si="26"/>
        <v>1535366.4685888994</v>
      </c>
      <c r="L114" s="101">
        <f t="shared" si="26"/>
        <v>1586923.4574140829</v>
      </c>
      <c r="M114" s="101">
        <f t="shared" si="26"/>
        <v>1431623.5342194985</v>
      </c>
      <c r="N114" s="101">
        <f t="shared" si="26"/>
        <v>1453568.0930238399</v>
      </c>
      <c r="O114" s="101">
        <f t="shared" si="26"/>
        <v>1201670.3210429074</v>
      </c>
      <c r="P114" s="101">
        <f t="shared" si="26"/>
        <v>1373557.4717855288</v>
      </c>
      <c r="Q114" s="101">
        <f t="shared" si="26"/>
        <v>1501865.9100456799</v>
      </c>
      <c r="R114" s="101">
        <f t="shared" si="26"/>
        <v>17769920.670645051</v>
      </c>
      <c r="S114" s="115"/>
      <c r="T114" s="262"/>
      <c r="U114" s="263"/>
    </row>
    <row r="115" spans="1:21" s="60" customFormat="1" ht="12">
      <c r="A115" s="60" t="s">
        <v>57</v>
      </c>
      <c r="F115" s="117">
        <f t="shared" ref="F115:R115" si="27">F114-F108</f>
        <v>-1.9759337280411273</v>
      </c>
      <c r="G115" s="117">
        <f t="shared" si="27"/>
        <v>-5350.4267540415749</v>
      </c>
      <c r="H115" s="117">
        <f t="shared" si="27"/>
        <v>43026.799151170067</v>
      </c>
      <c r="I115" s="117">
        <f t="shared" si="27"/>
        <v>7729.2413788144477</v>
      </c>
      <c r="J115" s="117">
        <f t="shared" si="27"/>
        <v>8237.7766823978163</v>
      </c>
      <c r="K115" s="117">
        <f t="shared" si="27"/>
        <v>1161.4685888993554</v>
      </c>
      <c r="L115" s="117">
        <f t="shared" si="27"/>
        <v>-7940.54258591705</v>
      </c>
      <c r="M115" s="117">
        <f t="shared" si="27"/>
        <v>-604.46578050148673</v>
      </c>
      <c r="N115" s="117">
        <f t="shared" si="27"/>
        <v>5223.0930238398723</v>
      </c>
      <c r="O115" s="117">
        <f t="shared" si="27"/>
        <v>8392.3210429074243</v>
      </c>
      <c r="P115" s="117">
        <f t="shared" si="27"/>
        <v>2834.4717855288181</v>
      </c>
      <c r="Q115" s="117">
        <f t="shared" si="27"/>
        <v>2483.9100456798915</v>
      </c>
      <c r="R115" s="117">
        <f t="shared" si="27"/>
        <v>65191.670645050704</v>
      </c>
      <c r="S115" s="66"/>
    </row>
    <row r="116" spans="1:21">
      <c r="F116" s="66">
        <f t="shared" ref="F116:R116" si="28">+F115/F108</f>
        <v>-1.1897015880526878E-6</v>
      </c>
      <c r="G116" s="66">
        <f t="shared" si="28"/>
        <v>-3.5448102843251548E-3</v>
      </c>
      <c r="H116" s="66">
        <f t="shared" si="28"/>
        <v>2.7349529309759205E-2</v>
      </c>
      <c r="I116" s="66">
        <f t="shared" si="28"/>
        <v>5.309525852519763E-3</v>
      </c>
      <c r="J116" s="66">
        <f t="shared" si="28"/>
        <v>5.7505491598007817E-3</v>
      </c>
      <c r="K116" s="66">
        <f t="shared" si="28"/>
        <v>7.5704914851623835E-4</v>
      </c>
      <c r="L116" s="66">
        <f t="shared" si="28"/>
        <v>-4.9788211320319787E-3</v>
      </c>
      <c r="M116" s="66">
        <f t="shared" si="28"/>
        <v>-4.2204577797772891E-4</v>
      </c>
      <c r="N116" s="66">
        <f t="shared" si="28"/>
        <v>3.6062492181350939E-3</v>
      </c>
      <c r="O116" s="66">
        <f t="shared" si="28"/>
        <v>7.0329973760577371E-3</v>
      </c>
      <c r="P116" s="66">
        <f t="shared" si="28"/>
        <v>2.0678662177032255E-3</v>
      </c>
      <c r="Q116" s="66">
        <f t="shared" si="28"/>
        <v>1.6566225589475473E-3</v>
      </c>
      <c r="R116" s="66">
        <f t="shared" si="28"/>
        <v>3.6821614521775907E-3</v>
      </c>
    </row>
    <row r="117" spans="1:21">
      <c r="E117" s="48"/>
      <c r="F117" s="48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57"/>
    </row>
    <row r="118" spans="1:21">
      <c r="B118" s="48" t="s">
        <v>59</v>
      </c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</row>
    <row r="119" spans="1:21">
      <c r="C119" s="49" t="s">
        <v>112</v>
      </c>
      <c r="F119" s="74">
        <v>28315.503971076258</v>
      </c>
      <c r="G119" s="74">
        <v>26530.123262520872</v>
      </c>
      <c r="H119" s="74">
        <v>29581.314531581182</v>
      </c>
      <c r="I119" s="74">
        <v>29635.658251873971</v>
      </c>
      <c r="J119" s="74">
        <v>28207.136442355742</v>
      </c>
      <c r="K119" s="74">
        <v>29865.045523616533</v>
      </c>
      <c r="L119" s="74">
        <v>28391.80335487278</v>
      </c>
      <c r="M119" s="74">
        <v>26907.820917843226</v>
      </c>
      <c r="N119" s="74">
        <v>27105.490881044869</v>
      </c>
      <c r="O119" s="74">
        <v>23654.844324917296</v>
      </c>
      <c r="P119" s="74">
        <v>27346.232538928714</v>
      </c>
      <c r="Q119" s="74">
        <v>27869.58859830453</v>
      </c>
      <c r="R119" s="74">
        <f>SUM(F119:Q119)</f>
        <v>333410.56259893603</v>
      </c>
    </row>
    <row r="120" spans="1:21">
      <c r="C120" s="49" t="s">
        <v>113</v>
      </c>
      <c r="F120" s="74">
        <v>387369.01755007048</v>
      </c>
      <c r="G120" s="74">
        <v>360871.46839702234</v>
      </c>
      <c r="H120" s="74">
        <v>395237.09186913364</v>
      </c>
      <c r="I120" s="74">
        <v>374250.01706839452</v>
      </c>
      <c r="J120" s="74">
        <v>367953.39131726621</v>
      </c>
      <c r="K120" s="74">
        <v>386716.31115941692</v>
      </c>
      <c r="L120" s="74">
        <v>369466.29867758189</v>
      </c>
      <c r="M120" s="74">
        <v>359100.10529193183</v>
      </c>
      <c r="N120" s="74">
        <v>370811.9158032753</v>
      </c>
      <c r="O120" s="74">
        <v>327897.34763633355</v>
      </c>
      <c r="P120" s="74">
        <v>375288.15487023379</v>
      </c>
      <c r="Q120" s="74">
        <v>376604.68663542817</v>
      </c>
      <c r="R120" s="74">
        <f>SUM(F120:Q120)</f>
        <v>4451565.8062760895</v>
      </c>
    </row>
    <row r="121" spans="1:21">
      <c r="C121" s="49" t="s">
        <v>131</v>
      </c>
      <c r="F121" s="74">
        <v>2635.6236949378617</v>
      </c>
      <c r="G121" s="74">
        <v>2549.1514759443166</v>
      </c>
      <c r="H121" s="74">
        <v>2602.8727817525196</v>
      </c>
      <c r="I121" s="74">
        <v>2591.458277542471</v>
      </c>
      <c r="J121" s="74">
        <v>2791.238508659148</v>
      </c>
      <c r="K121" s="74">
        <v>2428.723384162487</v>
      </c>
      <c r="L121" s="74">
        <v>2415.875197947893</v>
      </c>
      <c r="M121" s="74">
        <v>2720.1854195649521</v>
      </c>
      <c r="N121" s="74">
        <v>2843.3738820007425</v>
      </c>
      <c r="O121" s="74">
        <v>2234.4051586129058</v>
      </c>
      <c r="P121" s="74">
        <v>2629.6048033477641</v>
      </c>
      <c r="Q121" s="74">
        <v>2196.4198599480183</v>
      </c>
      <c r="R121" s="74">
        <f>SUM(F121:Q121)</f>
        <v>30638.932444421076</v>
      </c>
    </row>
    <row r="122" spans="1:21">
      <c r="C122" s="69" t="s">
        <v>105</v>
      </c>
      <c r="F122" s="74">
        <v>61872.561418460937</v>
      </c>
      <c r="G122" s="74">
        <v>59250.611598591277</v>
      </c>
      <c r="H122" s="74">
        <v>60727.913265806681</v>
      </c>
      <c r="I122" s="74">
        <v>59223.698126244919</v>
      </c>
      <c r="J122" s="74">
        <v>60110.153818037259</v>
      </c>
      <c r="K122" s="74">
        <v>61688.923205626998</v>
      </c>
      <c r="L122" s="74">
        <v>58125.605270306711</v>
      </c>
      <c r="M122" s="74">
        <v>60106.172914435985</v>
      </c>
      <c r="N122" s="74">
        <v>61254.385219046584</v>
      </c>
      <c r="O122" s="74">
        <v>53561.676095700524</v>
      </c>
      <c r="P122" s="74">
        <v>60048.206755541833</v>
      </c>
      <c r="Q122" s="74">
        <v>60041.420809129289</v>
      </c>
      <c r="R122" s="74">
        <f>SUM(F122:Q122)</f>
        <v>716011.32849692891</v>
      </c>
    </row>
    <row r="123" spans="1:21">
      <c r="B123" s="48" t="s">
        <v>103</v>
      </c>
      <c r="C123" s="48"/>
      <c r="D123" s="48"/>
      <c r="E123" s="48"/>
      <c r="F123" s="101">
        <f t="shared" ref="F123:R123" si="29">SUM(F119:F122)</f>
        <v>480192.70663454552</v>
      </c>
      <c r="G123" s="101">
        <f t="shared" si="29"/>
        <v>449201.35473407881</v>
      </c>
      <c r="H123" s="101">
        <f t="shared" si="29"/>
        <v>488149.192448274</v>
      </c>
      <c r="I123" s="101">
        <f t="shared" si="29"/>
        <v>465700.83172405593</v>
      </c>
      <c r="J123" s="101">
        <f t="shared" si="29"/>
        <v>459061.92008631834</v>
      </c>
      <c r="K123" s="101">
        <f t="shared" si="29"/>
        <v>480699.00327282294</v>
      </c>
      <c r="L123" s="101">
        <f t="shared" si="29"/>
        <v>458399.58250070928</v>
      </c>
      <c r="M123" s="101">
        <f t="shared" si="29"/>
        <v>448834.28454377595</v>
      </c>
      <c r="N123" s="101">
        <f t="shared" si="29"/>
        <v>462015.16578536748</v>
      </c>
      <c r="O123" s="101">
        <f t="shared" si="29"/>
        <v>407348.27321556426</v>
      </c>
      <c r="P123" s="101">
        <f t="shared" si="29"/>
        <v>465312.19896805211</v>
      </c>
      <c r="Q123" s="101">
        <f t="shared" si="29"/>
        <v>466712.11590281007</v>
      </c>
      <c r="R123" s="101">
        <f t="shared" si="29"/>
        <v>5531626.6298163757</v>
      </c>
      <c r="T123" s="94"/>
    </row>
    <row r="124" spans="1:21"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</row>
    <row r="125" spans="1:21">
      <c r="B125" s="48" t="s">
        <v>39</v>
      </c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</row>
    <row r="126" spans="1:21">
      <c r="C126" s="49" t="s">
        <v>111</v>
      </c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1:21">
      <c r="D127" s="49" t="s">
        <v>117</v>
      </c>
      <c r="F127" s="74">
        <f t="shared" ref="F127:Q127" si="30">+F32*F87</f>
        <v>72078.203902808673</v>
      </c>
      <c r="G127" s="74">
        <f t="shared" si="30"/>
        <v>63710.622744691471</v>
      </c>
      <c r="H127" s="74">
        <f t="shared" si="30"/>
        <v>69997.133844371914</v>
      </c>
      <c r="I127" s="74">
        <f t="shared" si="30"/>
        <v>71243.130821524013</v>
      </c>
      <c r="J127" s="74">
        <f t="shared" si="30"/>
        <v>66397.192219879958</v>
      </c>
      <c r="K127" s="74">
        <f t="shared" si="30"/>
        <v>69540.433714290877</v>
      </c>
      <c r="L127" s="74">
        <f t="shared" si="30"/>
        <v>63468.211614756678</v>
      </c>
      <c r="M127" s="74">
        <f t="shared" si="30"/>
        <v>65946.939808067298</v>
      </c>
      <c r="N127" s="74">
        <f t="shared" si="30"/>
        <v>72071.281993798504</v>
      </c>
      <c r="O127" s="74">
        <f t="shared" si="30"/>
        <v>55200.993615121952</v>
      </c>
      <c r="P127" s="74">
        <f t="shared" si="30"/>
        <v>60670.812737917746</v>
      </c>
      <c r="Q127" s="74">
        <f t="shared" si="30"/>
        <v>63146.337892364354</v>
      </c>
      <c r="R127" s="74">
        <f>SUM(F127:Q127)</f>
        <v>793471.29490959342</v>
      </c>
    </row>
    <row r="128" spans="1:21">
      <c r="D128" s="49" t="s">
        <v>118</v>
      </c>
      <c r="F128" s="83">
        <f t="shared" ref="F128:Q128" si="31">+F33*F88</f>
        <v>315096.31886938866</v>
      </c>
      <c r="G128" s="83">
        <f t="shared" si="31"/>
        <v>288160.4272598066</v>
      </c>
      <c r="H128" s="83">
        <f t="shared" si="31"/>
        <v>331076.31344793923</v>
      </c>
      <c r="I128" s="83">
        <f t="shared" si="31"/>
        <v>306485.7820096045</v>
      </c>
      <c r="J128" s="83">
        <f t="shared" si="31"/>
        <v>301448.25121521973</v>
      </c>
      <c r="K128" s="83">
        <f t="shared" si="31"/>
        <v>298888.2889389288</v>
      </c>
      <c r="L128" s="83">
        <f t="shared" si="31"/>
        <v>286687.04253257788</v>
      </c>
      <c r="M128" s="83">
        <f t="shared" si="31"/>
        <v>302777.54785783228</v>
      </c>
      <c r="N128" s="83">
        <f t="shared" si="31"/>
        <v>309553.81025039044</v>
      </c>
      <c r="O128" s="83">
        <f t="shared" si="31"/>
        <v>246373.1676815208</v>
      </c>
      <c r="P128" s="83">
        <f t="shared" si="31"/>
        <v>272877.68736747978</v>
      </c>
      <c r="Q128" s="83">
        <f t="shared" si="31"/>
        <v>291364.82303226035</v>
      </c>
      <c r="R128" s="83">
        <f>SUM(F128:Q128)</f>
        <v>3550789.4604629488</v>
      </c>
    </row>
    <row r="129" spans="2:20" s="48" customFormat="1">
      <c r="C129" s="48" t="s">
        <v>114</v>
      </c>
      <c r="F129" s="101">
        <f t="shared" ref="F129:R129" si="32">SUM(F127:F128)</f>
        <v>387174.52277219732</v>
      </c>
      <c r="G129" s="101">
        <f t="shared" si="32"/>
        <v>351871.0500044981</v>
      </c>
      <c r="H129" s="101">
        <f t="shared" si="32"/>
        <v>401073.44729231112</v>
      </c>
      <c r="I129" s="101">
        <f t="shared" si="32"/>
        <v>377728.91283112852</v>
      </c>
      <c r="J129" s="101">
        <f t="shared" si="32"/>
        <v>367845.44343509967</v>
      </c>
      <c r="K129" s="101">
        <f t="shared" si="32"/>
        <v>368428.72265321971</v>
      </c>
      <c r="L129" s="101">
        <f t="shared" si="32"/>
        <v>350155.25414733455</v>
      </c>
      <c r="M129" s="101">
        <f t="shared" si="32"/>
        <v>368724.48766589956</v>
      </c>
      <c r="N129" s="101">
        <f t="shared" si="32"/>
        <v>381625.09224418894</v>
      </c>
      <c r="O129" s="101">
        <f t="shared" si="32"/>
        <v>301574.16129664273</v>
      </c>
      <c r="P129" s="101">
        <f t="shared" si="32"/>
        <v>333548.50010539754</v>
      </c>
      <c r="Q129" s="101">
        <f t="shared" si="32"/>
        <v>354511.16092462471</v>
      </c>
      <c r="R129" s="101">
        <f t="shared" si="32"/>
        <v>4344260.755372542</v>
      </c>
    </row>
    <row r="130" spans="2:20" ht="7.5" customHeight="1">
      <c r="C130" s="48"/>
      <c r="D130" s="48"/>
      <c r="E130" s="48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</row>
    <row r="131" spans="2:20">
      <c r="C131" s="49" t="s">
        <v>104</v>
      </c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</row>
    <row r="132" spans="2:20">
      <c r="D132" s="49" t="s">
        <v>129</v>
      </c>
      <c r="F132" s="83">
        <f t="shared" ref="F132:Q132" si="33">+F36*F91</f>
        <v>25103.721947014601</v>
      </c>
      <c r="G132" s="83">
        <f t="shared" si="33"/>
        <v>22438.367342689606</v>
      </c>
      <c r="H132" s="83">
        <f t="shared" si="33"/>
        <v>22537.559241357274</v>
      </c>
      <c r="I132" s="83">
        <f t="shared" si="33"/>
        <v>24119.916715273626</v>
      </c>
      <c r="J132" s="83">
        <f t="shared" si="33"/>
        <v>23277.581219195847</v>
      </c>
      <c r="K132" s="83">
        <f t="shared" si="33"/>
        <v>25796.752912792883</v>
      </c>
      <c r="L132" s="83">
        <f t="shared" si="33"/>
        <v>22233.475266477719</v>
      </c>
      <c r="M132" s="83">
        <f t="shared" si="33"/>
        <v>24919.780390152377</v>
      </c>
      <c r="N132" s="83">
        <f t="shared" si="33"/>
        <v>28583.191109326268</v>
      </c>
      <c r="O132" s="83">
        <f t="shared" si="33"/>
        <v>21003.384810041545</v>
      </c>
      <c r="P132" s="83">
        <f t="shared" si="33"/>
        <v>22681.536177981907</v>
      </c>
      <c r="Q132" s="83">
        <f t="shared" si="33"/>
        <v>24661.98082685328</v>
      </c>
      <c r="R132" s="83">
        <f>SUM(F132:Q132)</f>
        <v>287357.24795915699</v>
      </c>
    </row>
    <row r="133" spans="2:20">
      <c r="D133" s="49" t="s">
        <v>118</v>
      </c>
      <c r="F133" s="83">
        <f t="shared" ref="F133:Q133" si="34">+F37*F92</f>
        <v>132067.96270026357</v>
      </c>
      <c r="G133" s="83">
        <f t="shared" si="34"/>
        <v>119468.11057132827</v>
      </c>
      <c r="H133" s="83">
        <f t="shared" si="34"/>
        <v>134288.02963837725</v>
      </c>
      <c r="I133" s="83">
        <f t="shared" si="34"/>
        <v>123784.18215935776</v>
      </c>
      <c r="J133" s="83">
        <f t="shared" si="34"/>
        <v>124486.88972296812</v>
      </c>
      <c r="K133" s="83">
        <f t="shared" si="34"/>
        <v>127848.98374729088</v>
      </c>
      <c r="L133" s="83">
        <f t="shared" si="34"/>
        <v>123722.65297773956</v>
      </c>
      <c r="M133" s="83">
        <f t="shared" si="34"/>
        <v>144601.52439518942</v>
      </c>
      <c r="N133" s="83">
        <f t="shared" si="34"/>
        <v>140702.52370567649</v>
      </c>
      <c r="O133" s="83">
        <f t="shared" si="34"/>
        <v>107735.63892381563</v>
      </c>
      <c r="P133" s="83">
        <f t="shared" si="34"/>
        <v>117317.60785468154</v>
      </c>
      <c r="Q133" s="83">
        <f t="shared" si="34"/>
        <v>124387.17199757774</v>
      </c>
      <c r="R133" s="83">
        <f>SUM(F133:Q133)</f>
        <v>1520411.2783942663</v>
      </c>
    </row>
    <row r="134" spans="2:20" s="48" customFormat="1">
      <c r="C134" s="48" t="s">
        <v>119</v>
      </c>
      <c r="F134" s="101">
        <f t="shared" ref="F134:R134" si="35">SUM(F132:F133)</f>
        <v>157171.68464727816</v>
      </c>
      <c r="G134" s="101">
        <f t="shared" si="35"/>
        <v>141906.47791401789</v>
      </c>
      <c r="H134" s="101">
        <f t="shared" si="35"/>
        <v>156825.58887973451</v>
      </c>
      <c r="I134" s="101">
        <f t="shared" si="35"/>
        <v>147904.0988746314</v>
      </c>
      <c r="J134" s="101">
        <f t="shared" si="35"/>
        <v>147764.47094216396</v>
      </c>
      <c r="K134" s="101">
        <f t="shared" si="35"/>
        <v>153645.73666008376</v>
      </c>
      <c r="L134" s="101">
        <f t="shared" si="35"/>
        <v>145956.12824421728</v>
      </c>
      <c r="M134" s="101">
        <f t="shared" si="35"/>
        <v>169521.30478534181</v>
      </c>
      <c r="N134" s="101">
        <f t="shared" si="35"/>
        <v>169285.71481500275</v>
      </c>
      <c r="O134" s="101">
        <f t="shared" si="35"/>
        <v>128739.02373385718</v>
      </c>
      <c r="P134" s="101">
        <f t="shared" si="35"/>
        <v>139999.14403266343</v>
      </c>
      <c r="Q134" s="101">
        <f t="shared" si="35"/>
        <v>149049.15282443102</v>
      </c>
      <c r="R134" s="101">
        <f t="shared" si="35"/>
        <v>1807768.5263534233</v>
      </c>
    </row>
    <row r="135" spans="2:20" ht="7.5" customHeight="1">
      <c r="C135" s="48"/>
      <c r="D135" s="48"/>
      <c r="E135" s="48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</row>
    <row r="136" spans="2:20">
      <c r="C136" s="49" t="s">
        <v>58</v>
      </c>
      <c r="E136" s="110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2:20">
      <c r="D137" s="49" t="s">
        <v>117</v>
      </c>
      <c r="F137" s="74">
        <f t="shared" ref="F137:Q137" si="36">+F40*F95</f>
        <v>31600.873400000004</v>
      </c>
      <c r="G137" s="74">
        <f t="shared" si="36"/>
        <v>22216.066300000002</v>
      </c>
      <c r="H137" s="74">
        <f t="shared" si="36"/>
        <v>21907.565999999999</v>
      </c>
      <c r="I137" s="74">
        <f t="shared" si="36"/>
        <v>18362.938000000002</v>
      </c>
      <c r="J137" s="74">
        <f t="shared" si="36"/>
        <v>19590.688300000002</v>
      </c>
      <c r="K137" s="74">
        <f t="shared" si="36"/>
        <v>24206.794099999999</v>
      </c>
      <c r="L137" s="74">
        <f t="shared" si="36"/>
        <v>38625.044399999992</v>
      </c>
      <c r="M137" s="74">
        <f t="shared" si="36"/>
        <v>17425.277999999998</v>
      </c>
      <c r="N137" s="74">
        <f t="shared" si="36"/>
        <v>17082.070800000001</v>
      </c>
      <c r="O137" s="74">
        <f t="shared" si="36"/>
        <v>11797.945200000002</v>
      </c>
      <c r="P137" s="74">
        <f t="shared" si="36"/>
        <v>21016.696199999998</v>
      </c>
      <c r="Q137" s="74">
        <f t="shared" si="36"/>
        <v>29342.238599999997</v>
      </c>
      <c r="R137" s="74">
        <f>SUM(F137:Q137)</f>
        <v>273174.19929999998</v>
      </c>
      <c r="S137" s="68"/>
    </row>
    <row r="138" spans="2:20">
      <c r="D138" s="49" t="s">
        <v>118</v>
      </c>
      <c r="F138" s="74">
        <f t="shared" ref="F138:Q138" si="37">+F41*F96</f>
        <v>248109.24659999987</v>
      </c>
      <c r="G138" s="74">
        <f t="shared" si="37"/>
        <v>205910.49370000011</v>
      </c>
      <c r="H138" s="74">
        <f t="shared" si="37"/>
        <v>160019.05400000006</v>
      </c>
      <c r="I138" s="74">
        <f t="shared" si="37"/>
        <v>91610.962000000087</v>
      </c>
      <c r="J138" s="74">
        <f t="shared" si="37"/>
        <v>106966.93170000003</v>
      </c>
      <c r="K138" s="74">
        <f t="shared" si="37"/>
        <v>125546.32589999998</v>
      </c>
      <c r="L138" s="74">
        <f t="shared" si="37"/>
        <v>250092.37560000003</v>
      </c>
      <c r="M138" s="74">
        <f t="shared" si="37"/>
        <v>84985.822000000015</v>
      </c>
      <c r="N138" s="74">
        <f t="shared" si="37"/>
        <v>84721.419200000018</v>
      </c>
      <c r="O138" s="74">
        <f t="shared" si="37"/>
        <v>45402.854800000023</v>
      </c>
      <c r="P138" s="74">
        <f t="shared" si="37"/>
        <v>92012.503799999919</v>
      </c>
      <c r="Q138" s="74">
        <f t="shared" si="37"/>
        <v>142855.17140000011</v>
      </c>
      <c r="R138" s="74">
        <f>SUM(F138:Q138)</f>
        <v>1638233.1607000001</v>
      </c>
      <c r="S138" s="68"/>
    </row>
    <row r="139" spans="2:20" s="48" customFormat="1">
      <c r="C139" s="48" t="s">
        <v>120</v>
      </c>
      <c r="F139" s="101">
        <f t="shared" ref="F139:R139" si="38">SUM(F137:F138)</f>
        <v>279710.11999999988</v>
      </c>
      <c r="G139" s="101">
        <f t="shared" si="38"/>
        <v>228126.56000000011</v>
      </c>
      <c r="H139" s="101">
        <f t="shared" si="38"/>
        <v>181926.62000000005</v>
      </c>
      <c r="I139" s="101">
        <f t="shared" si="38"/>
        <v>109973.90000000008</v>
      </c>
      <c r="J139" s="101">
        <f t="shared" si="38"/>
        <v>126557.62000000002</v>
      </c>
      <c r="K139" s="101">
        <f t="shared" si="38"/>
        <v>149753.12</v>
      </c>
      <c r="L139" s="101">
        <f t="shared" si="38"/>
        <v>288717.42000000004</v>
      </c>
      <c r="M139" s="101">
        <f t="shared" si="38"/>
        <v>102411.1</v>
      </c>
      <c r="N139" s="101">
        <f t="shared" si="38"/>
        <v>101803.49000000002</v>
      </c>
      <c r="O139" s="101">
        <f t="shared" si="38"/>
        <v>57200.800000000025</v>
      </c>
      <c r="P139" s="101">
        <f t="shared" si="38"/>
        <v>113029.19999999992</v>
      </c>
      <c r="Q139" s="101">
        <f t="shared" si="38"/>
        <v>172197.41000000009</v>
      </c>
      <c r="R139" s="101">
        <f t="shared" si="38"/>
        <v>1911407.36</v>
      </c>
    </row>
    <row r="140" spans="2:20" ht="7.5" customHeight="1">
      <c r="C140" s="48"/>
      <c r="D140" s="48"/>
      <c r="E140" s="48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</row>
    <row r="141" spans="2:20" s="48" customFormat="1">
      <c r="B141" s="48" t="s">
        <v>56</v>
      </c>
      <c r="F141" s="101">
        <f t="shared" ref="F141:R141" si="39">F129+F134+F139</f>
        <v>824056.32741947542</v>
      </c>
      <c r="G141" s="101">
        <f t="shared" si="39"/>
        <v>721904.08791851602</v>
      </c>
      <c r="H141" s="101">
        <f t="shared" si="39"/>
        <v>739825.65617204574</v>
      </c>
      <c r="I141" s="101">
        <f t="shared" si="39"/>
        <v>635606.91170576005</v>
      </c>
      <c r="J141" s="101">
        <f t="shared" si="39"/>
        <v>642167.53437726363</v>
      </c>
      <c r="K141" s="101">
        <f t="shared" si="39"/>
        <v>671827.57931330346</v>
      </c>
      <c r="L141" s="101">
        <f t="shared" si="39"/>
        <v>784828.8023915519</v>
      </c>
      <c r="M141" s="101">
        <f t="shared" si="39"/>
        <v>640656.89245124138</v>
      </c>
      <c r="N141" s="101">
        <f t="shared" si="39"/>
        <v>652714.29705919162</v>
      </c>
      <c r="O141" s="101">
        <f t="shared" si="39"/>
        <v>487513.98503049999</v>
      </c>
      <c r="P141" s="101">
        <f t="shared" si="39"/>
        <v>586576.84413806093</v>
      </c>
      <c r="Q141" s="101">
        <f t="shared" si="39"/>
        <v>675757.72374905576</v>
      </c>
      <c r="R141" s="101">
        <f t="shared" si="39"/>
        <v>8063436.6417259658</v>
      </c>
      <c r="S141" s="115"/>
      <c r="T141" s="116"/>
    </row>
    <row r="142" spans="2:20"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</row>
    <row r="143" spans="2:20">
      <c r="B143" s="48" t="s">
        <v>109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</row>
    <row r="144" spans="2:20">
      <c r="C144" s="49" t="s">
        <v>112</v>
      </c>
      <c r="F144" s="83">
        <f t="shared" ref="F144:Q144" si="40">+F46*F101</f>
        <v>13430.912155179622</v>
      </c>
      <c r="G144" s="83">
        <f t="shared" si="40"/>
        <v>13855.20365330948</v>
      </c>
      <c r="H144" s="83">
        <f t="shared" si="40"/>
        <v>12166.97643053401</v>
      </c>
      <c r="I144" s="83">
        <f t="shared" si="40"/>
        <v>14977.80890014804</v>
      </c>
      <c r="J144" s="83">
        <f t="shared" si="40"/>
        <v>12956.762536764048</v>
      </c>
      <c r="K144" s="83">
        <f t="shared" si="40"/>
        <v>10627.391788730713</v>
      </c>
      <c r="L144" s="83">
        <f t="shared" si="40"/>
        <v>12960.17379871581</v>
      </c>
      <c r="M144" s="83">
        <f t="shared" si="40"/>
        <v>15118.886691884589</v>
      </c>
      <c r="N144" s="83">
        <f t="shared" si="40"/>
        <v>12761.294068352179</v>
      </c>
      <c r="O144" s="83">
        <f t="shared" si="40"/>
        <v>11678.80273520564</v>
      </c>
      <c r="P144" s="83">
        <f t="shared" si="40"/>
        <v>10838.384657598981</v>
      </c>
      <c r="Q144" s="83">
        <f t="shared" si="40"/>
        <v>10383.028565676917</v>
      </c>
      <c r="R144" s="83">
        <f>SUM(F144:Q144)</f>
        <v>151755.62598210003</v>
      </c>
    </row>
    <row r="145" spans="2:20">
      <c r="C145" s="49" t="s">
        <v>113</v>
      </c>
      <c r="F145" s="83">
        <f t="shared" ref="F145:Q145" si="41">+F47*F102</f>
        <v>339961.18784482044</v>
      </c>
      <c r="G145" s="83">
        <f t="shared" si="41"/>
        <v>316129.81634669047</v>
      </c>
      <c r="H145" s="83">
        <f t="shared" si="41"/>
        <v>372766.42356946593</v>
      </c>
      <c r="I145" s="83">
        <f t="shared" si="41"/>
        <v>344031.401099852</v>
      </c>
      <c r="J145" s="83">
        <f t="shared" si="41"/>
        <v>323510.517463236</v>
      </c>
      <c r="K145" s="83">
        <f t="shared" si="41"/>
        <v>369146.5982112693</v>
      </c>
      <c r="L145" s="83">
        <f t="shared" si="41"/>
        <v>327821.06620128418</v>
      </c>
      <c r="M145" s="83">
        <f t="shared" si="41"/>
        <v>323945.1133081154</v>
      </c>
      <c r="N145" s="83">
        <f t="shared" si="41"/>
        <v>322901.62593164784</v>
      </c>
      <c r="O145" s="83">
        <f t="shared" si="41"/>
        <v>292619.69726479438</v>
      </c>
      <c r="P145" s="83">
        <f t="shared" si="41"/>
        <v>308054.40534240101</v>
      </c>
      <c r="Q145" s="83">
        <f t="shared" si="41"/>
        <v>346062.96143432305</v>
      </c>
      <c r="R145" s="83">
        <f>SUM(F145:Q145)</f>
        <v>3986950.8140178998</v>
      </c>
    </row>
    <row r="146" spans="2:20" s="48" customFormat="1">
      <c r="B146" s="48" t="s">
        <v>121</v>
      </c>
      <c r="F146" s="101">
        <f t="shared" ref="F146:R146" si="42">SUM(F144:F145)</f>
        <v>353392.10000000003</v>
      </c>
      <c r="G146" s="101">
        <f t="shared" si="42"/>
        <v>329985.01999999996</v>
      </c>
      <c r="H146" s="101">
        <f t="shared" si="42"/>
        <v>384933.39999999997</v>
      </c>
      <c r="I146" s="101">
        <f t="shared" si="42"/>
        <v>359009.21</v>
      </c>
      <c r="J146" s="101">
        <f t="shared" si="42"/>
        <v>336467.28</v>
      </c>
      <c r="K146" s="101">
        <f t="shared" si="42"/>
        <v>379773.99</v>
      </c>
      <c r="L146" s="101">
        <f t="shared" si="42"/>
        <v>340781.24</v>
      </c>
      <c r="M146" s="101">
        <f t="shared" si="42"/>
        <v>339064</v>
      </c>
      <c r="N146" s="101">
        <f t="shared" si="42"/>
        <v>335662.92000000004</v>
      </c>
      <c r="O146" s="101">
        <f t="shared" si="42"/>
        <v>304298.5</v>
      </c>
      <c r="P146" s="101">
        <f t="shared" si="42"/>
        <v>318892.78999999998</v>
      </c>
      <c r="Q146" s="101">
        <f t="shared" si="42"/>
        <v>356445.99</v>
      </c>
      <c r="R146" s="101">
        <f t="shared" si="42"/>
        <v>4138706.44</v>
      </c>
      <c r="S146" s="115"/>
      <c r="T146" s="116"/>
    </row>
    <row r="149" spans="2:20">
      <c r="B149" s="48" t="s">
        <v>123</v>
      </c>
    </row>
    <row r="150" spans="2:20">
      <c r="C150" s="48" t="s">
        <v>59</v>
      </c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</row>
    <row r="151" spans="2:20">
      <c r="D151" s="49" t="s">
        <v>111</v>
      </c>
      <c r="F151" s="57">
        <f t="shared" ref="F151:R151" si="43">F119</f>
        <v>28315.503971076258</v>
      </c>
      <c r="G151" s="57">
        <f t="shared" si="43"/>
        <v>26530.123262520872</v>
      </c>
      <c r="H151" s="57">
        <f t="shared" si="43"/>
        <v>29581.314531581182</v>
      </c>
      <c r="I151" s="57">
        <f t="shared" si="43"/>
        <v>29635.658251873971</v>
      </c>
      <c r="J151" s="57">
        <f t="shared" si="43"/>
        <v>28207.136442355742</v>
      </c>
      <c r="K151" s="57">
        <f t="shared" si="43"/>
        <v>29865.045523616533</v>
      </c>
      <c r="L151" s="57">
        <f t="shared" si="43"/>
        <v>28391.80335487278</v>
      </c>
      <c r="M151" s="57">
        <f t="shared" si="43"/>
        <v>26907.820917843226</v>
      </c>
      <c r="N151" s="57">
        <f t="shared" si="43"/>
        <v>27105.490881044869</v>
      </c>
      <c r="O151" s="57">
        <f t="shared" si="43"/>
        <v>23654.844324917296</v>
      </c>
      <c r="P151" s="57">
        <f t="shared" si="43"/>
        <v>27346.232538928714</v>
      </c>
      <c r="Q151" s="57">
        <f t="shared" si="43"/>
        <v>27869.58859830453</v>
      </c>
      <c r="R151" s="83">
        <f t="shared" si="43"/>
        <v>333410.56259893603</v>
      </c>
      <c r="S151" s="118"/>
    </row>
    <row r="152" spans="2:20">
      <c r="D152" s="49" t="s">
        <v>124</v>
      </c>
      <c r="F152" s="57">
        <f t="shared" ref="F152:R152" si="44">F121</f>
        <v>2635.6236949378617</v>
      </c>
      <c r="G152" s="57">
        <f t="shared" si="44"/>
        <v>2549.1514759443166</v>
      </c>
      <c r="H152" s="57">
        <f t="shared" si="44"/>
        <v>2602.8727817525196</v>
      </c>
      <c r="I152" s="57">
        <f t="shared" si="44"/>
        <v>2591.458277542471</v>
      </c>
      <c r="J152" s="57">
        <f t="shared" si="44"/>
        <v>2791.238508659148</v>
      </c>
      <c r="K152" s="57">
        <f t="shared" si="44"/>
        <v>2428.723384162487</v>
      </c>
      <c r="L152" s="57">
        <f t="shared" si="44"/>
        <v>2415.875197947893</v>
      </c>
      <c r="M152" s="57">
        <f t="shared" si="44"/>
        <v>2720.1854195649521</v>
      </c>
      <c r="N152" s="57">
        <f t="shared" si="44"/>
        <v>2843.3738820007425</v>
      </c>
      <c r="O152" s="57">
        <f t="shared" si="44"/>
        <v>2234.4051586129058</v>
      </c>
      <c r="P152" s="57">
        <f t="shared" si="44"/>
        <v>2629.6048033477641</v>
      </c>
      <c r="Q152" s="57">
        <f t="shared" si="44"/>
        <v>2196.4198599480183</v>
      </c>
      <c r="R152" s="83">
        <f t="shared" si="44"/>
        <v>30638.932444421076</v>
      </c>
      <c r="S152" s="79"/>
    </row>
    <row r="153" spans="2:20" s="48" customFormat="1">
      <c r="C153" s="48" t="s">
        <v>103</v>
      </c>
      <c r="F153" s="101">
        <f t="shared" ref="F153:R153" si="45">SUM(F151:F152)</f>
        <v>30951.127666014119</v>
      </c>
      <c r="G153" s="101">
        <f t="shared" si="45"/>
        <v>29079.274738465188</v>
      </c>
      <c r="H153" s="101">
        <f t="shared" si="45"/>
        <v>32184.187313333699</v>
      </c>
      <c r="I153" s="101">
        <f t="shared" si="45"/>
        <v>32227.116529416442</v>
      </c>
      <c r="J153" s="101">
        <f t="shared" si="45"/>
        <v>30998.374951014892</v>
      </c>
      <c r="K153" s="101">
        <f t="shared" si="45"/>
        <v>32293.76890777902</v>
      </c>
      <c r="L153" s="101">
        <f t="shared" si="45"/>
        <v>30807.678552820675</v>
      </c>
      <c r="M153" s="101">
        <f t="shared" si="45"/>
        <v>29628.00633740818</v>
      </c>
      <c r="N153" s="101">
        <f t="shared" si="45"/>
        <v>29948.864763045611</v>
      </c>
      <c r="O153" s="101">
        <f t="shared" si="45"/>
        <v>25889.249483530202</v>
      </c>
      <c r="P153" s="101">
        <f t="shared" si="45"/>
        <v>29975.837342276478</v>
      </c>
      <c r="Q153" s="101">
        <f t="shared" si="45"/>
        <v>30066.008458252549</v>
      </c>
      <c r="R153" s="101">
        <f t="shared" si="45"/>
        <v>364049.49504335708</v>
      </c>
    </row>
    <row r="154" spans="2:20" ht="7.5" customHeight="1">
      <c r="C154" s="48"/>
      <c r="D154" s="48"/>
      <c r="E154" s="48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</row>
    <row r="155" spans="2:20">
      <c r="C155" s="48" t="s">
        <v>39</v>
      </c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</row>
    <row r="156" spans="2:20">
      <c r="D156" s="49" t="s">
        <v>111</v>
      </c>
      <c r="F156" s="57">
        <f t="shared" ref="F156:R156" si="46">F127</f>
        <v>72078.203902808673</v>
      </c>
      <c r="G156" s="57">
        <f t="shared" si="46"/>
        <v>63710.622744691471</v>
      </c>
      <c r="H156" s="57">
        <f t="shared" si="46"/>
        <v>69997.133844371914</v>
      </c>
      <c r="I156" s="57">
        <f t="shared" si="46"/>
        <v>71243.130821524013</v>
      </c>
      <c r="J156" s="57">
        <f t="shared" si="46"/>
        <v>66397.192219879958</v>
      </c>
      <c r="K156" s="57">
        <f t="shared" si="46"/>
        <v>69540.433714290877</v>
      </c>
      <c r="L156" s="57">
        <f t="shared" si="46"/>
        <v>63468.211614756678</v>
      </c>
      <c r="M156" s="57">
        <f t="shared" si="46"/>
        <v>65946.939808067298</v>
      </c>
      <c r="N156" s="57">
        <f t="shared" si="46"/>
        <v>72071.281993798504</v>
      </c>
      <c r="O156" s="57">
        <f t="shared" si="46"/>
        <v>55200.993615121952</v>
      </c>
      <c r="P156" s="57">
        <f t="shared" si="46"/>
        <v>60670.812737917746</v>
      </c>
      <c r="Q156" s="57">
        <f t="shared" si="46"/>
        <v>63146.337892364354</v>
      </c>
      <c r="R156" s="83">
        <f t="shared" si="46"/>
        <v>793471.29490959342</v>
      </c>
    </row>
    <row r="157" spans="2:20">
      <c r="D157" s="49" t="s">
        <v>104</v>
      </c>
      <c r="F157" s="57">
        <f t="shared" ref="F157:R157" si="47">F132</f>
        <v>25103.721947014601</v>
      </c>
      <c r="G157" s="57">
        <f t="shared" si="47"/>
        <v>22438.367342689606</v>
      </c>
      <c r="H157" s="57">
        <f t="shared" si="47"/>
        <v>22537.559241357274</v>
      </c>
      <c r="I157" s="57">
        <f t="shared" si="47"/>
        <v>24119.916715273626</v>
      </c>
      <c r="J157" s="57">
        <f t="shared" si="47"/>
        <v>23277.581219195847</v>
      </c>
      <c r="K157" s="57">
        <f t="shared" si="47"/>
        <v>25796.752912792883</v>
      </c>
      <c r="L157" s="57">
        <f t="shared" si="47"/>
        <v>22233.475266477719</v>
      </c>
      <c r="M157" s="57">
        <f t="shared" si="47"/>
        <v>24919.780390152377</v>
      </c>
      <c r="N157" s="57">
        <f t="shared" si="47"/>
        <v>28583.191109326268</v>
      </c>
      <c r="O157" s="57">
        <f t="shared" si="47"/>
        <v>21003.384810041545</v>
      </c>
      <c r="P157" s="57">
        <f t="shared" si="47"/>
        <v>22681.536177981907</v>
      </c>
      <c r="Q157" s="57">
        <f t="shared" si="47"/>
        <v>24661.98082685328</v>
      </c>
      <c r="R157" s="83">
        <f t="shared" si="47"/>
        <v>287357.24795915699</v>
      </c>
    </row>
    <row r="158" spans="2:20">
      <c r="D158" s="49" t="s">
        <v>58</v>
      </c>
      <c r="F158" s="57">
        <f t="shared" ref="F158:R158" si="48">F137</f>
        <v>31600.873400000004</v>
      </c>
      <c r="G158" s="57">
        <f t="shared" si="48"/>
        <v>22216.066300000002</v>
      </c>
      <c r="H158" s="57">
        <f t="shared" si="48"/>
        <v>21907.565999999999</v>
      </c>
      <c r="I158" s="57">
        <f t="shared" si="48"/>
        <v>18362.938000000002</v>
      </c>
      <c r="J158" s="57">
        <f t="shared" si="48"/>
        <v>19590.688300000002</v>
      </c>
      <c r="K158" s="57">
        <f t="shared" si="48"/>
        <v>24206.794099999999</v>
      </c>
      <c r="L158" s="57">
        <f t="shared" si="48"/>
        <v>38625.044399999992</v>
      </c>
      <c r="M158" s="57">
        <f t="shared" si="48"/>
        <v>17425.277999999998</v>
      </c>
      <c r="N158" s="57">
        <f t="shared" si="48"/>
        <v>17082.070800000001</v>
      </c>
      <c r="O158" s="57">
        <f t="shared" si="48"/>
        <v>11797.945200000002</v>
      </c>
      <c r="P158" s="57">
        <f t="shared" si="48"/>
        <v>21016.696199999998</v>
      </c>
      <c r="Q158" s="57">
        <f t="shared" si="48"/>
        <v>29342.238599999997</v>
      </c>
      <c r="R158" s="83">
        <f t="shared" si="48"/>
        <v>273174.19929999998</v>
      </c>
    </row>
    <row r="159" spans="2:20" s="48" customFormat="1">
      <c r="C159" s="48" t="s">
        <v>56</v>
      </c>
      <c r="F159" s="101">
        <f t="shared" ref="F159:R159" si="49">SUM(F156:F158)</f>
        <v>128782.79924982329</v>
      </c>
      <c r="G159" s="101">
        <f t="shared" si="49"/>
        <v>108365.05638738108</v>
      </c>
      <c r="H159" s="101">
        <f t="shared" si="49"/>
        <v>114442.25908572919</v>
      </c>
      <c r="I159" s="101">
        <f t="shared" si="49"/>
        <v>113725.98553679764</v>
      </c>
      <c r="J159" s="101">
        <f t="shared" si="49"/>
        <v>109265.46173907581</v>
      </c>
      <c r="K159" s="101">
        <f t="shared" si="49"/>
        <v>119543.98072708376</v>
      </c>
      <c r="L159" s="101">
        <f t="shared" si="49"/>
        <v>124326.73128123439</v>
      </c>
      <c r="M159" s="101">
        <f t="shared" si="49"/>
        <v>108291.99819821966</v>
      </c>
      <c r="N159" s="101">
        <f t="shared" si="49"/>
        <v>117736.54390312477</v>
      </c>
      <c r="O159" s="101">
        <f t="shared" si="49"/>
        <v>88002.323625163495</v>
      </c>
      <c r="P159" s="101">
        <f t="shared" si="49"/>
        <v>104369.04511589964</v>
      </c>
      <c r="Q159" s="101">
        <f t="shared" si="49"/>
        <v>117150.55731921764</v>
      </c>
      <c r="R159" s="101">
        <f t="shared" si="49"/>
        <v>1354002.7421687504</v>
      </c>
    </row>
    <row r="160" spans="2:20" ht="7.5" customHeight="1">
      <c r="C160" s="48"/>
      <c r="D160" s="48"/>
      <c r="E160" s="48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</row>
    <row r="161" spans="2:19">
      <c r="C161" s="48" t="s">
        <v>109</v>
      </c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</row>
    <row r="162" spans="2:19">
      <c r="D162" s="49" t="s">
        <v>111</v>
      </c>
      <c r="F162" s="57">
        <f t="shared" ref="F162:R162" si="50">F144</f>
        <v>13430.912155179622</v>
      </c>
      <c r="G162" s="57">
        <f t="shared" si="50"/>
        <v>13855.20365330948</v>
      </c>
      <c r="H162" s="57">
        <f t="shared" si="50"/>
        <v>12166.97643053401</v>
      </c>
      <c r="I162" s="57">
        <f t="shared" si="50"/>
        <v>14977.80890014804</v>
      </c>
      <c r="J162" s="57">
        <f t="shared" si="50"/>
        <v>12956.762536764048</v>
      </c>
      <c r="K162" s="57">
        <f t="shared" si="50"/>
        <v>10627.391788730713</v>
      </c>
      <c r="L162" s="57">
        <f t="shared" si="50"/>
        <v>12960.17379871581</v>
      </c>
      <c r="M162" s="57">
        <f t="shared" si="50"/>
        <v>15118.886691884589</v>
      </c>
      <c r="N162" s="57">
        <f t="shared" si="50"/>
        <v>12761.294068352179</v>
      </c>
      <c r="O162" s="57">
        <f t="shared" si="50"/>
        <v>11678.80273520564</v>
      </c>
      <c r="P162" s="57">
        <f t="shared" si="50"/>
        <v>10838.384657598981</v>
      </c>
      <c r="Q162" s="57">
        <f t="shared" si="50"/>
        <v>10383.028565676917</v>
      </c>
      <c r="R162" s="83">
        <f t="shared" si="50"/>
        <v>151755.62598210003</v>
      </c>
    </row>
    <row r="163" spans="2:19">
      <c r="C163" s="48" t="s">
        <v>121</v>
      </c>
      <c r="F163" s="59">
        <f t="shared" ref="F163:R163" si="51">SUM(F162)</f>
        <v>13430.912155179622</v>
      </c>
      <c r="G163" s="59">
        <f t="shared" si="51"/>
        <v>13855.20365330948</v>
      </c>
      <c r="H163" s="59">
        <f t="shared" si="51"/>
        <v>12166.97643053401</v>
      </c>
      <c r="I163" s="59">
        <f t="shared" si="51"/>
        <v>14977.80890014804</v>
      </c>
      <c r="J163" s="59">
        <f t="shared" si="51"/>
        <v>12956.762536764048</v>
      </c>
      <c r="K163" s="59">
        <f t="shared" si="51"/>
        <v>10627.391788730713</v>
      </c>
      <c r="L163" s="59">
        <f t="shared" si="51"/>
        <v>12960.17379871581</v>
      </c>
      <c r="M163" s="59">
        <f t="shared" si="51"/>
        <v>15118.886691884589</v>
      </c>
      <c r="N163" s="59">
        <f t="shared" si="51"/>
        <v>12761.294068352179</v>
      </c>
      <c r="O163" s="59">
        <f t="shared" si="51"/>
        <v>11678.80273520564</v>
      </c>
      <c r="P163" s="59">
        <f t="shared" si="51"/>
        <v>10838.384657598981</v>
      </c>
      <c r="Q163" s="59">
        <f t="shared" si="51"/>
        <v>10383.028565676917</v>
      </c>
      <c r="R163" s="59">
        <f t="shared" si="51"/>
        <v>151755.62598210003</v>
      </c>
    </row>
    <row r="164" spans="2:19" ht="7.5" customHeight="1">
      <c r="C164" s="48"/>
      <c r="D164" s="48"/>
      <c r="E164" s="48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</row>
    <row r="165" spans="2:19" s="48" customFormat="1">
      <c r="B165" s="48" t="s">
        <v>123</v>
      </c>
      <c r="F165" s="101">
        <f t="shared" ref="F165:R165" si="52">F153+F159+F163</f>
        <v>173164.83907101705</v>
      </c>
      <c r="G165" s="101">
        <f t="shared" si="52"/>
        <v>151299.53477915574</v>
      </c>
      <c r="H165" s="101">
        <f t="shared" si="52"/>
        <v>158793.42282959691</v>
      </c>
      <c r="I165" s="101">
        <f t="shared" si="52"/>
        <v>160930.91096636211</v>
      </c>
      <c r="J165" s="101">
        <f t="shared" si="52"/>
        <v>153220.59922685477</v>
      </c>
      <c r="K165" s="101">
        <f t="shared" si="52"/>
        <v>162465.14142359351</v>
      </c>
      <c r="L165" s="101">
        <f t="shared" si="52"/>
        <v>168094.58363277087</v>
      </c>
      <c r="M165" s="101">
        <f t="shared" si="52"/>
        <v>153038.89122751245</v>
      </c>
      <c r="N165" s="101">
        <f t="shared" si="52"/>
        <v>160446.70273452255</v>
      </c>
      <c r="O165" s="101">
        <f t="shared" si="52"/>
        <v>125570.37584389934</v>
      </c>
      <c r="P165" s="101">
        <f t="shared" si="52"/>
        <v>145183.26711577509</v>
      </c>
      <c r="Q165" s="101">
        <f t="shared" si="52"/>
        <v>157599.5943431471</v>
      </c>
      <c r="R165" s="101">
        <f t="shared" si="52"/>
        <v>1869807.8631942077</v>
      </c>
      <c r="S165" s="115"/>
    </row>
    <row r="166" spans="2:19">
      <c r="S166" s="120"/>
    </row>
    <row r="167" spans="2:19">
      <c r="R167" s="68"/>
    </row>
  </sheetData>
  <mergeCells count="1">
    <mergeCell ref="A3:D3"/>
  </mergeCells>
  <phoneticPr fontId="7" type="noConversion"/>
  <pageMargins left="0.75" right="0.75" top="1" bottom="1" header="0.5" footer="0.5"/>
  <pageSetup scale="65" fitToHeight="3" orientation="landscape" r:id="rId1"/>
  <headerFooter alignWithMargins="0"/>
  <rowBreaks count="2" manualBreakCount="2">
    <brk id="54" max="16383" man="1"/>
    <brk id="10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8"/>
    <pageSetUpPr fitToPage="1"/>
  </sheetPr>
  <dimension ref="A1:O29"/>
  <sheetViews>
    <sheetView workbookViewId="0">
      <selection activeCell="O22" sqref="O22"/>
    </sheetView>
  </sheetViews>
  <sheetFormatPr defaultColWidth="10.6640625" defaultRowHeight="12.75"/>
  <cols>
    <col min="1" max="1" width="15.83203125" style="49" customWidth="1"/>
    <col min="2" max="2" width="13.33203125" style="49" bestFit="1" customWidth="1"/>
    <col min="3" max="6" width="13.1640625" style="49" bestFit="1" customWidth="1"/>
    <col min="7" max="7" width="12.83203125" style="49" bestFit="1" customWidth="1"/>
    <col min="8" max="8" width="13.1640625" style="49" bestFit="1" customWidth="1"/>
    <col min="9" max="9" width="13.83203125" style="49" customWidth="1"/>
    <col min="10" max="13" width="13.1640625" style="49" bestFit="1" customWidth="1"/>
    <col min="14" max="14" width="10.6640625" style="49" customWidth="1"/>
    <col min="15" max="15" width="15" style="49" bestFit="1" customWidth="1"/>
    <col min="16" max="16384" width="10.6640625" style="49"/>
  </cols>
  <sheetData>
    <row r="1" spans="1:15">
      <c r="A1" s="69" t="s">
        <v>200</v>
      </c>
    </row>
    <row r="2" spans="1:15">
      <c r="A2" s="49" t="s">
        <v>51</v>
      </c>
    </row>
    <row r="3" spans="1:15">
      <c r="A3" s="49" t="s">
        <v>132</v>
      </c>
    </row>
    <row r="5" spans="1:15">
      <c r="B5" s="121">
        <f>Disposal!F7</f>
        <v>41395</v>
      </c>
      <c r="C5" s="121">
        <f>Disposal!G7</f>
        <v>41455</v>
      </c>
      <c r="D5" s="121">
        <f>Disposal!H7</f>
        <v>41486</v>
      </c>
      <c r="E5" s="121">
        <f>Disposal!I7</f>
        <v>41517</v>
      </c>
      <c r="F5" s="121">
        <f>Disposal!J7</f>
        <v>41547</v>
      </c>
      <c r="G5" s="121">
        <f>Disposal!K7</f>
        <v>41578</v>
      </c>
      <c r="H5" s="121">
        <f>Disposal!L7</f>
        <v>41608</v>
      </c>
      <c r="I5" s="121">
        <f>Disposal!M7</f>
        <v>41639</v>
      </c>
      <c r="J5" s="121">
        <f>Disposal!N7</f>
        <v>41670</v>
      </c>
      <c r="K5" s="121">
        <f>Disposal!O7</f>
        <v>41698</v>
      </c>
      <c r="L5" s="121">
        <f>Disposal!P7</f>
        <v>41729</v>
      </c>
      <c r="M5" s="121">
        <f>Disposal!Q7</f>
        <v>41759</v>
      </c>
      <c r="O5" s="122" t="s">
        <v>17</v>
      </c>
    </row>
    <row r="6" spans="1:15">
      <c r="A6" s="49" t="s">
        <v>204</v>
      </c>
    </row>
    <row r="7" spans="1:15">
      <c r="A7" s="49" t="s">
        <v>29</v>
      </c>
      <c r="B7" s="259">
        <v>5596.2199999999993</v>
      </c>
      <c r="C7" s="259">
        <v>4531.6400000000031</v>
      </c>
      <c r="D7" s="259">
        <v>4129.4299999999985</v>
      </c>
      <c r="E7" s="259">
        <v>2963.6300000000006</v>
      </c>
      <c r="F7" s="259">
        <v>3279.37</v>
      </c>
      <c r="G7" s="259">
        <v>3903.6799999999985</v>
      </c>
      <c r="H7" s="259">
        <v>6150.7499999999964</v>
      </c>
      <c r="I7" s="259">
        <v>2449.6299999999992</v>
      </c>
      <c r="J7" s="259">
        <v>2522.9199999999992</v>
      </c>
      <c r="K7" s="259">
        <v>1572.0900000000006</v>
      </c>
      <c r="L7" s="259">
        <v>3059.150000000001</v>
      </c>
      <c r="M7" s="259">
        <v>4473.8200000000015</v>
      </c>
      <c r="N7" s="97"/>
      <c r="O7" s="97">
        <f>SUM(B7:N7)</f>
        <v>44632.33</v>
      </c>
    </row>
    <row r="8" spans="1:15">
      <c r="A8" s="49" t="s">
        <v>133</v>
      </c>
      <c r="B8" s="123">
        <f>+B9/B7</f>
        <v>49.981973546429536</v>
      </c>
      <c r="C8" s="123">
        <f t="shared" ref="C8:M8" si="0">+C9/C7</f>
        <v>50.34083907812623</v>
      </c>
      <c r="D8" s="123">
        <f t="shared" si="0"/>
        <v>44.056109438832991</v>
      </c>
      <c r="E8" s="123">
        <f t="shared" si="0"/>
        <v>37.10783734811703</v>
      </c>
      <c r="F8" s="123">
        <f t="shared" si="0"/>
        <v>38.592052741837612</v>
      </c>
      <c r="G8" s="123">
        <f t="shared" si="0"/>
        <v>38.36203787195673</v>
      </c>
      <c r="H8" s="123">
        <f t="shared" si="0"/>
        <v>46.940197536885769</v>
      </c>
      <c r="I8" s="123">
        <f t="shared" si="0"/>
        <v>41.806762653951836</v>
      </c>
      <c r="J8" s="123">
        <f t="shared" si="0"/>
        <v>40.351453870911506</v>
      </c>
      <c r="K8" s="123">
        <f t="shared" si="0"/>
        <v>36.385194231882402</v>
      </c>
      <c r="L8" s="123">
        <f t="shared" si="0"/>
        <v>36.947910367258842</v>
      </c>
      <c r="M8" s="123">
        <f t="shared" si="0"/>
        <v>38.490017479469451</v>
      </c>
      <c r="N8" s="123"/>
      <c r="O8" s="123">
        <f>+O9/O7</f>
        <v>42.825623488623613</v>
      </c>
    </row>
    <row r="9" spans="1:15">
      <c r="A9" s="49" t="s">
        <v>134</v>
      </c>
      <c r="B9" s="97">
        <v>279710.11999999988</v>
      </c>
      <c r="C9" s="97">
        <v>228126.56000000011</v>
      </c>
      <c r="D9" s="97">
        <v>181926.62000000005</v>
      </c>
      <c r="E9" s="97">
        <v>109973.9000000001</v>
      </c>
      <c r="F9" s="97">
        <v>126557.62000000001</v>
      </c>
      <c r="G9" s="97">
        <v>149753.12</v>
      </c>
      <c r="H9" s="97">
        <v>288717.42</v>
      </c>
      <c r="I9" s="97">
        <v>102411.1</v>
      </c>
      <c r="J9" s="97">
        <v>101803.49000000002</v>
      </c>
      <c r="K9" s="97">
        <v>57200.800000000025</v>
      </c>
      <c r="L9" s="97">
        <v>113029.19999999992</v>
      </c>
      <c r="M9" s="97">
        <v>172197.41000000009</v>
      </c>
      <c r="N9" s="97"/>
      <c r="O9" s="97">
        <f>SUM(B9:N9)</f>
        <v>1911407.3600000003</v>
      </c>
    </row>
    <row r="11" spans="1:15">
      <c r="A11" s="49" t="s">
        <v>201</v>
      </c>
    </row>
    <row r="12" spans="1:15">
      <c r="A12" s="49" t="s">
        <v>29</v>
      </c>
      <c r="B12" s="123">
        <v>142.41999999999999</v>
      </c>
      <c r="C12" s="123">
        <v>115.58000000000001</v>
      </c>
      <c r="D12" s="123">
        <v>192.97000000000003</v>
      </c>
      <c r="E12" s="103">
        <v>121.34999999999998</v>
      </c>
      <c r="F12" s="123">
        <v>83.24</v>
      </c>
      <c r="G12" s="103">
        <v>169.35999999999999</v>
      </c>
      <c r="H12" s="123">
        <v>313.02</v>
      </c>
      <c r="I12" s="123">
        <v>247.93999999999997</v>
      </c>
      <c r="J12" s="123">
        <v>161.6</v>
      </c>
      <c r="K12" s="123">
        <v>114.16000000000001</v>
      </c>
      <c r="L12" s="123">
        <v>108.48000000000002</v>
      </c>
      <c r="M12" s="123">
        <v>143.38999999999996</v>
      </c>
      <c r="N12" s="123"/>
      <c r="O12" s="123">
        <v>1913.51</v>
      </c>
    </row>
    <row r="13" spans="1:15">
      <c r="A13" s="49" t="s">
        <v>133</v>
      </c>
      <c r="B13" s="123">
        <v>36.770000000000003</v>
      </c>
      <c r="C13" s="123">
        <v>36.770000000000003</v>
      </c>
      <c r="D13" s="123">
        <v>36.770000000000003</v>
      </c>
      <c r="E13" s="123">
        <v>36.770000000000003</v>
      </c>
      <c r="F13" s="123">
        <v>36.770000000000003</v>
      </c>
      <c r="G13" s="123">
        <v>36.770000000000003</v>
      </c>
      <c r="H13" s="123">
        <v>39.54</v>
      </c>
      <c r="I13" s="123">
        <v>39.54</v>
      </c>
      <c r="J13" s="123">
        <v>39.54</v>
      </c>
      <c r="K13" s="123">
        <v>39.54</v>
      </c>
      <c r="L13" s="123">
        <v>39.54</v>
      </c>
      <c r="M13" s="123">
        <v>39.54</v>
      </c>
      <c r="N13" s="123"/>
      <c r="O13" s="123">
        <v>38.345844547454675</v>
      </c>
    </row>
    <row r="14" spans="1:15">
      <c r="A14" s="49" t="s">
        <v>134</v>
      </c>
      <c r="B14" s="97">
        <v>5236.7834000000003</v>
      </c>
      <c r="C14" s="97">
        <v>4249.8766000000005</v>
      </c>
      <c r="D14" s="97">
        <v>7095.5069000000012</v>
      </c>
      <c r="E14" s="97">
        <v>4462.0394999999999</v>
      </c>
      <c r="F14" s="97">
        <v>3060.7348000000002</v>
      </c>
      <c r="G14" s="97">
        <v>6227.3671999999997</v>
      </c>
      <c r="H14" s="97">
        <v>12376.810799999999</v>
      </c>
      <c r="I14" s="97">
        <v>9803.5475999999981</v>
      </c>
      <c r="J14" s="97">
        <v>6389.6639999999998</v>
      </c>
      <c r="K14" s="97">
        <v>4513.8864000000003</v>
      </c>
      <c r="L14" s="97">
        <v>4289.2992000000004</v>
      </c>
      <c r="M14" s="97">
        <v>5669.6405999999979</v>
      </c>
      <c r="N14" s="97"/>
      <c r="O14" s="97">
        <v>73375.156999999992</v>
      </c>
    </row>
    <row r="15" spans="1:15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5">
      <c r="A16" s="69" t="s">
        <v>202</v>
      </c>
    </row>
    <row r="17" spans="1:15">
      <c r="A17" s="49" t="s">
        <v>29</v>
      </c>
      <c r="B17" s="123">
        <v>859.42000000000007</v>
      </c>
      <c r="C17" s="123">
        <v>604.19000000000005</v>
      </c>
      <c r="D17" s="123">
        <v>595.79999999999995</v>
      </c>
      <c r="E17" s="103">
        <v>499.4</v>
      </c>
      <c r="F17" s="123">
        <v>532.79</v>
      </c>
      <c r="G17" s="103">
        <v>658.32999999999993</v>
      </c>
      <c r="H17" s="123">
        <v>976.85999999999979</v>
      </c>
      <c r="I17" s="123">
        <v>440.7</v>
      </c>
      <c r="J17" s="123">
        <v>432.02000000000004</v>
      </c>
      <c r="K17" s="123">
        <v>298.38000000000005</v>
      </c>
      <c r="L17" s="123">
        <v>531.53</v>
      </c>
      <c r="M17" s="123">
        <v>742.08999999999992</v>
      </c>
      <c r="N17" s="123"/>
      <c r="O17" s="123">
        <v>7171.51</v>
      </c>
    </row>
    <row r="18" spans="1:15">
      <c r="A18" s="49" t="s">
        <v>133</v>
      </c>
      <c r="B18" s="123">
        <f>+B13</f>
        <v>36.770000000000003</v>
      </c>
      <c r="C18" s="123">
        <f t="shared" ref="C18:M18" si="1">+C13</f>
        <v>36.770000000000003</v>
      </c>
      <c r="D18" s="123">
        <f t="shared" si="1"/>
        <v>36.770000000000003</v>
      </c>
      <c r="E18" s="123">
        <f t="shared" si="1"/>
        <v>36.770000000000003</v>
      </c>
      <c r="F18" s="123">
        <f t="shared" si="1"/>
        <v>36.770000000000003</v>
      </c>
      <c r="G18" s="123">
        <f t="shared" si="1"/>
        <v>36.770000000000003</v>
      </c>
      <c r="H18" s="123">
        <f t="shared" si="1"/>
        <v>39.54</v>
      </c>
      <c r="I18" s="123">
        <f t="shared" si="1"/>
        <v>39.54</v>
      </c>
      <c r="J18" s="123">
        <f t="shared" si="1"/>
        <v>39.54</v>
      </c>
      <c r="K18" s="123">
        <f t="shared" si="1"/>
        <v>39.54</v>
      </c>
      <c r="L18" s="123">
        <f t="shared" si="1"/>
        <v>39.54</v>
      </c>
      <c r="M18" s="123">
        <f t="shared" si="1"/>
        <v>39.54</v>
      </c>
      <c r="N18" s="123"/>
      <c r="O18" s="123">
        <v>38.09158730867</v>
      </c>
    </row>
    <row r="19" spans="1:15">
      <c r="A19" s="49" t="s">
        <v>134</v>
      </c>
      <c r="B19" s="97">
        <v>31600.873400000004</v>
      </c>
      <c r="C19" s="97">
        <v>22216.066300000002</v>
      </c>
      <c r="D19" s="97">
        <v>21907.565999999999</v>
      </c>
      <c r="E19" s="97">
        <v>18362.938000000002</v>
      </c>
      <c r="F19" s="97">
        <v>19590.688300000002</v>
      </c>
      <c r="G19" s="97">
        <v>24206.794099999999</v>
      </c>
      <c r="H19" s="97">
        <v>38625.044399999992</v>
      </c>
      <c r="I19" s="97">
        <v>17425.277999999998</v>
      </c>
      <c r="J19" s="97">
        <v>17082.070800000001</v>
      </c>
      <c r="K19" s="97">
        <v>11797.945200000002</v>
      </c>
      <c r="L19" s="97">
        <v>21016.696199999998</v>
      </c>
      <c r="M19" s="97">
        <v>29342.238599999997</v>
      </c>
      <c r="N19" s="97"/>
      <c r="O19" s="97">
        <v>273174.19929999998</v>
      </c>
    </row>
    <row r="20" spans="1:15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1:15">
      <c r="A21" s="49" t="s">
        <v>203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</row>
    <row r="22" spans="1:15">
      <c r="A22" s="49" t="s">
        <v>29</v>
      </c>
      <c r="B22" s="123">
        <v>4736.7999999999993</v>
      </c>
      <c r="C22" s="123">
        <v>3927.450000000003</v>
      </c>
      <c r="D22" s="123">
        <v>3533.6299999999983</v>
      </c>
      <c r="E22" s="123">
        <v>2464.2300000000005</v>
      </c>
      <c r="F22" s="123">
        <v>2746.58</v>
      </c>
      <c r="G22" s="123">
        <v>3245.3499999999985</v>
      </c>
      <c r="H22" s="123">
        <v>5173.8899999999967</v>
      </c>
      <c r="I22" s="123">
        <v>2008.9299999999992</v>
      </c>
      <c r="J22" s="123">
        <v>2090.8999999999992</v>
      </c>
      <c r="K22" s="123">
        <v>1273.7100000000005</v>
      </c>
      <c r="L22" s="123">
        <v>2527.6200000000008</v>
      </c>
      <c r="M22" s="123">
        <v>3731.7300000000014</v>
      </c>
      <c r="N22" s="123"/>
      <c r="O22" s="97">
        <v>37460.82</v>
      </c>
    </row>
    <row r="23" spans="1:15">
      <c r="A23" s="49" t="s">
        <v>133</v>
      </c>
      <c r="B23" s="123">
        <f>+B24/B22</f>
        <v>52.379084318527255</v>
      </c>
      <c r="C23" s="123">
        <f t="shared" ref="C23:M23" si="2">+C24/C22</f>
        <v>52.428546181364489</v>
      </c>
      <c r="D23" s="123">
        <f t="shared" si="2"/>
        <v>45.284609311105051</v>
      </c>
      <c r="E23" s="123">
        <f t="shared" si="2"/>
        <v>37.176303348307613</v>
      </c>
      <c r="F23" s="123">
        <f t="shared" si="2"/>
        <v>38.945500112867649</v>
      </c>
      <c r="G23" s="123">
        <f t="shared" si="2"/>
        <v>38.684988029026158</v>
      </c>
      <c r="H23" s="123">
        <f t="shared" si="2"/>
        <v>48.337397122861169</v>
      </c>
      <c r="I23" s="123">
        <f t="shared" si="2"/>
        <v>42.304023534916624</v>
      </c>
      <c r="J23" s="123">
        <f t="shared" si="2"/>
        <v>40.519115787459967</v>
      </c>
      <c r="K23" s="123">
        <f t="shared" si="2"/>
        <v>35.64614771023232</v>
      </c>
      <c r="L23" s="123">
        <f t="shared" si="2"/>
        <v>36.402823130059062</v>
      </c>
      <c r="M23" s="123">
        <f t="shared" si="2"/>
        <v>38.281218469717814</v>
      </c>
      <c r="N23" s="123"/>
      <c r="O23" s="123">
        <v>43.731908716894083</v>
      </c>
    </row>
    <row r="24" spans="1:15">
      <c r="A24" s="49" t="s">
        <v>134</v>
      </c>
      <c r="B24" s="97">
        <v>248109.24659999987</v>
      </c>
      <c r="C24" s="97">
        <v>205910.49370000011</v>
      </c>
      <c r="D24" s="97">
        <v>160019.05400000006</v>
      </c>
      <c r="E24" s="97">
        <v>91610.962000000087</v>
      </c>
      <c r="F24" s="97">
        <v>106966.93170000002</v>
      </c>
      <c r="G24" s="97">
        <v>125546.3259</v>
      </c>
      <c r="H24" s="97">
        <v>250092.3756</v>
      </c>
      <c r="I24" s="97">
        <v>84985.822000000015</v>
      </c>
      <c r="J24" s="97">
        <v>84721.419200000018</v>
      </c>
      <c r="K24" s="97">
        <v>45402.854800000023</v>
      </c>
      <c r="L24" s="97">
        <v>92012.503799999919</v>
      </c>
      <c r="M24" s="97">
        <v>142855.17140000011</v>
      </c>
      <c r="N24" s="123"/>
      <c r="O24" s="97">
        <v>1638233.1607000001</v>
      </c>
    </row>
    <row r="25" spans="1:15"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</row>
    <row r="26" spans="1:15"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123"/>
      <c r="O26" s="123"/>
    </row>
    <row r="27" spans="1:15"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123"/>
      <c r="O27" s="123"/>
    </row>
    <row r="28" spans="1:15"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123"/>
      <c r="O28" s="123"/>
    </row>
    <row r="29" spans="1:15"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123"/>
      <c r="O29" s="123"/>
    </row>
  </sheetData>
  <phoneticPr fontId="7" type="noConversion"/>
  <pageMargins left="0.75" right="0.75" top="1" bottom="1" header="0.5" footer="0.5"/>
  <pageSetup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indexed="58"/>
    <pageSetUpPr fitToPage="1"/>
  </sheetPr>
  <dimension ref="A1:N18"/>
  <sheetViews>
    <sheetView showGridLines="0" workbookViewId="0">
      <selection activeCell="B18" sqref="B18"/>
    </sheetView>
  </sheetViews>
  <sheetFormatPr defaultColWidth="10.6640625" defaultRowHeight="12.75"/>
  <cols>
    <col min="1" max="1" width="31.6640625" style="49" bestFit="1" customWidth="1"/>
    <col min="2" max="13" width="12.5" style="49" customWidth="1"/>
    <col min="14" max="14" width="13.33203125" style="49" bestFit="1" customWidth="1"/>
    <col min="15" max="16384" width="10.6640625" style="49"/>
  </cols>
  <sheetData>
    <row r="1" spans="1:14">
      <c r="A1" s="49" t="s">
        <v>135</v>
      </c>
    </row>
    <row r="4" spans="1:14">
      <c r="B4" s="124">
        <f>Disposal!F7</f>
        <v>41395</v>
      </c>
      <c r="C4" s="124">
        <f>Disposal!G7</f>
        <v>41455</v>
      </c>
      <c r="D4" s="124">
        <f>Disposal!H7</f>
        <v>41486</v>
      </c>
      <c r="E4" s="124">
        <f>Disposal!I7</f>
        <v>41517</v>
      </c>
      <c r="F4" s="124">
        <f>Disposal!J7</f>
        <v>41547</v>
      </c>
      <c r="G4" s="124">
        <f>Disposal!K7</f>
        <v>41578</v>
      </c>
      <c r="H4" s="124">
        <f>Disposal!L7</f>
        <v>41608</v>
      </c>
      <c r="I4" s="124">
        <f>Disposal!M7</f>
        <v>41639</v>
      </c>
      <c r="J4" s="124">
        <f>Disposal!N7</f>
        <v>41670</v>
      </c>
      <c r="K4" s="124">
        <f>Disposal!O7</f>
        <v>41698</v>
      </c>
      <c r="L4" s="124">
        <f>Disposal!P7</f>
        <v>41729</v>
      </c>
      <c r="M4" s="124">
        <f>Disposal!Q7</f>
        <v>41759</v>
      </c>
    </row>
    <row r="6" spans="1:14">
      <c r="A6" s="50" t="s">
        <v>136</v>
      </c>
      <c r="B6" s="125">
        <v>4108</v>
      </c>
      <c r="C6" s="125">
        <v>3880</v>
      </c>
      <c r="D6" s="125">
        <v>4315</v>
      </c>
      <c r="E6" s="125">
        <v>4365</v>
      </c>
      <c r="F6" s="125">
        <v>4012</v>
      </c>
      <c r="G6" s="125">
        <v>5559</v>
      </c>
      <c r="H6" s="125">
        <v>4383</v>
      </c>
      <c r="I6" s="125">
        <v>4088</v>
      </c>
      <c r="J6" s="125">
        <v>4181</v>
      </c>
      <c r="K6" s="125">
        <v>3532</v>
      </c>
      <c r="L6" s="125">
        <v>4034</v>
      </c>
      <c r="M6" s="125">
        <v>4302</v>
      </c>
      <c r="N6" s="269">
        <f>SUM(B6:M6)</f>
        <v>50759</v>
      </c>
    </row>
    <row r="7" spans="1:14">
      <c r="A7" s="50" t="s">
        <v>137</v>
      </c>
      <c r="B7" s="125">
        <v>110.8435434115674</v>
      </c>
      <c r="C7" s="125">
        <v>114.34516508467013</v>
      </c>
      <c r="D7" s="125">
        <v>100.41244887789065</v>
      </c>
      <c r="E7" s="125">
        <v>123.60987785877725</v>
      </c>
      <c r="F7" s="125">
        <v>106.93044925942105</v>
      </c>
      <c r="G7" s="125">
        <v>87.706460251965936</v>
      </c>
      <c r="H7" s="125">
        <v>106.95860195358431</v>
      </c>
      <c r="I7" s="125">
        <v>124.77417423359402</v>
      </c>
      <c r="J7" s="125">
        <v>105.31727381655674</v>
      </c>
      <c r="K7" s="125">
        <v>96.383615871962036</v>
      </c>
      <c r="L7" s="125">
        <v>89.447756520582487</v>
      </c>
      <c r="M7" s="125">
        <v>85.689762859428214</v>
      </c>
      <c r="N7" s="269">
        <f>SUM(B7:M7)</f>
        <v>1252.4191300000002</v>
      </c>
    </row>
    <row r="8" spans="1:14">
      <c r="A8" s="50" t="s">
        <v>138</v>
      </c>
      <c r="B8" s="125">
        <f>B6-B7</f>
        <v>3997.1564565884328</v>
      </c>
      <c r="C8" s="125">
        <f t="shared" ref="C8:M8" si="0">C6-C7</f>
        <v>3765.65483491533</v>
      </c>
      <c r="D8" s="125">
        <f t="shared" si="0"/>
        <v>4214.5875511221093</v>
      </c>
      <c r="E8" s="125">
        <f t="shared" si="0"/>
        <v>4241.3901221412225</v>
      </c>
      <c r="F8" s="125">
        <f t="shared" si="0"/>
        <v>3905.069550740579</v>
      </c>
      <c r="G8" s="125">
        <f t="shared" si="0"/>
        <v>5471.2935397480342</v>
      </c>
      <c r="H8" s="125">
        <f t="shared" si="0"/>
        <v>4276.0413980464155</v>
      </c>
      <c r="I8" s="125">
        <f t="shared" si="0"/>
        <v>3963.2258257664062</v>
      </c>
      <c r="J8" s="125">
        <f t="shared" si="0"/>
        <v>4075.6827261834433</v>
      </c>
      <c r="K8" s="125">
        <f t="shared" si="0"/>
        <v>3435.6163841280381</v>
      </c>
      <c r="L8" s="125">
        <f t="shared" si="0"/>
        <v>3944.5522434794175</v>
      </c>
      <c r="M8" s="125">
        <f t="shared" si="0"/>
        <v>4216.3102371405721</v>
      </c>
      <c r="N8" s="269">
        <f>SUM(N6:N7)</f>
        <v>52011.419130000002</v>
      </c>
    </row>
    <row r="9" spans="1:14">
      <c r="A9" s="50"/>
    </row>
    <row r="10" spans="1:14">
      <c r="A10" s="50" t="s">
        <v>122</v>
      </c>
      <c r="B10" s="120">
        <v>243381.00000000003</v>
      </c>
      <c r="C10" s="120">
        <v>228985.09999999998</v>
      </c>
      <c r="D10" s="120">
        <v>253970.4</v>
      </c>
      <c r="E10" s="120">
        <v>246896</v>
      </c>
      <c r="F10" s="120">
        <v>230130.6</v>
      </c>
      <c r="G10" s="120">
        <v>256810.24000000002</v>
      </c>
      <c r="H10" s="120">
        <v>224380.6</v>
      </c>
      <c r="I10" s="120">
        <v>235025</v>
      </c>
      <c r="J10" s="120">
        <v>233849.16</v>
      </c>
      <c r="K10" s="120">
        <v>208524.55</v>
      </c>
      <c r="L10" s="120">
        <v>217243.00999999998</v>
      </c>
      <c r="M10" s="120">
        <v>225939.4</v>
      </c>
      <c r="N10" s="270">
        <f>SUM(B10:M10)</f>
        <v>2805135.0599999996</v>
      </c>
    </row>
    <row r="11" spans="1:14">
      <c r="A11" s="126" t="s">
        <v>139</v>
      </c>
      <c r="B11" s="127">
        <v>110011.1</v>
      </c>
      <c r="C11" s="127">
        <v>100999.92</v>
      </c>
      <c r="D11" s="127">
        <v>130962.99999999999</v>
      </c>
      <c r="E11" s="127">
        <v>112113.21</v>
      </c>
      <c r="F11" s="127">
        <v>106336.68</v>
      </c>
      <c r="G11" s="127">
        <v>122963.75</v>
      </c>
      <c r="H11" s="127">
        <v>116400.64</v>
      </c>
      <c r="I11" s="127">
        <v>104039</v>
      </c>
      <c r="J11" s="127">
        <v>101813.76000000001</v>
      </c>
      <c r="K11" s="127">
        <v>95773.950000000012</v>
      </c>
      <c r="L11" s="127">
        <v>101649.78</v>
      </c>
      <c r="M11" s="127">
        <v>130506.59</v>
      </c>
      <c r="N11" s="270">
        <f>SUM(B11:M11)</f>
        <v>1333571.3800000001</v>
      </c>
    </row>
    <row r="12" spans="1:14">
      <c r="A12" s="128" t="s">
        <v>139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270">
        <f>SUM(B12:M12)</f>
        <v>0</v>
      </c>
    </row>
    <row r="13" spans="1:14" ht="13.5" thickBot="1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271">
        <f>SUM(N10:N12)</f>
        <v>4138706.4399999995</v>
      </c>
    </row>
    <row r="14" spans="1:14" ht="13.5" thickTop="1">
      <c r="A14" s="50" t="s">
        <v>140</v>
      </c>
      <c r="B14" s="120">
        <v>13430.912155179622</v>
      </c>
      <c r="C14" s="120">
        <v>13855.20365330948</v>
      </c>
      <c r="D14" s="120">
        <v>12166.97643053401</v>
      </c>
      <c r="E14" s="120">
        <v>14977.80890014804</v>
      </c>
      <c r="F14" s="120">
        <v>12956.762536764048</v>
      </c>
      <c r="G14" s="120">
        <v>10627.391788730713</v>
      </c>
      <c r="H14" s="120">
        <v>12960.17379871581</v>
      </c>
      <c r="I14" s="120">
        <v>15118.886691884589</v>
      </c>
      <c r="J14" s="120">
        <v>12761.294068352179</v>
      </c>
      <c r="K14" s="120">
        <v>11678.80273520564</v>
      </c>
      <c r="L14" s="120">
        <v>10838.384657598981</v>
      </c>
      <c r="M14" s="120">
        <v>10383.028565676917</v>
      </c>
    </row>
    <row r="15" spans="1:14">
      <c r="A15" s="50" t="s">
        <v>141</v>
      </c>
      <c r="B15" s="120">
        <f t="shared" ref="B15:M15" si="1">B10+B11+B12-B14</f>
        <v>339961.18784482044</v>
      </c>
      <c r="C15" s="120">
        <f t="shared" si="1"/>
        <v>316129.81634669047</v>
      </c>
      <c r="D15" s="120">
        <f t="shared" si="1"/>
        <v>372766.42356946593</v>
      </c>
      <c r="E15" s="120">
        <f t="shared" si="1"/>
        <v>344031.401099852</v>
      </c>
      <c r="F15" s="120">
        <f t="shared" si="1"/>
        <v>323510.517463236</v>
      </c>
      <c r="G15" s="120">
        <f t="shared" si="1"/>
        <v>369146.5982112693</v>
      </c>
      <c r="H15" s="120">
        <f t="shared" si="1"/>
        <v>327821.06620128418</v>
      </c>
      <c r="I15" s="120">
        <f t="shared" si="1"/>
        <v>323945.1133081154</v>
      </c>
      <c r="J15" s="120">
        <f t="shared" si="1"/>
        <v>322901.62593164784</v>
      </c>
      <c r="K15" s="120">
        <f t="shared" si="1"/>
        <v>292619.69726479438</v>
      </c>
      <c r="L15" s="120">
        <f t="shared" si="1"/>
        <v>308054.40534240101</v>
      </c>
      <c r="M15" s="120">
        <f t="shared" si="1"/>
        <v>346062.96143432305</v>
      </c>
    </row>
    <row r="16" spans="1:14">
      <c r="A16" s="50"/>
    </row>
    <row r="17" spans="1:13">
      <c r="A17" s="50" t="s">
        <v>142</v>
      </c>
      <c r="B17" s="130">
        <f t="shared" ref="B17:M17" si="2">B14/B7</f>
        <v>121.17</v>
      </c>
      <c r="C17" s="130">
        <f t="shared" si="2"/>
        <v>121.17</v>
      </c>
      <c r="D17" s="130">
        <f t="shared" si="2"/>
        <v>121.17</v>
      </c>
      <c r="E17" s="130">
        <f t="shared" si="2"/>
        <v>121.17</v>
      </c>
      <c r="F17" s="130">
        <f t="shared" si="2"/>
        <v>121.17</v>
      </c>
      <c r="G17" s="130">
        <f t="shared" si="2"/>
        <v>121.17</v>
      </c>
      <c r="H17" s="130">
        <f t="shared" si="2"/>
        <v>121.17</v>
      </c>
      <c r="I17" s="130">
        <f t="shared" si="2"/>
        <v>121.17</v>
      </c>
      <c r="J17" s="130">
        <f t="shared" si="2"/>
        <v>121.17</v>
      </c>
      <c r="K17" s="130">
        <f t="shared" si="2"/>
        <v>121.17</v>
      </c>
      <c r="L17" s="130">
        <f t="shared" si="2"/>
        <v>121.17000000000002</v>
      </c>
      <c r="M17" s="130">
        <f t="shared" si="2"/>
        <v>121.17</v>
      </c>
    </row>
    <row r="18" spans="1:13">
      <c r="A18" s="50" t="s">
        <v>143</v>
      </c>
      <c r="B18" s="109">
        <f t="shared" ref="B18:M18" si="3">B15/B8</f>
        <v>85.050758342088216</v>
      </c>
      <c r="C18" s="109">
        <f t="shared" si="3"/>
        <v>83.950821359281221</v>
      </c>
      <c r="D18" s="109">
        <f t="shared" si="3"/>
        <v>88.446714903388127</v>
      </c>
      <c r="E18" s="109">
        <f t="shared" si="3"/>
        <v>81.11288780155202</v>
      </c>
      <c r="F18" s="109">
        <f t="shared" si="3"/>
        <v>82.843727431662174</v>
      </c>
      <c r="G18" s="109">
        <f t="shared" si="3"/>
        <v>67.469711783782188</v>
      </c>
      <c r="H18" s="109">
        <f t="shared" si="3"/>
        <v>76.664614695043639</v>
      </c>
      <c r="I18" s="109">
        <f t="shared" si="3"/>
        <v>81.737737779671207</v>
      </c>
      <c r="J18" s="109">
        <f t="shared" si="3"/>
        <v>79.226389202777781</v>
      </c>
      <c r="K18" s="109">
        <f t="shared" si="3"/>
        <v>85.172401265940948</v>
      </c>
      <c r="L18" s="109">
        <f t="shared" si="3"/>
        <v>78.096165629859129</v>
      </c>
      <c r="M18" s="109">
        <f t="shared" si="3"/>
        <v>82.077205416700295</v>
      </c>
    </row>
  </sheetData>
  <phoneticPr fontId="7" type="noConversion"/>
  <pageMargins left="0.75" right="0.75" top="1" bottom="1" header="0.5" footer="0.5"/>
  <pageSetup scale="78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FCA2C8EA651D4B8223E7FDCC209C5F" ma:contentTypeVersion="104" ma:contentTypeDescription="" ma:contentTypeScope="" ma:versionID="720cccf12e59bc39e00f062dfdc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161214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6508E08-1797-489E-8E83-9F2A9E854B24}"/>
</file>

<file path=customXml/itemProps2.xml><?xml version="1.0" encoding="utf-8"?>
<ds:datastoreItem xmlns:ds="http://schemas.openxmlformats.org/officeDocument/2006/customXml" ds:itemID="{4FB4AF86-73F7-4121-BF86-C40CD9515384}"/>
</file>

<file path=customXml/itemProps3.xml><?xml version="1.0" encoding="utf-8"?>
<ds:datastoreItem xmlns:ds="http://schemas.openxmlformats.org/officeDocument/2006/customXml" ds:itemID="{5D1B3415-00E4-4634-80FD-44EF7FEC7929}"/>
</file>

<file path=customXml/itemProps4.xml><?xml version="1.0" encoding="utf-8"?>
<ds:datastoreItem xmlns:ds="http://schemas.openxmlformats.org/officeDocument/2006/customXml" ds:itemID="{1D9FD73E-234F-48FA-8993-1A420D76C9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</vt:lpstr>
      <vt:lpstr>Disposal</vt:lpstr>
      <vt:lpstr>Yardwaste Analysis</vt:lpstr>
      <vt:lpstr>Roll Off Average Cost</vt:lpstr>
      <vt:lpstr>COS!Print_Area</vt:lpstr>
      <vt:lpstr>COS!Print_Titles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Cramer, Diane</cp:lastModifiedBy>
  <cp:lastPrinted>2016-11-15T22:59:07Z</cp:lastPrinted>
  <dcterms:created xsi:type="dcterms:W3CDTF">2011-11-09T20:37:44Z</dcterms:created>
  <dcterms:modified xsi:type="dcterms:W3CDTF">2016-11-15T23:02:30Z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0x0101006E56B4D1795A2E4DB2F0B01679ED314A00E3FCA2C8EA651D4B8223E7FDCC209C5F</vt:lpwstr>
  </property>
  <property fmtid="{D5CDD505-2E9C-101B-9397-08002B2CF9AE}" pid="3" name="_docset_NoMedatataSyncRequired">
    <vt:lpwstr>False</vt:lpwstr>
  </property>
</Properties>
</file>