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7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180" windowHeight="7695" firstSheet="2" activeTab="3"/>
  </bookViews>
  <sheets>
    <sheet name="Attachment A" sheetId="16" r:id="rId1"/>
    <sheet name="Attachment B" sheetId="14" r:id="rId2"/>
    <sheet name="Attachment C" sheetId="3" r:id="rId3"/>
    <sheet name="Attachment D" sheetId="12" r:id="rId4"/>
    <sheet name="Calculation of BPA Credit OCT15" sheetId="7" r:id="rId5"/>
    <sheet name="Billing Comp Schedule 40" sheetId="4" r:id="rId6"/>
    <sheet name="Table A rate case" sheetId="11" r:id="rId7"/>
    <sheet name="305 Inputs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 localSheetId="0">[1]Jan!#REF!</definedName>
    <definedName name="\0" localSheetId="1">[1]Jan!#REF!</definedName>
    <definedName name="\0" localSheetId="3">[1]Jan!#REF!</definedName>
    <definedName name="\0">[1]Jan!#REF!</definedName>
    <definedName name="\A" localSheetId="1">#REF!</definedName>
    <definedName name="\A" localSheetId="3">#REF!</definedName>
    <definedName name="\A" localSheetId="4">#REF!</definedName>
    <definedName name="\A">#REF!</definedName>
    <definedName name="\B" localSheetId="1">#REF!</definedName>
    <definedName name="\B" localSheetId="3">#REF!</definedName>
    <definedName name="\B" localSheetId="4">#REF!</definedName>
    <definedName name="\B">#REF!</definedName>
    <definedName name="\BACK1" localSheetId="0">#REF!</definedName>
    <definedName name="\BACK1" localSheetId="1">#REF!</definedName>
    <definedName name="\BACK1" localSheetId="3">#REF!</definedName>
    <definedName name="\BACK1" localSheetId="4">#REF!</definedName>
    <definedName name="\BACK1">#REF!</definedName>
    <definedName name="\BLOCK" localSheetId="0">#REF!</definedName>
    <definedName name="\BLOCK" localSheetId="1">#REF!</definedName>
    <definedName name="\BLOCK" localSheetId="3">#REF!</definedName>
    <definedName name="\BLOCK" localSheetId="4">#REF!</definedName>
    <definedName name="\BLOCK">#REF!</definedName>
    <definedName name="\BLOCKT" localSheetId="0">#REF!</definedName>
    <definedName name="\BLOCKT" localSheetId="1">#REF!</definedName>
    <definedName name="\BLOCKT" localSheetId="3">#REF!</definedName>
    <definedName name="\BLOCKT" localSheetId="4">#REF!</definedName>
    <definedName name="\BLOCKT">#REF!</definedName>
    <definedName name="\C" localSheetId="1">#REF!</definedName>
    <definedName name="\C" localSheetId="3">#REF!</definedName>
    <definedName name="\C" localSheetId="4">#REF!</definedName>
    <definedName name="\C">#REF!</definedName>
    <definedName name="\COMP" localSheetId="1">#REF!</definedName>
    <definedName name="\COMP" localSheetId="3">#REF!</definedName>
    <definedName name="\COMP" localSheetId="4">#REF!</definedName>
    <definedName name="\COMP">#REF!</definedName>
    <definedName name="\COMPT" localSheetId="1">#REF!</definedName>
    <definedName name="\COMPT" localSheetId="3">#REF!</definedName>
    <definedName name="\COMPT" localSheetId="4">#REF!</definedName>
    <definedName name="\COMPT">#REF!</definedName>
    <definedName name="\G" localSheetId="1">#REF!</definedName>
    <definedName name="\G" localSheetId="3">#REF!</definedName>
    <definedName name="\G" localSheetId="4">#REF!</definedName>
    <definedName name="\G">#REF!</definedName>
    <definedName name="\I" localSheetId="1">#REF!</definedName>
    <definedName name="\I" localSheetId="3">#REF!</definedName>
    <definedName name="\I" localSheetId="4">#REF!</definedName>
    <definedName name="\I">#REF!</definedName>
    <definedName name="\K" localSheetId="1">#REF!</definedName>
    <definedName name="\K" localSheetId="3">#REF!</definedName>
    <definedName name="\K" localSheetId="4">#REF!</definedName>
    <definedName name="\K">#REF!</definedName>
    <definedName name="\L" localSheetId="1">#REF!</definedName>
    <definedName name="\L" localSheetId="3">#REF!</definedName>
    <definedName name="\L" localSheetId="4">#REF!</definedName>
    <definedName name="\L">#REF!</definedName>
    <definedName name="\M" localSheetId="7">#REF!</definedName>
    <definedName name="\M" localSheetId="0">[1]Jan!#REF!</definedName>
    <definedName name="\M" localSheetId="1">[1]Jan!#REF!</definedName>
    <definedName name="\M" localSheetId="3">#REF!</definedName>
    <definedName name="\M" localSheetId="4">[1]Jan!#REF!</definedName>
    <definedName name="\M" localSheetId="6">#REF!</definedName>
    <definedName name="\M">#REF!</definedName>
    <definedName name="\P" localSheetId="1">#REF!</definedName>
    <definedName name="\P" localSheetId="3">#REF!</definedName>
    <definedName name="\P" localSheetId="4">#REF!</definedName>
    <definedName name="\P">#REF!</definedName>
    <definedName name="\Q" localSheetId="7">[2]Actual!#REF!</definedName>
    <definedName name="\Q" localSheetId="1">[2]Actual!#REF!</definedName>
    <definedName name="\Q" localSheetId="3">[2]Actual!#REF!</definedName>
    <definedName name="\Q" localSheetId="4">[2]Actual!#REF!</definedName>
    <definedName name="\Q" localSheetId="6">[2]Actual!#REF!</definedName>
    <definedName name="\Q">[3]Actual!#REF!</definedName>
    <definedName name="\R" localSheetId="1">#REF!</definedName>
    <definedName name="\R" localSheetId="3">#REF!</definedName>
    <definedName name="\R" localSheetId="4">#REF!</definedName>
    <definedName name="\R">#REF!</definedName>
    <definedName name="\S" localSheetId="1">#REF!</definedName>
    <definedName name="\S" localSheetId="3">#REF!</definedName>
    <definedName name="\S" localSheetId="4">#REF!</definedName>
    <definedName name="\S">#REF!</definedName>
    <definedName name="\TABLE1" localSheetId="1">#REF!</definedName>
    <definedName name="\TABLE1" localSheetId="3">#REF!</definedName>
    <definedName name="\TABLE1" localSheetId="4">#REF!</definedName>
    <definedName name="\TABLE1">#REF!</definedName>
    <definedName name="\TABLE2" localSheetId="1">#REF!</definedName>
    <definedName name="\TABLE2" localSheetId="3">#REF!</definedName>
    <definedName name="\TABLE2" localSheetId="4">#REF!</definedName>
    <definedName name="\TABLE2">#REF!</definedName>
    <definedName name="\TABLEA" localSheetId="1">#REF!</definedName>
    <definedName name="\TABLEA" localSheetId="3">#REF!</definedName>
    <definedName name="\TABLEA" localSheetId="4">#REF!</definedName>
    <definedName name="\TABLEA">#REF!</definedName>
    <definedName name="\TBL1">#REF!</definedName>
    <definedName name="\TBL2" localSheetId="1">#REF!</definedName>
    <definedName name="\TBL2" localSheetId="3">#REF!</definedName>
    <definedName name="\TBL2" localSheetId="4">#REF!</definedName>
    <definedName name="\TBL2">#REF!</definedName>
    <definedName name="\TBL3" localSheetId="1">#REF!</definedName>
    <definedName name="\TBL3" localSheetId="3">#REF!</definedName>
    <definedName name="\TBL3" localSheetId="4">#REF!</definedName>
    <definedName name="\TBL3">#REF!</definedName>
    <definedName name="\TBL4" localSheetId="1">#REF!</definedName>
    <definedName name="\TBL4" localSheetId="3">#REF!</definedName>
    <definedName name="\TBL4" localSheetId="4">#REF!</definedName>
    <definedName name="\TBL4">#REF!</definedName>
    <definedName name="\TBL5" localSheetId="1">#REF!</definedName>
    <definedName name="\TBL5" localSheetId="3">#REF!</definedName>
    <definedName name="\TBL5" localSheetId="4">#REF!</definedName>
    <definedName name="\TBL5">#REF!</definedName>
    <definedName name="\W" localSheetId="1">#REF!</definedName>
    <definedName name="\W" localSheetId="3">#REF!</definedName>
    <definedName name="\W" localSheetId="4">#REF!</definedName>
    <definedName name="\W">#REF!</definedName>
    <definedName name="\WORK1" localSheetId="1">#REF!</definedName>
    <definedName name="\WORK1" localSheetId="3">#REF!</definedName>
    <definedName name="\WORK1" localSheetId="4">#REF!</definedName>
    <definedName name="\WORK1">#REF!</definedName>
    <definedName name="\X" localSheetId="1">#REF!</definedName>
    <definedName name="\X" localSheetId="3">#REF!</definedName>
    <definedName name="\X" localSheetId="4">#REF!</definedName>
    <definedName name="\X">#REF!</definedName>
    <definedName name="\Z" localSheetId="0">#REF!</definedName>
    <definedName name="\Z" localSheetId="1">#REF!</definedName>
    <definedName name="\Z" localSheetId="3">#REF!</definedName>
    <definedName name="\Z" localSheetId="4">#REF!</definedName>
    <definedName name="\Z">#REF!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[4]Inputs!#REF!</definedName>
    <definedName name="__123Graph_A" localSheetId="1" hidden="1">[4]Inputs!#REF!</definedName>
    <definedName name="__123Graph_A" localSheetId="2" hidden="1">[5]Inputs!#REF!</definedName>
    <definedName name="__123Graph_A" localSheetId="3" hidden="1">[6]Inputs!#REF!</definedName>
    <definedName name="__123Graph_A" localSheetId="5" hidden="1">[5]Inputs!#REF!</definedName>
    <definedName name="__123Graph_A" localSheetId="4" hidden="1">[4]Inputs!#REF!</definedName>
    <definedName name="__123Graph_A" localSheetId="6" hidden="1">[6]Inputs!#REF!</definedName>
    <definedName name="__123Graph_A" hidden="1">[7]Inputs!#REF!</definedName>
    <definedName name="__123Graph_B" localSheetId="0" hidden="1">[4]Inputs!#REF!</definedName>
    <definedName name="__123Graph_B" localSheetId="1" hidden="1">[4]Inputs!#REF!</definedName>
    <definedName name="__123Graph_B" localSheetId="2" hidden="1">[5]Inputs!#REF!</definedName>
    <definedName name="__123Graph_B" localSheetId="3" hidden="1">[6]Inputs!#REF!</definedName>
    <definedName name="__123Graph_B" localSheetId="5" hidden="1">[5]Inputs!#REF!</definedName>
    <definedName name="__123Graph_B" localSheetId="4" hidden="1">[4]Inputs!#REF!</definedName>
    <definedName name="__123Graph_B" localSheetId="6" hidden="1">[6]Inputs!#REF!</definedName>
    <definedName name="__123Graph_B" hidden="1">[7]Inputs!#REF!</definedName>
    <definedName name="__123Graph_D" localSheetId="0" hidden="1">[4]Inputs!#REF!</definedName>
    <definedName name="__123Graph_D" localSheetId="1" hidden="1">[4]Inputs!#REF!</definedName>
    <definedName name="__123Graph_D" localSheetId="2" hidden="1">[5]Inputs!#REF!</definedName>
    <definedName name="__123Graph_D" localSheetId="3" hidden="1">[6]Inputs!#REF!</definedName>
    <definedName name="__123Graph_D" localSheetId="5" hidden="1">[5]Inputs!#REF!</definedName>
    <definedName name="__123Graph_D" localSheetId="4" hidden="1">[4]Inputs!#REF!</definedName>
    <definedName name="__123Graph_D" localSheetId="6" hidden="1">[6]Inputs!#REF!</definedName>
    <definedName name="__123Graph_D" hidden="1">[7]Inputs!#REF!</definedName>
    <definedName name="__123Graph_E" hidden="1">[8]Input!$E$22:$E$37</definedName>
    <definedName name="__123Graph_F" hidden="1">[8]Input!$D$22:$D$37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1_0Price_Ta" localSheetId="0">#REF!</definedName>
    <definedName name="_1Price_Ta" localSheetId="7">#REF!</definedName>
    <definedName name="_1Price_Ta" localSheetId="1">#REF!</definedName>
    <definedName name="_1Price_Ta" localSheetId="3">#REF!</definedName>
    <definedName name="_1Price_Ta" localSheetId="4">#REF!</definedName>
    <definedName name="_1Price_Ta" localSheetId="6">#REF!</definedName>
    <definedName name="_1Price_Ta">#REF!</definedName>
    <definedName name="_2_0Price_Ta" localSheetId="0">#REF!</definedName>
    <definedName name="_2_0Price_Ta">#REF!</definedName>
    <definedName name="_2Price_Ta" localSheetId="1">#REF!</definedName>
    <definedName name="_2Price_Ta" localSheetId="3">#REF!</definedName>
    <definedName name="_2Price_Ta" localSheetId="4">#REF!</definedName>
    <definedName name="_2Price_Ta">#REF!</definedName>
    <definedName name="_B" localSheetId="7">'[9]Rate Design'!#REF!</definedName>
    <definedName name="_B" localSheetId="0">'[9]Rate Design'!#REF!</definedName>
    <definedName name="_B" localSheetId="1">'[9]Rate Design'!#REF!</definedName>
    <definedName name="_B" localSheetId="3">'[9]Rate Design'!#REF!</definedName>
    <definedName name="_B" localSheetId="6">'[9]Rate Design'!#REF!</definedName>
    <definedName name="_B">'[9]Rate Design'!#REF!</definedName>
    <definedName name="_Fill" localSheetId="1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7" hidden="1">'305 Inputs'!$A$6:$J$144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7" hidden="1">#REF!</definedName>
    <definedName name="_Key1" localSheetId="0" hidden="1">#REF!</definedName>
    <definedName name="_Key1" localSheetId="1" hidden="1">#REF!</definedName>
    <definedName name="_Key1" localSheetId="3" hidden="1">#REF!</definedName>
    <definedName name="_Key1" localSheetId="4" hidden="1">#REF!</definedName>
    <definedName name="_Key1" localSheetId="6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3" hidden="1">#REF!</definedName>
    <definedName name="_Key2" localSheetId="4" hidden="1">#REF!</definedName>
    <definedName name="_Key2" hidden="1">#REF!</definedName>
    <definedName name="_MEN2" localSheetId="7">[1]Jan!#REF!</definedName>
    <definedName name="_MEN2" localSheetId="0">[1]Jan!#REF!</definedName>
    <definedName name="_MEN2" localSheetId="1">[1]Jan!#REF!</definedName>
    <definedName name="_MEN2" localSheetId="3">[1]Jan!#REF!</definedName>
    <definedName name="_MEN2" localSheetId="4">[1]Jan!#REF!</definedName>
    <definedName name="_MEN2" localSheetId="6">[1]Jan!#REF!</definedName>
    <definedName name="_MEN2">[1]Jan!#REF!</definedName>
    <definedName name="_MEN3" localSheetId="0">[1]Jan!#REF!</definedName>
    <definedName name="_MEN3" localSheetId="1">[1]Jan!#REF!</definedName>
    <definedName name="_MEN3" localSheetId="3">[1]Jan!#REF!</definedName>
    <definedName name="_MEN3" localSheetId="4">[1]Jan!#REF!</definedName>
    <definedName name="_MEN3">[1]Jan!#REF!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P" localSheetId="0">#REF!</definedName>
    <definedName name="_P" localSheetId="1">#REF!</definedName>
    <definedName name="_P" localSheetId="3">#REF!</definedName>
    <definedName name="_P" localSheetId="4">#REF!</definedName>
    <definedName name="_P">#REF!</definedName>
    <definedName name="_Sort" localSheetId="0" hidden="1">#REF!</definedName>
    <definedName name="_Sort" localSheetId="1" hidden="1">#REF!</definedName>
    <definedName name="_Sort" localSheetId="3" hidden="1">#REF!</definedName>
    <definedName name="_Sort" localSheetId="4" hidden="1">#REF!</definedName>
    <definedName name="_Sort" hidden="1">#REF!</definedName>
    <definedName name="_TOP1" localSheetId="7">[1]Jan!#REF!</definedName>
    <definedName name="_TOP1" localSheetId="0">[1]Jan!#REF!</definedName>
    <definedName name="_TOP1" localSheetId="1">[1]Jan!#REF!</definedName>
    <definedName name="_TOP1" localSheetId="3">[1]Jan!#REF!</definedName>
    <definedName name="_TOP1" localSheetId="4">[1]Jan!#REF!</definedName>
    <definedName name="_TOP1" localSheetId="6">[1]Jan!#REF!</definedName>
    <definedName name="_TOP1">[1]Jan!#REF!</definedName>
    <definedName name="a" localSheetId="2" hidden="1">#REF!</definedName>
    <definedName name="a" localSheetId="3" hidden="1">#REF!</definedName>
    <definedName name="a" localSheetId="5" hidden="1">#REF!</definedName>
    <definedName name="a" localSheetId="6" hidden="1">#REF!</definedName>
    <definedName name="a" hidden="1">'[7]DSM Output'!$J$21:$J$23</definedName>
    <definedName name="A_36">#REF!</definedName>
    <definedName name="Access_Button1" hidden="1">"Headcount_Workbook_Schedules_List"</definedName>
    <definedName name="AccessDatabase" hidden="1">"P:\HR\SharonPlummer\Headcount Workbook.mdb"</definedName>
    <definedName name="Acct108364" localSheetId="7">'[10]Func Study'!#REF!</definedName>
    <definedName name="Acct108364" localSheetId="1">'[10]Func Study'!#REF!</definedName>
    <definedName name="Acct108364" localSheetId="3">'[10]Func Study'!#REF!</definedName>
    <definedName name="Acct108364" localSheetId="6">'[10]Func Study'!#REF!</definedName>
    <definedName name="Acct108364">'[10]Func Study'!#REF!</definedName>
    <definedName name="Acct108364S" localSheetId="1">'[10]Func Study'!#REF!</definedName>
    <definedName name="Acct108364S" localSheetId="3">'[10]Func Study'!#REF!</definedName>
    <definedName name="Acct108364S">'[10]Func Study'!#REF!</definedName>
    <definedName name="Acct154SNPP">'[11]Functional Study'!$H$2034</definedName>
    <definedName name="Acct200DGP">'[12]Functional Study'!#REF!</definedName>
    <definedName name="Acct228.42TROJD" localSheetId="1">'[13]Func Study'!#REF!</definedName>
    <definedName name="Acct228.42TROJD" localSheetId="3">'[13]Func Study'!#REF!</definedName>
    <definedName name="Acct228.42TROJD">'[13]Func Study'!#REF!</definedName>
    <definedName name="Acct2281SO">'[14]Func Study'!$H$2190</definedName>
    <definedName name="Acct2283SO">'[14]Func Study'!$H$2198</definedName>
    <definedName name="Acct22841SE">'[11]Functional Study'!$H$2155</definedName>
    <definedName name="Acct22842TROJD" localSheetId="7">'[13]Func Study'!#REF!</definedName>
    <definedName name="Acct22842TROJD" localSheetId="1">'[13]Func Study'!#REF!</definedName>
    <definedName name="Acct22842TROJD" localSheetId="3">'[13]Func Study'!#REF!</definedName>
    <definedName name="Acct22842TROJD" localSheetId="6">'[13]Func Study'!#REF!</definedName>
    <definedName name="Acct22842TROJD">'[13]Func Study'!#REF!</definedName>
    <definedName name="Acct228SO">'[14]Func Study'!$H$2194</definedName>
    <definedName name="ACCT254SO">'[11]Functional Study'!$H$2151</definedName>
    <definedName name="Acct282SGP">'[11]Functional Study'!#REF!</definedName>
    <definedName name="Acct350">'[14]Func Study'!$H$1628</definedName>
    <definedName name="Acct352">'[14]Func Study'!$H$1635</definedName>
    <definedName name="Acct353">'[14]Func Study'!$H$1641</definedName>
    <definedName name="Acct354">'[14]Func Study'!$H$1647</definedName>
    <definedName name="Acct355">'[14]Func Study'!$H$1654</definedName>
    <definedName name="Acct356">'[14]Func Study'!$H$1660</definedName>
    <definedName name="Acct357">'[14]Func Study'!$H$1666</definedName>
    <definedName name="Acct358">'[14]Func Study'!$H$1672</definedName>
    <definedName name="Acct359">'[14]Func Study'!$H$1678</definedName>
    <definedName name="Acct360">'[14]Func Study'!$H$1698</definedName>
    <definedName name="Acct361">'[14]Func Study'!$H$1704</definedName>
    <definedName name="Acct362">'[14]Func Study'!$H$1710</definedName>
    <definedName name="Acct364">'[14]Func Study'!$H$1717</definedName>
    <definedName name="Acct365">'[14]Func Study'!$H$1724</definedName>
    <definedName name="Acct366">'[14]Func Study'!$H$1731</definedName>
    <definedName name="Acct367">'[14]Func Study'!$H$1738</definedName>
    <definedName name="Acct368">'[14]Func Study'!$H$1744</definedName>
    <definedName name="Acct369">'[14]Func Study'!$H$1751</definedName>
    <definedName name="Acct370">'[14]Func Study'!$H$1762</definedName>
    <definedName name="Acct371">'[14]Func Study'!$H$1769</definedName>
    <definedName name="Acct371___Demand__Primary">'[12]Functional Study'!$I$1518</definedName>
    <definedName name="Acct372">'[14]Func Study'!$H$1776</definedName>
    <definedName name="Acct372A">'[14]Func Study'!$H$1775</definedName>
    <definedName name="Acct372DP">'[14]Func Study'!$H$1773</definedName>
    <definedName name="Acct372DS">'[14]Func Study'!$H$1774</definedName>
    <definedName name="Acct373">'[14]Func Study'!$H$1782</definedName>
    <definedName name="Acct41011" localSheetId="7">'[15]Functional Study'!#REF!</definedName>
    <definedName name="Acct41011" localSheetId="1">'[15]Functional Study'!#REF!</definedName>
    <definedName name="Acct41011" localSheetId="3">'[15]Functional Study'!#REF!</definedName>
    <definedName name="Acct41011" localSheetId="4">'[15]Functional Study'!#REF!</definedName>
    <definedName name="Acct41011" localSheetId="6">'[15]Functional Study'!#REF!</definedName>
    <definedName name="Acct41011">'[16]Functional Study'!#REF!</definedName>
    <definedName name="Acct41011BADDEBT" localSheetId="7">'[15]Functional Study'!#REF!</definedName>
    <definedName name="Acct41011BADDEBT" localSheetId="1">'[15]Functional Study'!#REF!</definedName>
    <definedName name="Acct41011BADDEBT" localSheetId="3">'[15]Functional Study'!#REF!</definedName>
    <definedName name="Acct41011BADDEBT" localSheetId="4">'[15]Functional Study'!#REF!</definedName>
    <definedName name="Acct41011BADDEBT" localSheetId="6">'[15]Functional Study'!#REF!</definedName>
    <definedName name="Acct41011BADDEBT">'[16]Functional Study'!#REF!</definedName>
    <definedName name="Acct41011DITEXP" localSheetId="7">'[15]Functional Study'!#REF!</definedName>
    <definedName name="Acct41011DITEXP" localSheetId="1">'[15]Functional Study'!#REF!</definedName>
    <definedName name="Acct41011DITEXP" localSheetId="3">'[15]Functional Study'!#REF!</definedName>
    <definedName name="Acct41011DITEXP" localSheetId="4">'[15]Functional Study'!#REF!</definedName>
    <definedName name="Acct41011DITEXP" localSheetId="6">'[15]Functional Study'!#REF!</definedName>
    <definedName name="Acct41011DITEXP">'[16]Functional Study'!#REF!</definedName>
    <definedName name="Acct41011S" localSheetId="7">'[15]Functional Study'!#REF!</definedName>
    <definedName name="Acct41011S" localSheetId="1">'[15]Functional Study'!#REF!</definedName>
    <definedName name="Acct41011S" localSheetId="3">'[15]Functional Study'!#REF!</definedName>
    <definedName name="Acct41011S" localSheetId="4">'[15]Functional Study'!#REF!</definedName>
    <definedName name="Acct41011S" localSheetId="6">'[15]Functional Study'!#REF!</definedName>
    <definedName name="Acct41011S">'[16]Functional Study'!#REF!</definedName>
    <definedName name="Acct41011SE" localSheetId="7">'[15]Functional Study'!#REF!</definedName>
    <definedName name="Acct41011SE" localSheetId="1">'[15]Functional Study'!#REF!</definedName>
    <definedName name="Acct41011SE" localSheetId="3">'[15]Functional Study'!#REF!</definedName>
    <definedName name="Acct41011SE" localSheetId="4">'[15]Functional Study'!#REF!</definedName>
    <definedName name="Acct41011SE" localSheetId="6">'[15]Functional Study'!#REF!</definedName>
    <definedName name="Acct41011SE">'[16]Functional Study'!#REF!</definedName>
    <definedName name="Acct41011SG1" localSheetId="7">'[15]Functional Study'!#REF!</definedName>
    <definedName name="Acct41011SG1" localSheetId="1">'[15]Functional Study'!#REF!</definedName>
    <definedName name="Acct41011SG1" localSheetId="3">'[15]Functional Study'!#REF!</definedName>
    <definedName name="Acct41011SG1" localSheetId="4">'[15]Functional Study'!#REF!</definedName>
    <definedName name="Acct41011SG1" localSheetId="6">'[15]Functional Study'!#REF!</definedName>
    <definedName name="Acct41011SG1">'[16]Functional Study'!#REF!</definedName>
    <definedName name="Acct41011SG2" localSheetId="7">'[15]Functional Study'!#REF!</definedName>
    <definedName name="Acct41011SG2" localSheetId="1">'[15]Functional Study'!#REF!</definedName>
    <definedName name="Acct41011SG2" localSheetId="3">'[15]Functional Study'!#REF!</definedName>
    <definedName name="Acct41011SG2" localSheetId="4">'[15]Functional Study'!#REF!</definedName>
    <definedName name="Acct41011SG2" localSheetId="6">'[15]Functional Study'!#REF!</definedName>
    <definedName name="Acct41011SG2">'[16]Functional Study'!#REF!</definedName>
    <definedName name="ACCT41011SGCT" localSheetId="7">'[15]Functional Study'!#REF!</definedName>
    <definedName name="ACCT41011SGCT" localSheetId="1">'[15]Functional Study'!#REF!</definedName>
    <definedName name="ACCT41011SGCT" localSheetId="3">'[15]Functional Study'!#REF!</definedName>
    <definedName name="ACCT41011SGCT" localSheetId="4">'[15]Functional Study'!#REF!</definedName>
    <definedName name="ACCT41011SGCT" localSheetId="6">'[15]Functional Study'!#REF!</definedName>
    <definedName name="ACCT41011SGCT">'[16]Functional Study'!#REF!</definedName>
    <definedName name="Acct41011SGPP" localSheetId="7">'[15]Functional Study'!#REF!</definedName>
    <definedName name="Acct41011SGPP" localSheetId="1">'[15]Functional Study'!#REF!</definedName>
    <definedName name="Acct41011SGPP" localSheetId="3">'[15]Functional Study'!#REF!</definedName>
    <definedName name="Acct41011SGPP" localSheetId="4">'[15]Functional Study'!#REF!</definedName>
    <definedName name="Acct41011SGPP" localSheetId="6">'[15]Functional Study'!#REF!</definedName>
    <definedName name="Acct41011SGPP">'[16]Functional Study'!#REF!</definedName>
    <definedName name="Acct41011SNP" localSheetId="7">'[15]Functional Study'!#REF!</definedName>
    <definedName name="Acct41011SNP" localSheetId="1">'[15]Functional Study'!#REF!</definedName>
    <definedName name="Acct41011SNP" localSheetId="3">'[15]Functional Study'!#REF!</definedName>
    <definedName name="Acct41011SNP" localSheetId="4">'[15]Functional Study'!#REF!</definedName>
    <definedName name="Acct41011SNP" localSheetId="6">'[15]Functional Study'!#REF!</definedName>
    <definedName name="Acct41011SNP">'[16]Functional Study'!#REF!</definedName>
    <definedName name="ACCT41011SNPD" localSheetId="7">'[15]Functional Study'!#REF!</definedName>
    <definedName name="ACCT41011SNPD" localSheetId="1">'[15]Functional Study'!#REF!</definedName>
    <definedName name="ACCT41011SNPD" localSheetId="3">'[15]Functional Study'!#REF!</definedName>
    <definedName name="ACCT41011SNPD" localSheetId="4">'[15]Functional Study'!#REF!</definedName>
    <definedName name="ACCT41011SNPD" localSheetId="6">'[15]Functional Study'!#REF!</definedName>
    <definedName name="ACCT41011SNPD">'[16]Functional Study'!#REF!</definedName>
    <definedName name="Acct41011SO" localSheetId="7">'[15]Functional Study'!#REF!</definedName>
    <definedName name="Acct41011SO" localSheetId="1">'[15]Functional Study'!#REF!</definedName>
    <definedName name="Acct41011SO" localSheetId="3">'[15]Functional Study'!#REF!</definedName>
    <definedName name="Acct41011SO" localSheetId="4">'[15]Functional Study'!#REF!</definedName>
    <definedName name="Acct41011SO" localSheetId="6">'[15]Functional Study'!#REF!</definedName>
    <definedName name="Acct41011SO">'[16]Functional Study'!#REF!</definedName>
    <definedName name="Acct41011TROJP" localSheetId="7">'[15]Functional Study'!#REF!</definedName>
    <definedName name="Acct41011TROJP" localSheetId="1">'[15]Functional Study'!#REF!</definedName>
    <definedName name="Acct41011TROJP" localSheetId="3">'[15]Functional Study'!#REF!</definedName>
    <definedName name="Acct41011TROJP" localSheetId="4">'[15]Functional Study'!#REF!</definedName>
    <definedName name="Acct41011TROJP" localSheetId="6">'[15]Functional Study'!#REF!</definedName>
    <definedName name="Acct41011TROJP">'[16]Functional Study'!#REF!</definedName>
    <definedName name="Acct41111" localSheetId="7">'[15]Functional Study'!#REF!</definedName>
    <definedName name="Acct41111" localSheetId="1">'[15]Functional Study'!#REF!</definedName>
    <definedName name="Acct41111" localSheetId="3">'[15]Functional Study'!#REF!</definedName>
    <definedName name="Acct41111" localSheetId="4">'[15]Functional Study'!#REF!</definedName>
    <definedName name="Acct41111" localSheetId="6">'[15]Functional Study'!#REF!</definedName>
    <definedName name="Acct41111">'[16]Functional Study'!#REF!</definedName>
    <definedName name="Acct41111BADDEBT" localSheetId="7">'[15]Functional Study'!#REF!</definedName>
    <definedName name="Acct41111BADDEBT" localSheetId="1">'[15]Functional Study'!#REF!</definedName>
    <definedName name="Acct41111BADDEBT" localSheetId="3">'[15]Functional Study'!#REF!</definedName>
    <definedName name="Acct41111BADDEBT" localSheetId="4">'[15]Functional Study'!#REF!</definedName>
    <definedName name="Acct41111BADDEBT" localSheetId="6">'[15]Functional Study'!#REF!</definedName>
    <definedName name="Acct41111BADDEBT">'[16]Functional Study'!#REF!</definedName>
    <definedName name="Acct41111DITEXP" localSheetId="7">'[15]Functional Study'!#REF!</definedName>
    <definedName name="Acct41111DITEXP" localSheetId="1">'[15]Functional Study'!#REF!</definedName>
    <definedName name="Acct41111DITEXP" localSheetId="3">'[15]Functional Study'!#REF!</definedName>
    <definedName name="Acct41111DITEXP" localSheetId="4">'[15]Functional Study'!#REF!</definedName>
    <definedName name="Acct41111DITEXP" localSheetId="6">'[15]Functional Study'!#REF!</definedName>
    <definedName name="Acct41111DITEXP">'[16]Functional Study'!#REF!</definedName>
    <definedName name="Acct41111S" localSheetId="7">'[15]Functional Study'!#REF!</definedName>
    <definedName name="Acct41111S" localSheetId="1">'[15]Functional Study'!#REF!</definedName>
    <definedName name="Acct41111S" localSheetId="3">'[15]Functional Study'!#REF!</definedName>
    <definedName name="Acct41111S" localSheetId="4">'[15]Functional Study'!#REF!</definedName>
    <definedName name="Acct41111S" localSheetId="6">'[15]Functional Study'!#REF!</definedName>
    <definedName name="Acct41111S">'[16]Functional Study'!#REF!</definedName>
    <definedName name="Acct41111SE" localSheetId="7">'[15]Functional Study'!#REF!</definedName>
    <definedName name="Acct41111SE" localSheetId="1">'[15]Functional Study'!#REF!</definedName>
    <definedName name="Acct41111SE" localSheetId="3">'[15]Functional Study'!#REF!</definedName>
    <definedName name="Acct41111SE" localSheetId="4">'[15]Functional Study'!#REF!</definedName>
    <definedName name="Acct41111SE" localSheetId="6">'[15]Functional Study'!#REF!</definedName>
    <definedName name="Acct41111SE">'[16]Functional Study'!#REF!</definedName>
    <definedName name="Acct41111SG1" localSheetId="7">'[15]Functional Study'!#REF!</definedName>
    <definedName name="Acct41111SG1" localSheetId="1">'[15]Functional Study'!#REF!</definedName>
    <definedName name="Acct41111SG1" localSheetId="3">'[15]Functional Study'!#REF!</definedName>
    <definedName name="Acct41111SG1" localSheetId="4">'[15]Functional Study'!#REF!</definedName>
    <definedName name="Acct41111SG1" localSheetId="6">'[15]Functional Study'!#REF!</definedName>
    <definedName name="Acct41111SG1">'[16]Functional Study'!#REF!</definedName>
    <definedName name="Acct41111SG2" localSheetId="7">'[15]Functional Study'!#REF!</definedName>
    <definedName name="Acct41111SG2" localSheetId="1">'[15]Functional Study'!#REF!</definedName>
    <definedName name="Acct41111SG2" localSheetId="3">'[15]Functional Study'!#REF!</definedName>
    <definedName name="Acct41111SG2" localSheetId="4">'[15]Functional Study'!#REF!</definedName>
    <definedName name="Acct41111SG2" localSheetId="6">'[15]Functional Study'!#REF!</definedName>
    <definedName name="Acct41111SG2">'[16]Functional Study'!#REF!</definedName>
    <definedName name="Acct41111SG3" localSheetId="7">'[15]Functional Study'!#REF!</definedName>
    <definedName name="Acct41111SG3" localSheetId="1">'[15]Functional Study'!#REF!</definedName>
    <definedName name="Acct41111SG3" localSheetId="3">'[15]Functional Study'!#REF!</definedName>
    <definedName name="Acct41111SG3" localSheetId="4">'[15]Functional Study'!#REF!</definedName>
    <definedName name="Acct41111SG3" localSheetId="6">'[15]Functional Study'!#REF!</definedName>
    <definedName name="Acct41111SG3">'[16]Functional Study'!#REF!</definedName>
    <definedName name="Acct41111SGPP" localSheetId="7">'[15]Functional Study'!#REF!</definedName>
    <definedName name="Acct41111SGPP" localSheetId="1">'[15]Functional Study'!#REF!</definedName>
    <definedName name="Acct41111SGPP" localSheetId="3">'[15]Functional Study'!#REF!</definedName>
    <definedName name="Acct41111SGPP" localSheetId="4">'[15]Functional Study'!#REF!</definedName>
    <definedName name="Acct41111SGPP" localSheetId="6">'[15]Functional Study'!#REF!</definedName>
    <definedName name="Acct41111SGPP">'[16]Functional Study'!#REF!</definedName>
    <definedName name="Acct41111SNP" localSheetId="7">'[15]Functional Study'!#REF!</definedName>
    <definedName name="Acct41111SNP" localSheetId="1">'[15]Functional Study'!#REF!</definedName>
    <definedName name="Acct41111SNP" localSheetId="3">'[15]Functional Study'!#REF!</definedName>
    <definedName name="Acct41111SNP" localSheetId="4">'[15]Functional Study'!#REF!</definedName>
    <definedName name="Acct41111SNP" localSheetId="6">'[15]Functional Study'!#REF!</definedName>
    <definedName name="Acct41111SNP">'[16]Functional Study'!#REF!</definedName>
    <definedName name="Acct41111SNTP" localSheetId="7">'[15]Functional Study'!#REF!</definedName>
    <definedName name="Acct41111SNTP" localSheetId="1">'[15]Functional Study'!#REF!</definedName>
    <definedName name="Acct41111SNTP" localSheetId="3">'[15]Functional Study'!#REF!</definedName>
    <definedName name="Acct41111SNTP" localSheetId="4">'[15]Functional Study'!#REF!</definedName>
    <definedName name="Acct41111SNTP" localSheetId="6">'[15]Functional Study'!#REF!</definedName>
    <definedName name="Acct41111SNTP">'[16]Functional Study'!#REF!</definedName>
    <definedName name="Acct41111SO" localSheetId="7">'[15]Functional Study'!#REF!</definedName>
    <definedName name="Acct41111SO" localSheetId="1">'[15]Functional Study'!#REF!</definedName>
    <definedName name="Acct41111SO" localSheetId="3">'[15]Functional Study'!#REF!</definedName>
    <definedName name="Acct41111SO" localSheetId="4">'[15]Functional Study'!#REF!</definedName>
    <definedName name="Acct41111SO" localSheetId="6">'[15]Functional Study'!#REF!</definedName>
    <definedName name="Acct41111SO">'[16]Functional Study'!#REF!</definedName>
    <definedName name="Acct41111TROJP" localSheetId="7">'[15]Functional Study'!#REF!</definedName>
    <definedName name="Acct41111TROJP" localSheetId="1">'[15]Functional Study'!#REF!</definedName>
    <definedName name="Acct41111TROJP" localSheetId="3">'[15]Functional Study'!#REF!</definedName>
    <definedName name="Acct41111TROJP" localSheetId="4">'[15]Functional Study'!#REF!</definedName>
    <definedName name="Acct41111TROJP" localSheetId="6">'[15]Functional Study'!#REF!</definedName>
    <definedName name="Acct41111TROJP">'[16]Functional Study'!#REF!</definedName>
    <definedName name="Acct411BADDEBT" localSheetId="7">'[15]Functional Study'!#REF!</definedName>
    <definedName name="Acct411BADDEBT" localSheetId="1">'[15]Functional Study'!#REF!</definedName>
    <definedName name="Acct411BADDEBT" localSheetId="3">'[15]Functional Study'!#REF!</definedName>
    <definedName name="Acct411BADDEBT" localSheetId="4">'[15]Functional Study'!#REF!</definedName>
    <definedName name="Acct411BADDEBT" localSheetId="6">'[15]Functional Study'!#REF!</definedName>
    <definedName name="Acct411BADDEBT">'[16]Functional Study'!#REF!</definedName>
    <definedName name="Acct411DGP" localSheetId="7">'[15]Functional Study'!#REF!</definedName>
    <definedName name="Acct411DGP" localSheetId="1">'[15]Functional Study'!#REF!</definedName>
    <definedName name="Acct411DGP" localSheetId="3">'[15]Functional Study'!#REF!</definedName>
    <definedName name="Acct411DGP" localSheetId="4">'[15]Functional Study'!#REF!</definedName>
    <definedName name="Acct411DGP" localSheetId="6">'[15]Functional Study'!#REF!</definedName>
    <definedName name="Acct411DGP">'[16]Functional Study'!#REF!</definedName>
    <definedName name="Acct411DGU" localSheetId="7">'[15]Functional Study'!#REF!</definedName>
    <definedName name="Acct411DGU" localSheetId="1">'[15]Functional Study'!#REF!</definedName>
    <definedName name="Acct411DGU" localSheetId="3">'[15]Functional Study'!#REF!</definedName>
    <definedName name="Acct411DGU" localSheetId="4">'[15]Functional Study'!#REF!</definedName>
    <definedName name="Acct411DGU" localSheetId="6">'[15]Functional Study'!#REF!</definedName>
    <definedName name="Acct411DGU">'[16]Functional Study'!#REF!</definedName>
    <definedName name="Acct411DITEXP" localSheetId="7">'[15]Functional Study'!#REF!</definedName>
    <definedName name="Acct411DITEXP" localSheetId="1">'[15]Functional Study'!#REF!</definedName>
    <definedName name="Acct411DITEXP" localSheetId="3">'[15]Functional Study'!#REF!</definedName>
    <definedName name="Acct411DITEXP" localSheetId="4">'[15]Functional Study'!#REF!</definedName>
    <definedName name="Acct411DITEXP" localSheetId="6">'[15]Functional Study'!#REF!</definedName>
    <definedName name="Acct411DITEXP">'[16]Functional Study'!#REF!</definedName>
    <definedName name="Acct411DNPP" localSheetId="7">'[15]Functional Study'!#REF!</definedName>
    <definedName name="Acct411DNPP" localSheetId="1">'[15]Functional Study'!#REF!</definedName>
    <definedName name="Acct411DNPP" localSheetId="3">'[15]Functional Study'!#REF!</definedName>
    <definedName name="Acct411DNPP" localSheetId="4">'[15]Functional Study'!#REF!</definedName>
    <definedName name="Acct411DNPP" localSheetId="6">'[15]Functional Study'!#REF!</definedName>
    <definedName name="Acct411DNPP">'[16]Functional Study'!#REF!</definedName>
    <definedName name="Acct411DNPTP" localSheetId="7">'[15]Functional Study'!#REF!</definedName>
    <definedName name="Acct411DNPTP" localSheetId="1">'[15]Functional Study'!#REF!</definedName>
    <definedName name="Acct411DNPTP" localSheetId="3">'[15]Functional Study'!#REF!</definedName>
    <definedName name="Acct411DNPTP" localSheetId="4">'[15]Functional Study'!#REF!</definedName>
    <definedName name="Acct411DNPTP" localSheetId="6">'[15]Functional Study'!#REF!</definedName>
    <definedName name="Acct411DNPTP">'[16]Functional Study'!#REF!</definedName>
    <definedName name="Acct411S" localSheetId="7">'[15]Functional Study'!#REF!</definedName>
    <definedName name="Acct411S" localSheetId="1">'[15]Functional Study'!#REF!</definedName>
    <definedName name="Acct411S" localSheetId="3">'[15]Functional Study'!#REF!</definedName>
    <definedName name="Acct411S" localSheetId="4">'[15]Functional Study'!#REF!</definedName>
    <definedName name="Acct411S" localSheetId="6">'[15]Functional Study'!#REF!</definedName>
    <definedName name="Acct411S">'[16]Functional Study'!#REF!</definedName>
    <definedName name="Acct411SE" localSheetId="7">'[15]Functional Study'!#REF!</definedName>
    <definedName name="Acct411SE" localSheetId="1">'[15]Functional Study'!#REF!</definedName>
    <definedName name="Acct411SE" localSheetId="3">'[15]Functional Study'!#REF!</definedName>
    <definedName name="Acct411SE" localSheetId="4">'[15]Functional Study'!#REF!</definedName>
    <definedName name="Acct411SE" localSheetId="6">'[15]Functional Study'!#REF!</definedName>
    <definedName name="Acct411SE">'[16]Functional Study'!#REF!</definedName>
    <definedName name="Acct411SG" localSheetId="7">'[15]Functional Study'!#REF!</definedName>
    <definedName name="Acct411SG" localSheetId="1">'[15]Functional Study'!#REF!</definedName>
    <definedName name="Acct411SG" localSheetId="3">'[15]Functional Study'!#REF!</definedName>
    <definedName name="Acct411SG" localSheetId="4">'[15]Functional Study'!#REF!</definedName>
    <definedName name="Acct411SG" localSheetId="6">'[15]Functional Study'!#REF!</definedName>
    <definedName name="Acct411SG">'[16]Functional Study'!#REF!</definedName>
    <definedName name="Acct411SGPP" localSheetId="7">'[15]Functional Study'!#REF!</definedName>
    <definedName name="Acct411SGPP" localSheetId="1">'[15]Functional Study'!#REF!</definedName>
    <definedName name="Acct411SGPP" localSheetId="3">'[15]Functional Study'!#REF!</definedName>
    <definedName name="Acct411SGPP" localSheetId="4">'[15]Functional Study'!#REF!</definedName>
    <definedName name="Acct411SGPP" localSheetId="6">'[15]Functional Study'!#REF!</definedName>
    <definedName name="Acct411SGPP">'[16]Functional Study'!#REF!</definedName>
    <definedName name="Acct411SO" localSheetId="7">'[15]Functional Study'!#REF!</definedName>
    <definedName name="Acct411SO" localSheetId="1">'[15]Functional Study'!#REF!</definedName>
    <definedName name="Acct411SO" localSheetId="3">'[15]Functional Study'!#REF!</definedName>
    <definedName name="Acct411SO" localSheetId="4">'[15]Functional Study'!#REF!</definedName>
    <definedName name="Acct411SO" localSheetId="6">'[15]Functional Study'!#REF!</definedName>
    <definedName name="Acct411SO">'[16]Functional Study'!#REF!</definedName>
    <definedName name="Acct411TROJP" localSheetId="7">'[15]Functional Study'!#REF!</definedName>
    <definedName name="Acct411TROJP" localSheetId="1">'[15]Functional Study'!#REF!</definedName>
    <definedName name="Acct411TROJP" localSheetId="3">'[15]Functional Study'!#REF!</definedName>
    <definedName name="Acct411TROJP" localSheetId="4">'[15]Functional Study'!#REF!</definedName>
    <definedName name="Acct411TROJP" localSheetId="6">'[15]Functional Study'!#REF!</definedName>
    <definedName name="Acct411TROJP">'[16]Functional Study'!#REF!</definedName>
    <definedName name="Acct447">'[11]Functional Study'!$H$288</definedName>
    <definedName name="Acct447DGU" localSheetId="1">'[13]Func Study'!#REF!</definedName>
    <definedName name="Acct447DGU" localSheetId="3">'[13]Func Study'!#REF!</definedName>
    <definedName name="Acct447DGU">'[13]Func Study'!#REF!</definedName>
    <definedName name="Acct448">'[11]Functional Study'!$H$276</definedName>
    <definedName name="Acct448S">'[14]Func Study'!$H$274</definedName>
    <definedName name="Acct448SO">'[11]Functional Study'!$H$275</definedName>
    <definedName name="Acct450S">'[14]Func Study'!$H$302</definedName>
    <definedName name="Acct451S">'[14]Func Study'!$H$307</definedName>
    <definedName name="Acct454S">'[14]Func Study'!$H$318</definedName>
    <definedName name="Acct456S">'[14]Func Study'!$H$325</definedName>
    <definedName name="Acct510" localSheetId="7">'[14]Func Study'!#REF!</definedName>
    <definedName name="Acct510" localSheetId="1">'[14]Func Study'!#REF!</definedName>
    <definedName name="Acct510" localSheetId="3">'[14]Func Study'!#REF!</definedName>
    <definedName name="Acct510" localSheetId="6">'[14]Func Study'!#REF!</definedName>
    <definedName name="Acct510">'[14]Func Study'!#REF!</definedName>
    <definedName name="Acct510DNPPSU" localSheetId="7">'[14]Func Study'!#REF!</definedName>
    <definedName name="Acct510DNPPSU" localSheetId="1">'[14]Func Study'!#REF!</definedName>
    <definedName name="Acct510DNPPSU" localSheetId="3">'[14]Func Study'!#REF!</definedName>
    <definedName name="Acct510DNPPSU" localSheetId="6">'[14]Func Study'!#REF!</definedName>
    <definedName name="Acct510DNPPSU">'[14]Func Study'!#REF!</definedName>
    <definedName name="ACCT510JBG" localSheetId="7">'[14]Func Study'!#REF!</definedName>
    <definedName name="ACCT510JBG" localSheetId="1">'[14]Func Study'!#REF!</definedName>
    <definedName name="ACCT510JBG" localSheetId="3">'[14]Func Study'!#REF!</definedName>
    <definedName name="ACCT510JBG" localSheetId="6">'[14]Func Study'!#REF!</definedName>
    <definedName name="ACCT510JBG">'[14]Func Study'!#REF!</definedName>
    <definedName name="ACCT510SSGCH" localSheetId="7">'[14]Func Study'!#REF!</definedName>
    <definedName name="ACCT510SSGCH" localSheetId="1">'[14]Func Study'!#REF!</definedName>
    <definedName name="ACCT510SSGCH" localSheetId="3">'[14]Func Study'!#REF!</definedName>
    <definedName name="ACCT510SSGCH" localSheetId="6">'[14]Func Study'!#REF!</definedName>
    <definedName name="ACCT510SSGCH">'[14]Func Study'!#REF!</definedName>
    <definedName name="ACCT547SSECT">'[12]Functional Study'!#REF!</definedName>
    <definedName name="ACCT548SSGCT">'[12]Functional Study'!#REF!</definedName>
    <definedName name="ACCT557CAGE">'[14]Func Study'!$H$683</definedName>
    <definedName name="Acct557CT">'[14]Func Study'!$H$681</definedName>
    <definedName name="Acct565">'[11]Functional Study'!$H$732</definedName>
    <definedName name="Acct580">'[14]Func Study'!$H$791</definedName>
    <definedName name="Acct581">'[14]Func Study'!$H$796</definedName>
    <definedName name="Acct582">'[14]Func Study'!$H$801</definedName>
    <definedName name="Acct583">'[14]Func Study'!$H$806</definedName>
    <definedName name="Acct584">'[14]Func Study'!$H$811</definedName>
    <definedName name="Acct585">'[14]Func Study'!$H$816</definedName>
    <definedName name="Acct586">'[14]Func Study'!$H$821</definedName>
    <definedName name="Acct587">'[14]Func Study'!$H$826</definedName>
    <definedName name="Acct588">'[14]Func Study'!$H$831</definedName>
    <definedName name="Acct589">'[14]Func Study'!$H$836</definedName>
    <definedName name="Acct590">'[14]Func Study'!$H$841</definedName>
    <definedName name="Acct590DNPD">'[11]Functional Study'!$H$828</definedName>
    <definedName name="Acct590S">'[11]Functional Study'!$H$827</definedName>
    <definedName name="Acct591">'[14]Func Study'!$H$846</definedName>
    <definedName name="Acct592">'[14]Func Study'!$H$851</definedName>
    <definedName name="Acct593">'[14]Func Study'!$H$856</definedName>
    <definedName name="Acct594">'[14]Func Study'!$H$861</definedName>
    <definedName name="Acct595">'[14]Func Study'!$H$866</definedName>
    <definedName name="Acct596">'[14]Func Study'!$H$876</definedName>
    <definedName name="Acct597">'[14]Func Study'!$H$881</definedName>
    <definedName name="Acct598">'[14]Func Study'!$H$886</definedName>
    <definedName name="ACCT904SG" localSheetId="7">'[17]Functional Study'!#REF!</definedName>
    <definedName name="ACCT904SG" localSheetId="1">'[17]Functional Study'!#REF!</definedName>
    <definedName name="ACCT904SG" localSheetId="3">'[17]Functional Study'!#REF!</definedName>
    <definedName name="ACCT904SG" localSheetId="4">'[17]Functional Study'!#REF!</definedName>
    <definedName name="ACCT904SG" localSheetId="6">'[17]Functional Study'!#REF!</definedName>
    <definedName name="ACCT904SG">'[18]Functional Study'!#REF!</definedName>
    <definedName name="AcctAGA">'[14]Func Study'!$H$296</definedName>
    <definedName name="AcctDFAD" localSheetId="7">'[14]Func Study'!#REF!</definedName>
    <definedName name="AcctDFAD" localSheetId="1">'[14]Func Study'!#REF!</definedName>
    <definedName name="AcctDFAD" localSheetId="3">'[14]Func Study'!#REF!</definedName>
    <definedName name="AcctDFAD" localSheetId="6">'[14]Func Study'!#REF!</definedName>
    <definedName name="AcctDFAD">'[14]Func Study'!#REF!</definedName>
    <definedName name="AcctDFAP" localSheetId="7">'[14]Func Study'!#REF!</definedName>
    <definedName name="AcctDFAP" localSheetId="1">'[14]Func Study'!#REF!</definedName>
    <definedName name="AcctDFAP" localSheetId="3">'[14]Func Study'!#REF!</definedName>
    <definedName name="AcctDFAP" localSheetId="6">'[14]Func Study'!#REF!</definedName>
    <definedName name="AcctDFAP">'[14]Func Study'!#REF!</definedName>
    <definedName name="AcctDFAT" localSheetId="7">'[14]Func Study'!#REF!</definedName>
    <definedName name="AcctDFAT" localSheetId="1">'[14]Func Study'!#REF!</definedName>
    <definedName name="AcctDFAT" localSheetId="3">'[14]Func Study'!#REF!</definedName>
    <definedName name="AcctDFAT" localSheetId="6">'[14]Func Study'!#REF!</definedName>
    <definedName name="AcctDFAT">'[14]Func Study'!#REF!</definedName>
    <definedName name="AcctDGU">'[12]Functional Study'!#REF!</definedName>
    <definedName name="AcctOWCDGP">'[12]Functional Study'!#REF!</definedName>
    <definedName name="AcctTable">[19]Variables!$AK$42:$AK$396</definedName>
    <definedName name="AcctTS0">'[14]Func Study'!$H$1686</definedName>
    <definedName name="ActualROR">'[13]G+T+D+R+M'!$H$61</definedName>
    <definedName name="Adjs2avg">[20]Inputs!$L$255:'[20]Inputs'!$T$505</definedName>
    <definedName name="ALL">#REF!</definedName>
    <definedName name="all_months">#REF!</definedName>
    <definedName name="Allocation_Factors">'[21]Allocation Factors'!$A$9:$D$97</definedName>
    <definedName name="APR" localSheetId="7">[22]Backup!#REF!</definedName>
    <definedName name="APR" localSheetId="0">[22]Backup!#REF!</definedName>
    <definedName name="APR" localSheetId="1">[22]Backup!#REF!</definedName>
    <definedName name="APR" localSheetId="3">[22]Backup!#REF!</definedName>
    <definedName name="APR" localSheetId="4">[22]Backup!#REF!</definedName>
    <definedName name="APR" localSheetId="6">[22]Backup!#REF!</definedName>
    <definedName name="APR">[22]Backup!#REF!</definedName>
    <definedName name="APRT" localSheetId="0">#REF!</definedName>
    <definedName name="APRT" localSheetId="1">#REF!</definedName>
    <definedName name="APRT" localSheetId="3">#REF!</definedName>
    <definedName name="APRT" localSheetId="4">#REF!</definedName>
    <definedName name="APRT">#REF!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T_48">#REF!</definedName>
    <definedName name="AUG" localSheetId="7">[22]Backup!#REF!</definedName>
    <definedName name="AUG" localSheetId="0">[22]Backup!#REF!</definedName>
    <definedName name="AUG" localSheetId="1">[22]Backup!#REF!</definedName>
    <definedName name="AUG" localSheetId="3">[22]Backup!#REF!</definedName>
    <definedName name="AUG" localSheetId="4">[22]Backup!#REF!</definedName>
    <definedName name="AUG" localSheetId="6">[22]Backup!#REF!</definedName>
    <definedName name="AUG">[22]Backup!#REF!</definedName>
    <definedName name="AUGT" localSheetId="0">#REF!</definedName>
    <definedName name="AUGT" localSheetId="1">#REF!</definedName>
    <definedName name="AUGT" localSheetId="3">#REF!</definedName>
    <definedName name="AUGT" localSheetId="4">#REF!</definedName>
    <definedName name="AUGT">#REF!</definedName>
    <definedName name="AvgFactors">[19]Factors!$B$3:$P$99</definedName>
    <definedName name="BACK1" localSheetId="0">#REF!</definedName>
    <definedName name="BACK1" localSheetId="1">#REF!</definedName>
    <definedName name="BACK1" localSheetId="3">#REF!</definedName>
    <definedName name="BACK1" localSheetId="4">#REF!</definedName>
    <definedName name="BACK1">#REF!</definedName>
    <definedName name="BACK2" localSheetId="0">#REF!</definedName>
    <definedName name="BACK2" localSheetId="1">#REF!</definedName>
    <definedName name="BACK2" localSheetId="3">#REF!</definedName>
    <definedName name="BACK2" localSheetId="4">#REF!</definedName>
    <definedName name="BACK2">#REF!</definedName>
    <definedName name="BACK3" localSheetId="0">#REF!</definedName>
    <definedName name="BACK3" localSheetId="1">#REF!</definedName>
    <definedName name="BACK3" localSheetId="3">#REF!</definedName>
    <definedName name="BACK3" localSheetId="4">#REF!</definedName>
    <definedName name="BACK3">#REF!</definedName>
    <definedName name="BACKUP1" localSheetId="1">#REF!</definedName>
    <definedName name="BACKUP1" localSheetId="3">#REF!</definedName>
    <definedName name="BACKUP1" localSheetId="4">#REF!</definedName>
    <definedName name="BACKUP1">#REF!</definedName>
    <definedName name="Baseline">#REF!</definedName>
    <definedName name="BLOCK">#REF!</definedName>
    <definedName name="BLOCKTOP">#REF!</definedName>
    <definedName name="BOOKADJ" localSheetId="1">#REF!</definedName>
    <definedName name="BOOKADJ" localSheetId="3">#REF!</definedName>
    <definedName name="BOOKADJ" localSheetId="4">#REF!</definedName>
    <definedName name="BOOKADJ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p">[23]Readings!$B$2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 localSheetId="1">#REF!</definedName>
    <definedName name="Check" localSheetId="3">#REF!</definedName>
    <definedName name="Check" localSheetId="4">#REF!</definedName>
    <definedName name="Check">#REF!</definedName>
    <definedName name="Classification">'[14]Func Study'!$AB$251</definedName>
    <definedName name="COMADJ" localSheetId="7">#REF!</definedName>
    <definedName name="COMADJ" localSheetId="1">#REF!</definedName>
    <definedName name="COMADJ" localSheetId="3">#REF!</definedName>
    <definedName name="COMADJ" localSheetId="4">#REF!</definedName>
    <definedName name="COMADJ" localSheetId="6">#REF!</definedName>
    <definedName name="COMADJ">#REF!</definedName>
    <definedName name="combined1" hidden="1">{"YTD-Total",#N/A,TRUE,"Provision";"YTD-Utility",#N/A,TRUE,"Prov Utility";"YTD-NonUtility",#N/A,TRUE,"Prov NonUtility"}</definedName>
    <definedName name="COMP" localSheetId="0">#REF!</definedName>
    <definedName name="COMP" localSheetId="1">#REF!</definedName>
    <definedName name="COMP" localSheetId="3">#REF!</definedName>
    <definedName name="COMP" localSheetId="4">#REF!</definedName>
    <definedName name="COMP">#REF!</definedName>
    <definedName name="COMPACTUAL" localSheetId="1">#REF!</definedName>
    <definedName name="COMPACTUAL" localSheetId="3">#REF!</definedName>
    <definedName name="COMPACTUAL" localSheetId="4">#REF!</definedName>
    <definedName name="COMPACTUAL">#REF!</definedName>
    <definedName name="COMPT" localSheetId="0">#REF!</definedName>
    <definedName name="COMPT" localSheetId="1">#REF!</definedName>
    <definedName name="COMPT" localSheetId="3">#REF!</definedName>
    <definedName name="COMPT" localSheetId="4">#REF!</definedName>
    <definedName name="COMPT">#REF!</definedName>
    <definedName name="COMPWEATHER" localSheetId="1">#REF!</definedName>
    <definedName name="COMPWEATHER" localSheetId="3">#REF!</definedName>
    <definedName name="COMPWEATHER" localSheetId="4">#REF!</definedName>
    <definedName name="COMPWEATHER">#REF!</definedName>
    <definedName name="COSFacVal">[14]Inputs!$R$5</definedName>
    <definedName name="_xlnm.Database" localSheetId="7">[24]Invoice!#REF!</definedName>
    <definedName name="_xlnm.Database" localSheetId="0">[24]Invoice!#REF!</definedName>
    <definedName name="_xlnm.Database" localSheetId="1">[25]Invoice!#REF!</definedName>
    <definedName name="_xlnm.Database" localSheetId="3">[24]Invoice!#REF!</definedName>
    <definedName name="_xlnm.Database" localSheetId="4">[25]Invoice!#REF!</definedName>
    <definedName name="_xlnm.Database" localSheetId="6">[24]Invoice!#REF!</definedName>
    <definedName name="_xlnm.Database">[24]Invoice!#REF!</definedName>
    <definedName name="DATE" localSheetId="0">[26]Jan!#REF!</definedName>
    <definedName name="DATE" localSheetId="1">[26]Jan!#REF!</definedName>
    <definedName name="DATE" localSheetId="3">[26]Jan!#REF!</definedName>
    <definedName name="DATE" localSheetId="4">[26]Jan!#REF!</definedName>
    <definedName name="DATE">[26]Jan!#REF!</definedName>
    <definedName name="DEC" localSheetId="7">[22]Backup!#REF!</definedName>
    <definedName name="DEC" localSheetId="0">[22]Backup!#REF!</definedName>
    <definedName name="DEC" localSheetId="1">[22]Backup!#REF!</definedName>
    <definedName name="DEC" localSheetId="3">[22]Backup!#REF!</definedName>
    <definedName name="DEC" localSheetId="4">[22]Backup!#REF!</definedName>
    <definedName name="DEC" localSheetId="6">[22]Backup!#REF!</definedName>
    <definedName name="DEC">[22]Backup!#REF!</definedName>
    <definedName name="DECT" localSheetId="0">#REF!</definedName>
    <definedName name="DECT" localSheetId="1">#REF!</definedName>
    <definedName name="DECT" localSheetId="3">#REF!</definedName>
    <definedName name="DECT" localSheetId="4">#REF!</definedName>
    <definedName name="DECT">#REF!</definedName>
    <definedName name="Demand">[13]Inputs!$D$8</definedName>
    <definedName name="Demand2">[27]Inputs!$D$11</definedName>
    <definedName name="Dis">'[14]Func Study'!$AB$250</definedName>
    <definedName name="DisFac">'[14]Func Dist Factor Table'!$A$11:$G$25</definedName>
    <definedName name="DIST" localSheetId="0">#REF!</definedName>
    <definedName name="DIST">#REF!</definedName>
    <definedName name="Dist_factor" localSheetId="7">#REF!</definedName>
    <definedName name="Dist_factor" localSheetId="1">#REF!</definedName>
    <definedName name="Dist_factor" localSheetId="3">#REF!</definedName>
    <definedName name="Dist_factor" localSheetId="6">#REF!</definedName>
    <definedName name="Dist_factor">#REF!</definedName>
    <definedName name="DistPeakMethod" localSheetId="7">[17]Inputs!#REF!</definedName>
    <definedName name="DistPeakMethod" localSheetId="1">[17]Inputs!#REF!</definedName>
    <definedName name="DistPeakMethod" localSheetId="3">[17]Inputs!#REF!</definedName>
    <definedName name="DistPeakMethod" localSheetId="4">[17]Inputs!#REF!</definedName>
    <definedName name="DistPeakMethod" localSheetId="6">[17]Inputs!#REF!</definedName>
    <definedName name="DistPeakMethod">[18]Inputs!#REF!</definedName>
    <definedName name="DUDE" localSheetId="7" hidden="1">#REF!</definedName>
    <definedName name="DUDE" localSheetId="1" hidden="1">#REF!</definedName>
    <definedName name="DUDE" localSheetId="3" hidden="1">#REF!</definedName>
    <definedName name="DUDE" localSheetId="6" hidden="1">#REF!</definedName>
    <definedName name="DUDE" hidden="1">#REF!</definedName>
    <definedName name="energy">[23]Readings!$B$3</definedName>
    <definedName name="Engy">[13]Inputs!$D$9</definedName>
    <definedName name="Engy2">[27]Inputs!$D$12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scalators" localSheetId="0">[28]Inputs!#REF!</definedName>
    <definedName name="escalators">[28]Inputs!#REF!</definedName>
    <definedName name="Escalators_monthly" localSheetId="0">'[28]Inputs Monthly'!#REF!</definedName>
    <definedName name="Escalators_monthly">'[28]Inputs Monthly'!#REF!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 localSheetId="1">#REF!</definedName>
    <definedName name="f101top" localSheetId="3">#REF!</definedName>
    <definedName name="f101top" localSheetId="4">#REF!</definedName>
    <definedName name="f101top">#REF!</definedName>
    <definedName name="f104top" localSheetId="1">#REF!</definedName>
    <definedName name="f104top" localSheetId="3">#REF!</definedName>
    <definedName name="f104top" localSheetId="4">#REF!</definedName>
    <definedName name="f104top">#REF!</definedName>
    <definedName name="f138top" localSheetId="1">#REF!</definedName>
    <definedName name="f138top" localSheetId="3">#REF!</definedName>
    <definedName name="f138top" localSheetId="4">#REF!</definedName>
    <definedName name="f138top">#REF!</definedName>
    <definedName name="f140top" localSheetId="1">#REF!</definedName>
    <definedName name="f140top" localSheetId="3">#REF!</definedName>
    <definedName name="f140top" localSheetId="4">#REF!</definedName>
    <definedName name="f140top">#REF!</definedName>
    <definedName name="Factbl1">#REF!</definedName>
    <definedName name="Factorck">'[14]COS Factor Table'!$O$15:$O$113</definedName>
    <definedName name="FactorType">[19]Variables!$AK$2:$AL$12</definedName>
    <definedName name="FACTP" localSheetId="1">#REF!</definedName>
    <definedName name="FACTP" localSheetId="3">#REF!</definedName>
    <definedName name="FACTP" localSheetId="4">#REF!</definedName>
    <definedName name="FACTP">#REF!</definedName>
    <definedName name="FactSum">'[14]COS Factor Table'!$A$14:$O$113</definedName>
    <definedName name="FEB" localSheetId="7">[22]Backup!#REF!</definedName>
    <definedName name="FEB" localSheetId="0">[22]Backup!#REF!</definedName>
    <definedName name="FEB" localSheetId="1">[22]Backup!#REF!</definedName>
    <definedName name="FEB" localSheetId="3">[22]Backup!#REF!</definedName>
    <definedName name="FEB" localSheetId="4">[22]Backup!#REF!</definedName>
    <definedName name="FEB" localSheetId="6">[22]Backup!#REF!</definedName>
    <definedName name="FEB">[22]Backup!#REF!</definedName>
    <definedName name="FEBT" localSheetId="0">#REF!</definedName>
    <definedName name="FEBT" localSheetId="1">#REF!</definedName>
    <definedName name="FEBT" localSheetId="3">#REF!</definedName>
    <definedName name="FEBT" localSheetId="4">#REF!</definedName>
    <definedName name="FEBT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[20]Variables!$D$26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um">#REF!</definedName>
    <definedName name="Func">'[14]Func Factor Table'!$A$10:$H$77</definedName>
    <definedName name="Func_Ftrs" localSheetId="0">#REF!</definedName>
    <definedName name="Func_Ftrs" localSheetId="1">#REF!</definedName>
    <definedName name="Func_Ftrs" localSheetId="3">#REF!</definedName>
    <definedName name="Func_Ftrs" localSheetId="4">#REF!</definedName>
    <definedName name="Func_Ftrs">#REF!</definedName>
    <definedName name="Func_GTD_Percents" localSheetId="0">#REF!</definedName>
    <definedName name="Func_GTD_Percents" localSheetId="1">#REF!</definedName>
    <definedName name="Func_GTD_Percents" localSheetId="3">#REF!</definedName>
    <definedName name="Func_GTD_Percents" localSheetId="4">#REF!</definedName>
    <definedName name="Func_GTD_Percents">#REF!</definedName>
    <definedName name="Func_MC" localSheetId="0">#REF!</definedName>
    <definedName name="Func_MC" localSheetId="1">#REF!</definedName>
    <definedName name="Func_MC" localSheetId="3">#REF!</definedName>
    <definedName name="Func_MC" localSheetId="4">#REF!</definedName>
    <definedName name="Func_MC">#REF!</definedName>
    <definedName name="Func_Percents" localSheetId="1">#REF!</definedName>
    <definedName name="Func_Percents" localSheetId="3">#REF!</definedName>
    <definedName name="Func_Percents" localSheetId="4">#REF!</definedName>
    <definedName name="Func_Percents">#REF!</definedName>
    <definedName name="Func_Rev_Req1" localSheetId="1">#REF!</definedName>
    <definedName name="Func_Rev_Req1" localSheetId="3">#REF!</definedName>
    <definedName name="Func_Rev_Req1" localSheetId="4">#REF!</definedName>
    <definedName name="Func_Rev_Req1">#REF!</definedName>
    <definedName name="Func_Rev_Req2" localSheetId="1">#REF!</definedName>
    <definedName name="Func_Rev_Req2" localSheetId="3">#REF!</definedName>
    <definedName name="Func_Rev_Req2" localSheetId="4">#REF!</definedName>
    <definedName name="Func_Rev_Req2">#REF!</definedName>
    <definedName name="Func_Revenue" localSheetId="1">#REF!</definedName>
    <definedName name="Func_Revenue" localSheetId="3">#REF!</definedName>
    <definedName name="Func_Revenue" localSheetId="4">#REF!</definedName>
    <definedName name="Func_Revenue">#REF!</definedName>
    <definedName name="Function">'[14]Func Study'!$AB$250</definedName>
    <definedName name="GREATER10MW" localSheetId="7">#REF!</definedName>
    <definedName name="GREATER10MW" localSheetId="1">#REF!</definedName>
    <definedName name="GREATER10MW" localSheetId="3">#REF!</definedName>
    <definedName name="GREATER10MW" localSheetId="4">#REF!</definedName>
    <definedName name="GREATER10MW" localSheetId="6">#REF!</definedName>
    <definedName name="GREATER10MW">#REF!</definedName>
    <definedName name="GTD_Percents" localSheetId="1">#REF!</definedName>
    <definedName name="GTD_Percents" localSheetId="3">#REF!</definedName>
    <definedName name="GTD_Percents" localSheetId="4">#REF!</definedName>
    <definedName name="GTD_Percents">#REF!</definedName>
    <definedName name="HEIGHT" localSheetId="0">#REF!</definedName>
    <definedName name="HEIGHT" localSheetId="1">#REF!</definedName>
    <definedName name="HEIGHT" localSheetId="3">#REF!</definedName>
    <definedName name="HEIGHT" localSheetId="4">#REF!</definedName>
    <definedName name="HEIGHT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D_0303_RVN_data" localSheetId="1">#REF!</definedName>
    <definedName name="ID_0303_RVN_data" localSheetId="3">#REF!</definedName>
    <definedName name="ID_0303_RVN_data" localSheetId="4">#REF!</definedName>
    <definedName name="ID_0303_RVN_data">#REF!</definedName>
    <definedName name="IDcontractsRVN" localSheetId="1">#REF!</definedName>
    <definedName name="IDcontractsRVN" localSheetId="3">#REF!</definedName>
    <definedName name="IDcontractsRVN" localSheetId="4">#REF!</definedName>
    <definedName name="IDcontractsRVN">#REF!</definedName>
    <definedName name="INDADJ" localSheetId="1">#REF!</definedName>
    <definedName name="INDADJ" localSheetId="3">#REF!</definedName>
    <definedName name="INDADJ" localSheetId="4">#REF!</definedName>
    <definedName name="INDADJ">#REF!</definedName>
    <definedName name="INPUT" localSheetId="7">[29]Summary!#REF!</definedName>
    <definedName name="INPUT" localSheetId="1">[29]Summary!#REF!</definedName>
    <definedName name="INPUT" localSheetId="3">[29]Summary!#REF!</definedName>
    <definedName name="INPUT" localSheetId="4">[29]Summary!#REF!</definedName>
    <definedName name="INPUT" localSheetId="6">[29]Summary!#REF!</definedName>
    <definedName name="INPUT">[30]Summary!#REF!</definedName>
    <definedName name="Instructions" localSheetId="1">#REF!</definedName>
    <definedName name="Instructions" localSheetId="3">#REF!</definedName>
    <definedName name="Instructions" localSheetId="4">#REF!</definedName>
    <definedName name="Instructions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RR">#REF!</definedName>
    <definedName name="JAN" localSheetId="7">[22]Backup!#REF!</definedName>
    <definedName name="JAN" localSheetId="0">[22]Backup!#REF!</definedName>
    <definedName name="JAN" localSheetId="1">[22]Backup!#REF!</definedName>
    <definedName name="JAN" localSheetId="3">[22]Backup!#REF!</definedName>
    <definedName name="JAN" localSheetId="4">[22]Backup!#REF!</definedName>
    <definedName name="JAN" localSheetId="6">[22]Backup!#REF!</definedName>
    <definedName name="JAN">[22]Backup!#REF!</definedName>
    <definedName name="JANT" localSheetId="0">#REF!</definedName>
    <definedName name="JANT" localSheetId="1">#REF!</definedName>
    <definedName name="JANT" localSheetId="3">#REF!</definedName>
    <definedName name="JANT" localSheetId="4">#REF!</definedName>
    <definedName name="JANT">#REF!</definedName>
    <definedName name="jjj" localSheetId="7">[31]Inputs!$N$18</definedName>
    <definedName name="jjj" localSheetId="1">[31]Inputs!$N$18</definedName>
    <definedName name="jjj" localSheetId="3">[31]Inputs!$N$18</definedName>
    <definedName name="jjj" localSheetId="4">[31]Inputs!$N$18</definedName>
    <definedName name="jjj" localSheetId="6">[31]Inputs!$N$18</definedName>
    <definedName name="jjj">[32]Inputs!$N$18</definedName>
    <definedName name="JUL" localSheetId="7">[22]Backup!#REF!</definedName>
    <definedName name="JUL" localSheetId="0">[22]Backup!#REF!</definedName>
    <definedName name="JUL" localSheetId="1">[22]Backup!#REF!</definedName>
    <definedName name="JUL" localSheetId="3">[22]Backup!#REF!</definedName>
    <definedName name="JUL" localSheetId="6">[22]Backup!#REF!</definedName>
    <definedName name="JUL">[22]Backup!#REF!</definedName>
    <definedName name="JULT" localSheetId="0">#REF!</definedName>
    <definedName name="JULT" localSheetId="1">#REF!</definedName>
    <definedName name="JULT" localSheetId="3">#REF!</definedName>
    <definedName name="JULT" localSheetId="4">#REF!</definedName>
    <definedName name="JULT">#REF!</definedName>
    <definedName name="JUN" localSheetId="7">[22]Backup!#REF!</definedName>
    <definedName name="JUN" localSheetId="0">[22]Backup!#REF!</definedName>
    <definedName name="JUN" localSheetId="1">[22]Backup!#REF!</definedName>
    <definedName name="JUN" localSheetId="3">[22]Backup!#REF!</definedName>
    <definedName name="JUN" localSheetId="4">[22]Backup!#REF!</definedName>
    <definedName name="JUN" localSheetId="6">[22]Backup!#REF!</definedName>
    <definedName name="JUN">[22]Backup!#REF!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 localSheetId="0">#REF!</definedName>
    <definedName name="JUNT" localSheetId="1">#REF!</definedName>
    <definedName name="JUNT" localSheetId="3">#REF!</definedName>
    <definedName name="JUNT" localSheetId="4">#REF!</definedName>
    <definedName name="JUNT">#REF!</definedName>
    <definedName name="Jurisdiction">[19]Variables!$AK$15</definedName>
    <definedName name="JurisNumber">[19]Variables!$AL$15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BORMOD" localSheetId="0">#REF!</definedName>
    <definedName name="LABORMOD" localSheetId="1">#REF!</definedName>
    <definedName name="LABORMOD" localSheetId="3">#REF!</definedName>
    <definedName name="LABORMOD" localSheetId="4">#REF!</definedName>
    <definedName name="LABORMOD">#REF!</definedName>
    <definedName name="LABORROLL" localSheetId="0">#REF!</definedName>
    <definedName name="LABORROLL" localSheetId="1">#REF!</definedName>
    <definedName name="LABORROLL" localSheetId="3">#REF!</definedName>
    <definedName name="LABORROLL" localSheetId="4">#REF!</definedName>
    <definedName name="LABORROLL">#REF!</definedName>
    <definedName name="limcount" hidden="1">1</definedName>
    <definedName name="Line_Ext_Credit" localSheetId="0">#REF!</definedName>
    <definedName name="Line_Ext_Credit" localSheetId="1">#REF!</definedName>
    <definedName name="Line_Ext_Credit" localSheetId="3">#REF!</definedName>
    <definedName name="Line_Ext_Credit" localSheetId="4">#REF!</definedName>
    <definedName name="Line_Ext_Credit">#REF!</definedName>
    <definedName name="LinkCos">'[14]JAM Download'!$K$4</definedName>
    <definedName name="ListOffset" hidden="1">1</definedName>
    <definedName name="Loads" localSheetId="0">#REF!</definedName>
    <definedName name="Loads">#REF!</definedName>
    <definedName name="LOG" localSheetId="7">[22]Backup!#REF!</definedName>
    <definedName name="LOG" localSheetId="0">[22]Backup!#REF!</definedName>
    <definedName name="LOG" localSheetId="1">[22]Backup!#REF!</definedName>
    <definedName name="LOG" localSheetId="3">[22]Backup!#REF!</definedName>
    <definedName name="LOG" localSheetId="4">[22]Backup!#REF!</definedName>
    <definedName name="LOG" localSheetId="6">[22]Backup!#REF!</definedName>
    <definedName name="LOG">[22]Backup!#REF!</definedName>
    <definedName name="LOSS" localSheetId="0">[22]Backup!#REF!</definedName>
    <definedName name="LOSS" localSheetId="1">[22]Backup!#REF!</definedName>
    <definedName name="LOSS" localSheetId="3">[22]Backup!#REF!</definedName>
    <definedName name="LOSS" localSheetId="4">[22]Backup!#REF!</definedName>
    <definedName name="LOSS">[22]Backup!#REF!</definedName>
    <definedName name="MACTIT" localSheetId="1">#REF!</definedName>
    <definedName name="MACTIT" localSheetId="3">#REF!</definedName>
    <definedName name="MACTIT" localSheetId="4">#REF!</definedName>
    <definedName name="MACTIT">#REF!</definedName>
    <definedName name="MAR" localSheetId="7">[22]Backup!#REF!</definedName>
    <definedName name="MAR" localSheetId="0">[22]Backup!#REF!</definedName>
    <definedName name="MAR" localSheetId="1">[22]Backup!#REF!</definedName>
    <definedName name="MAR" localSheetId="3">[22]Backup!#REF!</definedName>
    <definedName name="MAR" localSheetId="4">[22]Backup!#REF!</definedName>
    <definedName name="MAR" localSheetId="6">[22]Backup!#REF!</definedName>
    <definedName name="MAR">[22]Backup!#REF!</definedName>
    <definedName name="MART" localSheetId="0">#REF!</definedName>
    <definedName name="MART" localSheetId="1">#REF!</definedName>
    <definedName name="MART" localSheetId="3">#REF!</definedName>
    <definedName name="MART" localSheetId="4">#REF!</definedName>
    <definedName name="MART">#REF!</definedName>
    <definedName name="Master" hidden="1">{#N/A,#N/A,FALSE,"Actual";#N/A,#N/A,FALSE,"Normalized";#N/A,#N/A,FALSE,"Electric Actual";#N/A,#N/A,FALSE,"Electric Normalized"}</definedName>
    <definedName name="MAY" localSheetId="7">[22]Backup!#REF!</definedName>
    <definedName name="MAY" localSheetId="0">[22]Backup!#REF!</definedName>
    <definedName name="MAY" localSheetId="1">[22]Backup!#REF!</definedName>
    <definedName name="MAY" localSheetId="3">[22]Backup!#REF!</definedName>
    <definedName name="MAY" localSheetId="4">[22]Backup!#REF!</definedName>
    <definedName name="MAY" localSheetId="6">[22]Backup!#REF!</definedName>
    <definedName name="MAY">[22]Backup!#REF!</definedName>
    <definedName name="MAYT" localSheetId="0">#REF!</definedName>
    <definedName name="MAYT" localSheetId="1">#REF!</definedName>
    <definedName name="MAYT" localSheetId="3">#REF!</definedName>
    <definedName name="MAYT" localSheetId="4">#REF!</definedName>
    <definedName name="MAYT">#REF!</definedName>
    <definedName name="MCtoREV" localSheetId="0">#REF!</definedName>
    <definedName name="MCtoREV" localSheetId="1">#REF!</definedName>
    <definedName name="MCtoREV" localSheetId="3">#REF!</definedName>
    <definedName name="MCtoREV" localSheetId="4">#REF!</definedName>
    <definedName name="MCtoREV">#REF!</definedName>
    <definedName name="MD_High1">'[33]Master Data'!$A$2</definedName>
    <definedName name="MD_Low1">'[33]Master Data'!$D$28</definedName>
    <definedName name="MEN" localSheetId="7">[1]Jan!#REF!</definedName>
    <definedName name="MEN" localSheetId="0">[1]Jan!#REF!</definedName>
    <definedName name="MEN" localSheetId="1">[1]Jan!#REF!</definedName>
    <definedName name="MEN" localSheetId="3">[1]Jan!#REF!</definedName>
    <definedName name="MEN" localSheetId="4">[1]Jan!#REF!</definedName>
    <definedName name="MEN" localSheetId="6">[1]Jan!#REF!</definedName>
    <definedName name="MEN">[1]Jan!#REF!</definedName>
    <definedName name="Menu_Begin" localSheetId="1">#REF!</definedName>
    <definedName name="Menu_Begin" localSheetId="3">#REF!</definedName>
    <definedName name="Menu_Begin" localSheetId="4">#REF!</definedName>
    <definedName name="Menu_Begin">#REF!</definedName>
    <definedName name="Menu_Caption" localSheetId="1">#REF!</definedName>
    <definedName name="Menu_Caption" localSheetId="3">#REF!</definedName>
    <definedName name="Menu_Caption" localSheetId="4">#REF!</definedName>
    <definedName name="Menu_Caption">#REF!</definedName>
    <definedName name="Menu_Large" localSheetId="1">#REF!</definedName>
    <definedName name="Menu_Large" localSheetId="3">#REF!</definedName>
    <definedName name="Menu_Large" localSheetId="4">#REF!</definedName>
    <definedName name="Menu_Large">#REF!</definedName>
    <definedName name="Menu_Name" localSheetId="1">#REF!</definedName>
    <definedName name="Menu_Name" localSheetId="3">#REF!</definedName>
    <definedName name="Menu_Name" localSheetId="4">#REF!</definedName>
    <definedName name="Menu_Name">#REF!</definedName>
    <definedName name="Menu_OnAction" localSheetId="1">#REF!</definedName>
    <definedName name="Menu_OnAction" localSheetId="3">#REF!</definedName>
    <definedName name="Menu_OnAction" localSheetId="4">#REF!</definedName>
    <definedName name="Menu_OnAction">#REF!</definedName>
    <definedName name="Menu_Parent" localSheetId="1">#REF!</definedName>
    <definedName name="Menu_Parent" localSheetId="3">#REF!</definedName>
    <definedName name="Menu_Parent" localSheetId="4">#REF!</definedName>
    <definedName name="Menu_Parent">#REF!</definedName>
    <definedName name="Menu_Small" localSheetId="1">#REF!</definedName>
    <definedName name="Menu_Small" localSheetId="3">#REF!</definedName>
    <definedName name="Menu_Small" localSheetId="4">#REF!</definedName>
    <definedName name="Menu_Small">#REF!</definedName>
    <definedName name="Method">[13]Inputs!$C$6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 localSheetId="7">[22]Backup!#REF!</definedName>
    <definedName name="MONTH" localSheetId="0">[22]Backup!#REF!</definedName>
    <definedName name="MONTH" localSheetId="1">[22]Backup!#REF!</definedName>
    <definedName name="MONTH" localSheetId="3">[22]Backup!#REF!</definedName>
    <definedName name="MONTH" localSheetId="6">[22]Backup!#REF!</definedName>
    <definedName name="MONTH">[22]Backup!#REF!</definedName>
    <definedName name="monthlist">[34]Table!$R$2:$S$13</definedName>
    <definedName name="monthtotals">'[34]WA SBC'!$D$40:$O$40</definedName>
    <definedName name="MSPAverageInput" localSheetId="0">[35]Inputs!#REF!</definedName>
    <definedName name="MSPAverageInput" localSheetId="3">[35]Inputs!#REF!</definedName>
    <definedName name="MSPAverageInput">[35]Inputs!#REF!</definedName>
    <definedName name="MSPYearEndInput" localSheetId="0">[35]Inputs!#REF!</definedName>
    <definedName name="MSPYearEndInput" localSheetId="3">[35]Inputs!#REF!</definedName>
    <definedName name="MSPYearEndInput">[35]Inputs!#REF!</definedName>
    <definedName name="MTKWH" localSheetId="1">#REF!</definedName>
    <definedName name="MTKWH" localSheetId="3">#REF!</definedName>
    <definedName name="MTKWH" localSheetId="4">#REF!</definedName>
    <definedName name="MTKWH">#REF!</definedName>
    <definedName name="MTR_YR3">[36]Variables!$E$14</definedName>
    <definedName name="MTREV" localSheetId="1">#REF!</definedName>
    <definedName name="MTREV" localSheetId="3">#REF!</definedName>
    <definedName name="MTREV" localSheetId="4">#REF!</definedName>
    <definedName name="MTREV">#REF!</definedName>
    <definedName name="MULT" localSheetId="0">#REF!</definedName>
    <definedName name="MULT" localSheetId="1">#REF!</definedName>
    <definedName name="MULT" localSheetId="3">#REF!</definedName>
    <definedName name="MULT" localSheetId="4">#REF!</definedName>
    <definedName name="MULT">#REF!</definedName>
    <definedName name="NameTable">#REF!</definedName>
    <definedName name="Net_to_Gross_Factor">[14]Inputs!$G$8</definedName>
    <definedName name="NetToGross">[20]Variables!$D$23</definedName>
    <definedName name="NewContract">[37]Inputs!$N$24</definedName>
    <definedName name="NEWMO1" localSheetId="7">[1]Jan!#REF!</definedName>
    <definedName name="NEWMO1" localSheetId="0">[1]Jan!#REF!</definedName>
    <definedName name="NEWMO1" localSheetId="1">[1]Jan!#REF!</definedName>
    <definedName name="NEWMO1" localSheetId="3">[1]Jan!#REF!</definedName>
    <definedName name="NEWMO1" localSheetId="6">[1]Jan!#REF!</definedName>
    <definedName name="NEWMO1">[1]Jan!#REF!</definedName>
    <definedName name="NEWMO2" localSheetId="0">[1]Jan!#REF!</definedName>
    <definedName name="NEWMO2" localSheetId="1">[1]Jan!#REF!</definedName>
    <definedName name="NEWMO2" localSheetId="3">[1]Jan!#REF!</definedName>
    <definedName name="NEWMO2">[1]Jan!#REF!</definedName>
    <definedName name="NEWMONTH" localSheetId="0">[1]Jan!#REF!</definedName>
    <definedName name="NEWMONTH" localSheetId="3">[1]Jan!#REF!</definedName>
    <definedName name="NEWMONTH">[1]Jan!#REF!</definedName>
    <definedName name="NewRes_DateColSw" localSheetId="0">#REF!</definedName>
    <definedName name="NewRes_DateColSw">#REF!</definedName>
    <definedName name="NewResCol" localSheetId="0">#REF!</definedName>
    <definedName name="NewResCol">#REF!</definedName>
    <definedName name="NONRES">#REF!</definedName>
    <definedName name="NORMALIZE" localSheetId="0">#REF!</definedName>
    <definedName name="NORMALIZE" localSheetId="1">#REF!</definedName>
    <definedName name="NORMALIZE" localSheetId="3">#REF!</definedName>
    <definedName name="NORMALIZE" localSheetId="4">#REF!</definedName>
    <definedName name="NORMALIZE">#REF!</definedName>
    <definedName name="NOV" localSheetId="7">[22]Backup!#REF!</definedName>
    <definedName name="NOV" localSheetId="0">[22]Backup!#REF!</definedName>
    <definedName name="NOV" localSheetId="1">[22]Backup!#REF!</definedName>
    <definedName name="NOV" localSheetId="3">[22]Backup!#REF!</definedName>
    <definedName name="NOV" localSheetId="4">[22]Backup!#REF!</definedName>
    <definedName name="NOV" localSheetId="6">[22]Backup!#REF!</definedName>
    <definedName name="NOV">[22]Backup!#REF!</definedName>
    <definedName name="NOVT" localSheetId="0">#REF!</definedName>
    <definedName name="NOVT" localSheetId="1">#REF!</definedName>
    <definedName name="NOVT" localSheetId="3">#REF!</definedName>
    <definedName name="NOVT" localSheetId="4">#REF!</definedName>
    <definedName name="NOVT">#REF!</definedName>
    <definedName name="NPC" localSheetId="7">[17]Inputs!$N$18</definedName>
    <definedName name="NPC" localSheetId="1">[17]Inputs!$N$18</definedName>
    <definedName name="NPC" localSheetId="3">[17]Inputs!$N$18</definedName>
    <definedName name="NPC" localSheetId="4">[17]Inputs!$N$18</definedName>
    <definedName name="NPC" localSheetId="6">[17]Inputs!$N$18</definedName>
    <definedName name="NPC">[18]Inputs!$N$18</definedName>
    <definedName name="NR_Date" localSheetId="0">#REF!</definedName>
    <definedName name="NR_Date">#REF!</definedName>
    <definedName name="NR_Switch" localSheetId="0">#REF!</definedName>
    <definedName name="NR_Switch">#REF!</definedName>
    <definedName name="NUM" localSheetId="1">#REF!</definedName>
    <definedName name="NUM" localSheetId="3">#REF!</definedName>
    <definedName name="NUM" localSheetId="4">#REF!</definedName>
    <definedName name="NUM">#REF!</definedName>
    <definedName name="OCT" localSheetId="7">[22]Backup!#REF!</definedName>
    <definedName name="OCT" localSheetId="0">[22]Backup!#REF!</definedName>
    <definedName name="OCT" localSheetId="1">[22]Backup!#REF!</definedName>
    <definedName name="OCT" localSheetId="3">[22]Backup!#REF!</definedName>
    <definedName name="OCT" localSheetId="4">[22]Backup!#REF!</definedName>
    <definedName name="OCT" localSheetId="6">[22]Backup!#REF!</definedName>
    <definedName name="OCT">[22]Backup!#REF!</definedName>
    <definedName name="OCTT" localSheetId="0">#REF!</definedName>
    <definedName name="OCTT" localSheetId="1">#REF!</definedName>
    <definedName name="OCTT" localSheetId="3">#REF!</definedName>
    <definedName name="OCTT" localSheetId="4">#REF!</definedName>
    <definedName name="OCTT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 localSheetId="7">[1]Jan!#REF!</definedName>
    <definedName name="ONE" localSheetId="0">[1]Jan!#REF!</definedName>
    <definedName name="ONE" localSheetId="1">[1]Jan!#REF!</definedName>
    <definedName name="ONE" localSheetId="3">[1]Jan!#REF!</definedName>
    <definedName name="ONE" localSheetId="4">[1]Jan!#REF!</definedName>
    <definedName name="ONE" localSheetId="6">[1]Jan!#REF!</definedName>
    <definedName name="ONE">[1]Jan!#REF!</definedName>
    <definedName name="option">'[38]Dist Misc'!$F$120</definedName>
    <definedName name="OR_305_12mo_endg_200203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" localSheetId="1">#REF!</definedName>
    <definedName name="Page1" localSheetId="3">#REF!</definedName>
    <definedName name="Page1" localSheetId="4">#REF!</definedName>
    <definedName name="Page1">#REF!</definedName>
    <definedName name="Page110" localSheetId="1">#REF!</definedName>
    <definedName name="Page110" localSheetId="3">#REF!</definedName>
    <definedName name="Page110" localSheetId="4">#REF!</definedName>
    <definedName name="Page110">#REF!</definedName>
    <definedName name="Page120" localSheetId="1">#REF!</definedName>
    <definedName name="Page120" localSheetId="3">#REF!</definedName>
    <definedName name="Page120" localSheetId="4">#REF!</definedName>
    <definedName name="Page120">#REF!</definedName>
    <definedName name="Page2" localSheetId="1">#REF!</definedName>
    <definedName name="Page2" localSheetId="3">#REF!</definedName>
    <definedName name="Page2" localSheetId="4">#REF!</definedName>
    <definedName name="Page2">#REF!</definedName>
    <definedName name="PAGE3" localSheetId="0">#REF!</definedName>
    <definedName name="PAGE3" localSheetId="1">#REF!</definedName>
    <definedName name="PAGE3" localSheetId="3">#REF!</definedName>
    <definedName name="PAGE3" localSheetId="4">#REF!</definedName>
    <definedName name="PAGE3">#REF!</definedName>
    <definedName name="Page30">#REF!</definedName>
    <definedName name="Page31">#REF!</definedName>
    <definedName name="Page4" localSheetId="1">#REF!</definedName>
    <definedName name="Page4" localSheetId="3">#REF!</definedName>
    <definedName name="Page4" localSheetId="4">#REF!</definedName>
    <definedName name="Page4">#REF!</definedName>
    <definedName name="Page43">'[39]Demand Factors'!#REF!</definedName>
    <definedName name="Page44">'[39]Demand Factors'!#REF!</definedName>
    <definedName name="Page45">'[39]Demand Factors'!#REF!</definedName>
    <definedName name="Page46">'[39]Energy Factor'!#REF!</definedName>
    <definedName name="Page47">'[39]Energy Factor'!#REF!</definedName>
    <definedName name="Page48">'[39]Energy Factor'!#REF!</definedName>
    <definedName name="Page5" localSheetId="1">#REF!</definedName>
    <definedName name="Page5" localSheetId="3">#REF!</definedName>
    <definedName name="Page5" localSheetId="4">#REF!</definedName>
    <definedName name="Page5">#REF!</definedName>
    <definedName name="Page6" localSheetId="1">#REF!</definedName>
    <definedName name="Page6" localSheetId="3">#REF!</definedName>
    <definedName name="Page6" localSheetId="4">#REF!</definedName>
    <definedName name="Page6">#REF!</definedName>
    <definedName name="Page62" localSheetId="7">[40]TransInvest!#REF!</definedName>
    <definedName name="Page62" localSheetId="1">[40]TransInvest!#REF!</definedName>
    <definedName name="Page62" localSheetId="3">[40]TransInvest!#REF!</definedName>
    <definedName name="Page62" localSheetId="4">[40]TransInvest!#REF!</definedName>
    <definedName name="Page62" localSheetId="6">[40]TransInvest!#REF!</definedName>
    <definedName name="Page62">[40]TransInvest!#REF!</definedName>
    <definedName name="Page63">'[39]Energy Factor'!#REF!</definedName>
    <definedName name="Page64">'[39]Energy Factor'!#REF!</definedName>
    <definedName name="page65" localSheetId="1">#REF!</definedName>
    <definedName name="page65" localSheetId="3">#REF!</definedName>
    <definedName name="page65" localSheetId="4">#REF!</definedName>
    <definedName name="page65">#REF!</definedName>
    <definedName name="page66" localSheetId="1">#REF!</definedName>
    <definedName name="page66" localSheetId="3">#REF!</definedName>
    <definedName name="page66" localSheetId="4">#REF!</definedName>
    <definedName name="page66">#REF!</definedName>
    <definedName name="page67" localSheetId="1">#REF!</definedName>
    <definedName name="page67" localSheetId="3">#REF!</definedName>
    <definedName name="page67" localSheetId="4">#REF!</definedName>
    <definedName name="page67">#REF!</definedName>
    <definedName name="page68" localSheetId="1">#REF!</definedName>
    <definedName name="page68" localSheetId="3">#REF!</definedName>
    <definedName name="page68" localSheetId="4">#REF!</definedName>
    <definedName name="page68">#REF!</definedName>
    <definedName name="page69" localSheetId="1">#REF!</definedName>
    <definedName name="page69" localSheetId="3">#REF!</definedName>
    <definedName name="page69" localSheetId="4">#REF!</definedName>
    <definedName name="page69">#REF!</definedName>
    <definedName name="Page7" localSheetId="1">#REF!</definedName>
    <definedName name="Page7" localSheetId="3">#REF!</definedName>
    <definedName name="Page7" localSheetId="4">#REF!</definedName>
    <definedName name="Page7">#REF!</definedName>
    <definedName name="page8" localSheetId="1">#REF!</definedName>
    <definedName name="page8" localSheetId="3">#REF!</definedName>
    <definedName name="page8" localSheetId="4">#REF!</definedName>
    <definedName name="page8">#REF!</definedName>
    <definedName name="PALL" localSheetId="1">#REF!</definedName>
    <definedName name="PALL" localSheetId="3">#REF!</definedName>
    <definedName name="PALL" localSheetId="4">#REF!</definedName>
    <definedName name="PALL">#REF!</definedName>
    <definedName name="PBLOCK" localSheetId="1">#REF!</definedName>
    <definedName name="PBLOCK" localSheetId="3">#REF!</definedName>
    <definedName name="PBLOCK" localSheetId="4">#REF!</definedName>
    <definedName name="PBLOCK">#REF!</definedName>
    <definedName name="PBLOCKWZ" localSheetId="1">#REF!</definedName>
    <definedName name="PBLOCKWZ" localSheetId="3">#REF!</definedName>
    <definedName name="PBLOCKWZ" localSheetId="4">#REF!</definedName>
    <definedName name="PBLOCKWZ">#REF!</definedName>
    <definedName name="PCOMP" localSheetId="1">#REF!</definedName>
    <definedName name="PCOMP" localSheetId="3">#REF!</definedName>
    <definedName name="PCOMP" localSheetId="4">#REF!</definedName>
    <definedName name="PCOMP">#REF!</definedName>
    <definedName name="PCOMPOSITES" localSheetId="1">#REF!</definedName>
    <definedName name="PCOMPOSITES" localSheetId="3">#REF!</definedName>
    <definedName name="PCOMPOSITES" localSheetId="4">#REF!</definedName>
    <definedName name="PCOMPOSITES">#REF!</definedName>
    <definedName name="PCOMPWZ" localSheetId="1">#REF!</definedName>
    <definedName name="PCOMPWZ" localSheetId="3">#REF!</definedName>
    <definedName name="PCOMPWZ" localSheetId="4">#REF!</definedName>
    <definedName name="PCOMPWZ">#REF!</definedName>
    <definedName name="PeakMethod">[13]Inputs!$T$5</definedName>
    <definedName name="Period2">[11]Inputs!$C$5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MAC" localSheetId="7">[22]Backup!#REF!</definedName>
    <definedName name="PMAC" localSheetId="0">[22]Backup!#REF!</definedName>
    <definedName name="PMAC" localSheetId="1">[22]Backup!#REF!</definedName>
    <definedName name="PMAC" localSheetId="3">[22]Backup!#REF!</definedName>
    <definedName name="PMAC" localSheetId="6">[22]Backup!#REF!</definedName>
    <definedName name="PMAC">[22]Backup!#REF!</definedName>
    <definedName name="PRESENT" localSheetId="0">#REF!</definedName>
    <definedName name="PRESENT" localSheetId="1">#REF!</definedName>
    <definedName name="PRESENT" localSheetId="3">#REF!</definedName>
    <definedName name="PRESENT" localSheetId="4">#REF!</definedName>
    <definedName name="PRESENT">#REF!</definedName>
    <definedName name="PRICCHNG" localSheetId="1">#REF!</definedName>
    <definedName name="PRICCHNG" localSheetId="3">#REF!</definedName>
    <definedName name="PRICCHNG" localSheetId="4">#REF!</definedName>
    <definedName name="PRICCHNG">#REF!</definedName>
    <definedName name="PricingInfo" hidden="1">[41]Inputs!#REF!</definedName>
    <definedName name="_xlnm.Print_Area" localSheetId="0">'Attachment A'!$A$1:$M$65</definedName>
    <definedName name="_xlnm.Print_Area" localSheetId="1">'Attachment B'!$A$1:$F$16</definedName>
    <definedName name="_xlnm.Print_Area" localSheetId="2">'Attachment C'!$B$3:$Q$44</definedName>
    <definedName name="_xlnm.Print_Area" localSheetId="3">'Attachment D'!$B$1:$W$49</definedName>
    <definedName name="_xlnm.Print_Area" localSheetId="5">'Billing Comp Schedule 40'!$B$2:$Q$39</definedName>
    <definedName name="_xlnm.Print_Area" localSheetId="4">'Calculation of BPA Credit OCT15'!$A$1:$F$16</definedName>
    <definedName name="_xlnm.Print_Area" localSheetId="6">'Table A rate case'!$B$1:$V$49</definedName>
    <definedName name="_xlnm.Print_Area">#REF!</definedName>
    <definedName name="_xlnm.Print_Titles" localSheetId="0">'Attachment A'!$1:$4</definedName>
    <definedName name="PROD" localSheetId="0">#REF!</definedName>
    <definedName name="PROD">#REF!</definedName>
    <definedName name="PROPOSED">#REF!</definedName>
    <definedName name="ProRate1" localSheetId="0">#REF!</definedName>
    <definedName name="ProRate1" localSheetId="3">#REF!</definedName>
    <definedName name="ProRate1">#REF!</definedName>
    <definedName name="PTABLES" localSheetId="1">#REF!</definedName>
    <definedName name="PTABLES" localSheetId="3">#REF!</definedName>
    <definedName name="PTABLES" localSheetId="4">#REF!</definedName>
    <definedName name="PTABLES">#REF!</definedName>
    <definedName name="PTD" localSheetId="0">#REF!</definedName>
    <definedName name="PTD">#REF!</definedName>
    <definedName name="PTDMOD" localSheetId="1">#REF!</definedName>
    <definedName name="PTDMOD" localSheetId="3">#REF!</definedName>
    <definedName name="PTDMOD" localSheetId="4">#REF!</definedName>
    <definedName name="PTDMOD">#REF!</definedName>
    <definedName name="PTDROLL" localSheetId="1">#REF!</definedName>
    <definedName name="PTDROLL" localSheetId="3">#REF!</definedName>
    <definedName name="PTDROLL" localSheetId="4">#REF!</definedName>
    <definedName name="PTDROLL">#REF!</definedName>
    <definedName name="PTMOD" localSheetId="1">#REF!</definedName>
    <definedName name="PTMOD" localSheetId="3">#REF!</definedName>
    <definedName name="PTMOD" localSheetId="4">#REF!</definedName>
    <definedName name="PTMOD">#REF!</definedName>
    <definedName name="PTROLL" localSheetId="1">#REF!</definedName>
    <definedName name="PTROLL" localSheetId="3">#REF!</definedName>
    <definedName name="PTROLL" localSheetId="4">#REF!</definedName>
    <definedName name="PTROLL">#REF!</definedName>
    <definedName name="PWORKBACK" localSheetId="1">#REF!</definedName>
    <definedName name="PWORKBACK" localSheetId="3">#REF!</definedName>
    <definedName name="PWORKBACK" localSheetId="4">#REF!</definedName>
    <definedName name="PWORKBACK">#REF!</definedName>
    <definedName name="Query1" localSheetId="1">#REF!</definedName>
    <definedName name="Query1" localSheetId="3">#REF!</definedName>
    <definedName name="Query1" localSheetId="4">#REF!</definedName>
    <definedName name="Query1">#REF!</definedName>
    <definedName name="RateCd">#REF!</definedName>
    <definedName name="RatePeriod">[28]ASCs!$F$31</definedName>
    <definedName name="Rates">[42]Codes!$A$1:$C$500</definedName>
    <definedName name="Ratio" localSheetId="0">#REF!</definedName>
    <definedName name="Ratio">#REF!</definedName>
    <definedName name="ratio2" localSheetId="0">#REF!</definedName>
    <definedName name="ratio2">#REF!</definedName>
    <definedName name="Ratios">#REF!</definedName>
    <definedName name="RC_ADJ" localSheetId="1">#REF!</definedName>
    <definedName name="RC_ADJ" localSheetId="3">#REF!</definedName>
    <definedName name="RC_ADJ" localSheetId="4">#REF!</definedName>
    <definedName name="RC_ADJ">#REF!</definedName>
    <definedName name="RESADJ" localSheetId="1">#REF!</definedName>
    <definedName name="RESADJ" localSheetId="3">#REF!</definedName>
    <definedName name="RESADJ" localSheetId="4">#REF!</definedName>
    <definedName name="RESADJ">#REF!</definedName>
    <definedName name="RESIDENTIAL">#REF!</definedName>
    <definedName name="ResourceSupplier">[20]Variables!$D$28</definedName>
    <definedName name="retail" hidden="1">{#N/A,#N/A,FALSE,"Loans";#N/A,#N/A,FALSE,"Program Costs";#N/A,#N/A,FALSE,"Measures";#N/A,#N/A,FALSE,"Net Lost Rev";#N/A,#N/A,FALSE,"Incentive"}</definedName>
    <definedName name="retail_CC" localSheetId="7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localSheetId="6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7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localSheetId="6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7">#REF!</definedName>
    <definedName name="REV_SCHD" localSheetId="1">#REF!</definedName>
    <definedName name="REV_SCHD" localSheetId="3">#REF!</definedName>
    <definedName name="REV_SCHD" localSheetId="6">#REF!</definedName>
    <definedName name="REV_SCHD">#REF!</definedName>
    <definedName name="RevCl">#REF!</definedName>
    <definedName name="RevClass">[42]Codes!$F$2:$G$10</definedName>
    <definedName name="Revenue_by_month_take_2" localSheetId="0">#REF!</definedName>
    <definedName name="Revenue_by_month_take_2" localSheetId="1">#REF!</definedName>
    <definedName name="Revenue_by_month_take_2" localSheetId="3">#REF!</definedName>
    <definedName name="Revenue_by_month_take_2" localSheetId="4">#REF!</definedName>
    <definedName name="Revenue_by_month_take_2">#REF!</definedName>
    <definedName name="revenue3">#REF!</definedName>
    <definedName name="RevenueCheck" localSheetId="0">#REF!</definedName>
    <definedName name="RevenueCheck" localSheetId="1">#REF!</definedName>
    <definedName name="RevenueCheck" localSheetId="3">#REF!</definedName>
    <definedName name="RevenueCheck" localSheetId="4">#REF!</definedName>
    <definedName name="RevenueCheck">#REF!</definedName>
    <definedName name="Revenues">#REF!</definedName>
    <definedName name="RevReqSettle" localSheetId="1">#REF!</definedName>
    <definedName name="RevReqSettle" localSheetId="3">#REF!</definedName>
    <definedName name="RevReqSettle" localSheetId="4">#REF!</definedName>
    <definedName name="RevReqSettle">#REF!</definedName>
    <definedName name="REVVSTRS" localSheetId="1">#REF!</definedName>
    <definedName name="REVVSTRS" localSheetId="3">#REF!</definedName>
    <definedName name="REVVSTRS" localSheetId="4">#REF!</definedName>
    <definedName name="REVVSTRS">#REF!</definedName>
    <definedName name="RISFORM" localSheetId="0">#REF!</definedName>
    <definedName name="RISFORM" localSheetId="1">#REF!</definedName>
    <definedName name="RISFORM" localSheetId="3">#REF!</definedName>
    <definedName name="RISFORM" localSheetId="4">#REF!</definedName>
    <definedName name="RISFORM">#REF!</definedName>
    <definedName name="RP_OSS_PP" localSheetId="0">#REF!</definedName>
    <definedName name="RP_OSS_PP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ch25Split">[43]Inputs!$N$29</definedName>
    <definedName name="SCH33CUSTS" localSheetId="1">#REF!</definedName>
    <definedName name="SCH33CUSTS" localSheetId="3">#REF!</definedName>
    <definedName name="SCH33CUSTS" localSheetId="4">#REF!</definedName>
    <definedName name="SCH33CUSTS">#REF!</definedName>
    <definedName name="SCH48ADJ" localSheetId="1">#REF!</definedName>
    <definedName name="SCH48ADJ" localSheetId="3">#REF!</definedName>
    <definedName name="SCH48ADJ" localSheetId="4">#REF!</definedName>
    <definedName name="SCH48ADJ">#REF!</definedName>
    <definedName name="SCH98NOR" localSheetId="1">#REF!</definedName>
    <definedName name="SCH98NOR" localSheetId="3">#REF!</definedName>
    <definedName name="SCH98NOR" localSheetId="4">#REF!</definedName>
    <definedName name="SCH98NOR">#REF!</definedName>
    <definedName name="SCHED47" localSheetId="1">#REF!</definedName>
    <definedName name="SCHED47" localSheetId="3">#REF!</definedName>
    <definedName name="SCHED47" localSheetId="4">#REF!</definedName>
    <definedName name="SCHED47">#REF!</definedName>
    <definedName name="Schedule" localSheetId="7">[17]Inputs!$N$14</definedName>
    <definedName name="Schedule" localSheetId="1">[17]Inputs!$N$14</definedName>
    <definedName name="Schedule" localSheetId="3">[17]Inputs!$N$14</definedName>
    <definedName name="Schedule" localSheetId="4">[17]Inputs!$N$14</definedName>
    <definedName name="Schedule" localSheetId="6">[17]Inputs!$N$14</definedName>
    <definedName name="Schedule">[18]Inputs!$N$14</definedName>
    <definedName name="se" localSheetId="0">#REF!</definedName>
    <definedName name="se" localSheetId="1">#REF!</definedName>
    <definedName name="se" localSheetId="3">#REF!</definedName>
    <definedName name="se" localSheetId="4">#REF!</definedName>
    <definedName name="se">#REF!</definedName>
    <definedName name="SECOND" localSheetId="7">[1]Jan!#REF!</definedName>
    <definedName name="SECOND" localSheetId="0">[1]Jan!#REF!</definedName>
    <definedName name="SECOND" localSheetId="1">[1]Jan!#REF!</definedName>
    <definedName name="SECOND" localSheetId="3">[1]Jan!#REF!</definedName>
    <definedName name="SECOND" localSheetId="4">[1]Jan!#REF!</definedName>
    <definedName name="SECOND" localSheetId="6">[1]Jan!#REF!</definedName>
    <definedName name="SECOND">[1]Jan!#REF!</definedName>
    <definedName name="SEP" localSheetId="7">[22]Backup!#REF!</definedName>
    <definedName name="SEP" localSheetId="0">[22]Backup!#REF!</definedName>
    <definedName name="SEP" localSheetId="1">[22]Backup!#REF!</definedName>
    <definedName name="SEP" localSheetId="3">[22]Backup!#REF!</definedName>
    <definedName name="SEP" localSheetId="4">[22]Backup!#REF!</definedName>
    <definedName name="SEP" localSheetId="6">[22]Backup!#REF!</definedName>
    <definedName name="SEP">[22]Backup!#REF!</definedName>
    <definedName name="SEPT" localSheetId="0">#REF!</definedName>
    <definedName name="SEPT" localSheetId="1">#REF!</definedName>
    <definedName name="SEPT" localSheetId="3">#REF!</definedName>
    <definedName name="SEPT" localSheetId="4">#REF!</definedName>
    <definedName name="SEPT">#REF!</definedName>
    <definedName name="September_2001_305_Detail">#REF!</definedName>
    <definedName name="SERVICES_3" localSheetId="0">#REF!</definedName>
    <definedName name="SERVICES_3" localSheetId="1">#REF!</definedName>
    <definedName name="SERVICES_3" localSheetId="3">#REF!</definedName>
    <definedName name="SERVICES_3" localSheetId="4">#REF!</definedName>
    <definedName name="SERVICES_3">#REF!</definedName>
    <definedName name="sg" localSheetId="0">#REF!</definedName>
    <definedName name="sg" localSheetId="1">#REF!</definedName>
    <definedName name="sg" localSheetId="3">#REF!</definedName>
    <definedName name="sg" localSheetId="4">#REF!</definedName>
    <definedName name="sg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START" localSheetId="7">[1]Jan!#REF!</definedName>
    <definedName name="START" localSheetId="0">[1]Jan!#REF!</definedName>
    <definedName name="START" localSheetId="1">[1]Jan!#REF!</definedName>
    <definedName name="START" localSheetId="3">[1]Jan!#REF!</definedName>
    <definedName name="START" localSheetId="4">[1]Jan!#REF!</definedName>
    <definedName name="START" localSheetId="6">[1]Jan!#REF!</definedName>
    <definedName name="START">[1]Jan!#REF!</definedName>
    <definedName name="State">[11]Inputs!$C$4</definedName>
    <definedName name="SUM_TAB1" localSheetId="1">#REF!</definedName>
    <definedName name="SUM_TAB1" localSheetId="3">#REF!</definedName>
    <definedName name="SUM_TAB1" localSheetId="4">#REF!</definedName>
    <definedName name="SUM_TAB1">#REF!</definedName>
    <definedName name="SUM_TAB2" localSheetId="1">#REF!</definedName>
    <definedName name="SUM_TAB2" localSheetId="3">#REF!</definedName>
    <definedName name="SUM_TAB2" localSheetId="4">#REF!</definedName>
    <definedName name="SUM_TAB2">#REF!</definedName>
    <definedName name="SUM_TAB3" localSheetId="1">#REF!</definedName>
    <definedName name="SUM_TAB3" localSheetId="3">#REF!</definedName>
    <definedName name="SUM_TAB3" localSheetId="4">#REF!</definedName>
    <definedName name="SUM_TAB3">#REF!</definedName>
    <definedName name="TABLE_1" localSheetId="0">#REF!</definedName>
    <definedName name="TABLE_1" localSheetId="1">#REF!</definedName>
    <definedName name="TABLE_1" localSheetId="3">#REF!</definedName>
    <definedName name="TABLE_1" localSheetId="4">#REF!</definedName>
    <definedName name="TABLE_1">#REF!</definedName>
    <definedName name="TABLE_2" localSheetId="0">#REF!</definedName>
    <definedName name="TABLE_2" localSheetId="1">#REF!</definedName>
    <definedName name="TABLE_2" localSheetId="3">#REF!</definedName>
    <definedName name="TABLE_2" localSheetId="4">#REF!</definedName>
    <definedName name="TABLE_2">#REF!</definedName>
    <definedName name="TABLE_3" localSheetId="0">#REF!</definedName>
    <definedName name="TABLE_3" localSheetId="1">#REF!</definedName>
    <definedName name="TABLE_3" localSheetId="3">#REF!</definedName>
    <definedName name="TABLE_3" localSheetId="4">#REF!</definedName>
    <definedName name="TABLE_3">#REF!</definedName>
    <definedName name="TABLE_4" localSheetId="1">#REF!</definedName>
    <definedName name="TABLE_4" localSheetId="3">#REF!</definedName>
    <definedName name="TABLE_4" localSheetId="4">#REF!</definedName>
    <definedName name="TABLE_4">#REF!</definedName>
    <definedName name="TABLE_4_A" localSheetId="1">#REF!</definedName>
    <definedName name="TABLE_4_A" localSheetId="3">#REF!</definedName>
    <definedName name="TABLE_4_A" localSheetId="4">#REF!</definedName>
    <definedName name="TABLE_4_A">#REF!</definedName>
    <definedName name="TABLE_5" localSheetId="1">#REF!</definedName>
    <definedName name="TABLE_5" localSheetId="3">#REF!</definedName>
    <definedName name="TABLE_5" localSheetId="4">#REF!</definedName>
    <definedName name="TABLE_5">#REF!</definedName>
    <definedName name="TABLE_6" localSheetId="1">#REF!</definedName>
    <definedName name="TABLE_6" localSheetId="3">#REF!</definedName>
    <definedName name="TABLE_6" localSheetId="4">#REF!</definedName>
    <definedName name="TABLE_6">#REF!</definedName>
    <definedName name="TABLE_7" localSheetId="1">#REF!</definedName>
    <definedName name="TABLE_7" localSheetId="3">#REF!</definedName>
    <definedName name="TABLE_7" localSheetId="4">#REF!</definedName>
    <definedName name="TABLE_7">#REF!</definedName>
    <definedName name="TABLE1" localSheetId="1">#REF!</definedName>
    <definedName name="TABLE1" localSheetId="3">#REF!</definedName>
    <definedName name="TABLE1" localSheetId="4">#REF!</definedName>
    <definedName name="TABLE1">#REF!</definedName>
    <definedName name="TABLE2" localSheetId="1">#REF!</definedName>
    <definedName name="TABLE2" localSheetId="3">#REF!</definedName>
    <definedName name="TABLE2" localSheetId="4">#REF!</definedName>
    <definedName name="TABLE2">#REF!</definedName>
    <definedName name="TABLEA" localSheetId="7">#REF!</definedName>
    <definedName name="TABLEA" localSheetId="1">#REF!</definedName>
    <definedName name="TABLEA" localSheetId="3">'Attachment D'!$B$3:$AR$46</definedName>
    <definedName name="TABLEA" localSheetId="4">#REF!</definedName>
    <definedName name="TABLEA" localSheetId="6">'Table A rate case'!$B$3:$AH$46</definedName>
    <definedName name="TABLEA">#REF!</definedName>
    <definedName name="TABLEB">#REF!</definedName>
    <definedName name="TABLEC">#REF!</definedName>
    <definedName name="TABLEONE" localSheetId="0">#REF!</definedName>
    <definedName name="TABLEONE" localSheetId="1">#REF!</definedName>
    <definedName name="TABLEONE" localSheetId="3">#REF!</definedName>
    <definedName name="TABLEONE" localSheetId="4">#REF!</definedName>
    <definedName name="TABLEONE">#REF!</definedName>
    <definedName name="TargetInc">[12]Inputs!$K$19</definedName>
    <definedName name="TargetROR">[13]Inputs!$G$29</definedName>
    <definedName name="TargetROR1">[44]Inputs!$G$30</definedName>
    <definedName name="TDMOD" localSheetId="1">#REF!</definedName>
    <definedName name="TDMOD" localSheetId="3">#REF!</definedName>
    <definedName name="TDMOD" localSheetId="4">#REF!</definedName>
    <definedName name="TDMOD">#REF!</definedName>
    <definedName name="TDROLL" localSheetId="1">#REF!</definedName>
    <definedName name="TDROLL" localSheetId="3">#REF!</definedName>
    <definedName name="TDROLL" localSheetId="4">#REF!</definedName>
    <definedName name="TDROLL">#REF!</definedName>
    <definedName name="TEMPADJ" localSheetId="1">#REF!</definedName>
    <definedName name="TEMPADJ" localSheetId="3">#REF!</definedName>
    <definedName name="TEMPADJ" localSheetId="4">#REF!</definedName>
    <definedName name="TEMPADJ">#REF!</definedName>
    <definedName name="Test" localSheetId="1">#REF!</definedName>
    <definedName name="Test" localSheetId="3">#REF!</definedName>
    <definedName name="Test" localSheetId="4">#REF!</definedName>
    <definedName name="Test">#REF!</definedName>
    <definedName name="Test1" localSheetId="1">#REF!</definedName>
    <definedName name="Test1" localSheetId="3">#REF!</definedName>
    <definedName name="Test1" localSheetId="4">#REF!</definedName>
    <definedName name="Test1">#REF!</definedName>
    <definedName name="Test2" localSheetId="1">#REF!</definedName>
    <definedName name="Test2" localSheetId="3">#REF!</definedName>
    <definedName name="Test2" localSheetId="4">#REF!</definedName>
    <definedName name="Test2">#REF!</definedName>
    <definedName name="Test3" localSheetId="1">#REF!</definedName>
    <definedName name="Test3" localSheetId="3">#REF!</definedName>
    <definedName name="Test3" localSheetId="4">#REF!</definedName>
    <definedName name="Test3">#REF!</definedName>
    <definedName name="Test4" localSheetId="1">#REF!</definedName>
    <definedName name="Test4" localSheetId="3">#REF!</definedName>
    <definedName name="Test4" localSheetId="4">#REF!</definedName>
    <definedName name="Test4">#REF!</definedName>
    <definedName name="Test5" localSheetId="1">#REF!</definedName>
    <definedName name="Test5" localSheetId="3">#REF!</definedName>
    <definedName name="Test5" localSheetId="4">#REF!</definedName>
    <definedName name="Test5">#REF!</definedName>
    <definedName name="TestPeriod">[14]Inputs!$C$5</definedName>
    <definedName name="TotalRateBase">'[14]G+T+D+R+M'!$H$58</definedName>
    <definedName name="TRANSM_2">[45]Transm2!$A$1:$M$461:'[45]10 Yr FC'!$M$47</definedName>
    <definedName name="UAACT115S" localSheetId="7">'[17]Functional Study'!#REF!</definedName>
    <definedName name="UAACT115S" localSheetId="1">'[17]Functional Study'!#REF!</definedName>
    <definedName name="UAACT115S" localSheetId="3">'[17]Functional Study'!#REF!</definedName>
    <definedName name="UAACT115S" localSheetId="4">'[17]Functional Study'!#REF!</definedName>
    <definedName name="UAACT115S" localSheetId="6">'[17]Functional Study'!#REF!</definedName>
    <definedName name="UAACT115S">'[18]Functional Study'!#REF!</definedName>
    <definedName name="UAcct103">'[14]Func Study'!$AB$1613</definedName>
    <definedName name="UAcct105Dnpg">'[14]Func Study'!$AB$2010</definedName>
    <definedName name="UAcct105S">'[14]Func Study'!$AB$2005</definedName>
    <definedName name="UAcct105Seu">'[14]Func Study'!$AB$2009</definedName>
    <definedName name="UAcct105Snppo">'[14]Func Study'!$AB$2008</definedName>
    <definedName name="UAcct105Snpps">'[14]Func Study'!$AB$2006</definedName>
    <definedName name="UAcct105Snpt">'[14]Func Study'!$AB$2007</definedName>
    <definedName name="UAcct1081390">'[14]Func Study'!$AB$2451</definedName>
    <definedName name="UAcct1081390Rcl">'[14]Func Study'!$AB$2450</definedName>
    <definedName name="UAcct1081390Sou">'[11]Functional Study'!$AG$2403</definedName>
    <definedName name="UAcct1081399">'[14]Func Study'!$AB$2459</definedName>
    <definedName name="UAcct1081399Rcl">'[14]Func Study'!$AB$2458</definedName>
    <definedName name="UAcct1081399S">'[11]Functional Study'!$AG$2410</definedName>
    <definedName name="UAcct1081399Sep">'[11]Functional Study'!$AG$2411</definedName>
    <definedName name="UAcct108360">'[14]Func Study'!$AB$2355</definedName>
    <definedName name="UAcct108361">'[14]Func Study'!$AB$2359</definedName>
    <definedName name="UAcct108362">'[14]Func Study'!$AB$2363</definedName>
    <definedName name="UAcct108364">'[14]Func Study'!$AB$2367</definedName>
    <definedName name="UAcct108365">'[14]Func Study'!$AB$2371</definedName>
    <definedName name="UAcct108366">'[14]Func Study'!$AB$2375</definedName>
    <definedName name="UAcct108367">'[14]Func Study'!$AB$2379</definedName>
    <definedName name="UAcct108368">'[14]Func Study'!$AB$2383</definedName>
    <definedName name="UAcct108369">'[14]Func Study'!$AB$2387</definedName>
    <definedName name="UAcct108370">'[14]Func Study'!$AB$2391</definedName>
    <definedName name="UAcct108371">'[14]Func Study'!$AB$2395</definedName>
    <definedName name="UAcct108372">'[14]Func Study'!$AB$2399</definedName>
    <definedName name="UAcct108373">'[14]Func Study'!$AB$2403</definedName>
    <definedName name="UAcct108D">'[14]Func Study'!$AB$2415</definedName>
    <definedName name="UAcct108D00">'[14]Func Study'!$AB$2407</definedName>
    <definedName name="UAcct108Ds">'[14]Func Study'!$AB$2411</definedName>
    <definedName name="UAcct108Ep">'[14]Func Study'!$AB$2327</definedName>
    <definedName name="UAcct108Epsgp">'[12]Functional Study'!#REF!</definedName>
    <definedName name="UAcct108Gpcn">'[14]Func Study'!$AB$2429</definedName>
    <definedName name="UAcct108Gps">'[14]Func Study'!$AB$2425</definedName>
    <definedName name="UAcct108Gpse">'[14]Func Study'!$AB$2431</definedName>
    <definedName name="UAcct108Gpsg">'[14]Func Study'!$AB$2428</definedName>
    <definedName name="UAcct108Gpsgp">'[14]Func Study'!$AB$2426</definedName>
    <definedName name="UAcct108Gpsgu">'[14]Func Study'!$AB$2427</definedName>
    <definedName name="UAcct108Gpso">'[14]Func Study'!$AB$2430</definedName>
    <definedName name="UACCT108GPSSGCH">'[14]Func Study'!$AB$2434</definedName>
    <definedName name="UACCT108GPSSGCT">'[14]Func Study'!$AB$2433</definedName>
    <definedName name="UAcct108Hp">'[14]Func Study'!$AB$2313</definedName>
    <definedName name="UAcct108Hpdgu">'[12]Functional Study'!#REF!</definedName>
    <definedName name="UAcct108Mp">'[14]Func Study'!$AB$2444</definedName>
    <definedName name="UAcct108Np">'[14]Func Study'!$AB$2305</definedName>
    <definedName name="UAcct108Npdgu">'[12]Functional Study'!#REF!</definedName>
    <definedName name="UAcct108Npsgu">'[12]Functional Study'!#REF!</definedName>
    <definedName name="UACCT108NPSSCCT">'[11]Functional Study'!$AG$2276</definedName>
    <definedName name="UAcct108Op">'[14]Func Study'!$AB$2322</definedName>
    <definedName name="UAcct108OpSGW">'[39]Functional Study'!$AG$2274</definedName>
    <definedName name="UACCT108OPSSCCT">'[14]Func Study'!$AB$2321</definedName>
    <definedName name="UAcct108Sp">'[14]Func Study'!$AB$2299</definedName>
    <definedName name="UAcct108Spdgp">'[12]Functional Study'!$AG$2002</definedName>
    <definedName name="UAcct108Spdgu">'[12]Functional Study'!#REF!</definedName>
    <definedName name="UAcct108Spsgp">'[12]Functional Study'!#REF!</definedName>
    <definedName name="UACCT108SPSSGCH">'[14]Func Study'!$AB$2298</definedName>
    <definedName name="UACCT108SSGCH">'[11]Functional Study'!$AG$2390</definedName>
    <definedName name="UACCT108SSGCT">'[11]Functional Study'!$AG$2389</definedName>
    <definedName name="UAcct108Tp">'[14]Func Study'!$AB$2346</definedName>
    <definedName name="UACCT111390">'[11]Functional Study'!$AG$2471</definedName>
    <definedName name="UAcct111Clg">'[14]Func Study'!$AB$2487</definedName>
    <definedName name="UAcct111Clgsou">'[14]Func Study'!$AB$2485</definedName>
    <definedName name="UAcct111Clh">'[14]Func Study'!$AB$2493</definedName>
    <definedName name="UAcct111Clhdgu">'[12]Functional Study'!#REF!</definedName>
    <definedName name="UAcct111Cls">'[14]Func Study'!$AB$2478</definedName>
    <definedName name="UAcct111Ipcn">'[14]Func Study'!$AB$2502</definedName>
    <definedName name="UAcct111Ips">'[14]Func Study'!$AB$2497</definedName>
    <definedName name="UAcct111Ipse">'[14]Func Study'!$AB$2500</definedName>
    <definedName name="UAcct111Ipsg">'[14]Func Study'!$AB$2501</definedName>
    <definedName name="UAcct111Ipsgp">'[14]Func Study'!$AB$2498</definedName>
    <definedName name="UAcct111Ipsgu">'[14]Func Study'!$AB$2499</definedName>
    <definedName name="UAcct111Ipso">'[14]Func Study'!$AB$2506</definedName>
    <definedName name="UACCT111IPSSGCH">'[14]Func Study'!$AB$2505</definedName>
    <definedName name="UACCT111IPSSGCT">'[14]Func Study'!$AB$2504</definedName>
    <definedName name="UAcct114">'[14]Func Study'!$AB$2017</definedName>
    <definedName name="UAcct114Dgp">'[12]Functional Study'!#REF!</definedName>
    <definedName name="UACCT115" localSheetId="7">'[17]Functional Study'!#REF!</definedName>
    <definedName name="UACCT115" localSheetId="1">'[17]Functional Study'!#REF!</definedName>
    <definedName name="UACCT115" localSheetId="3">'[17]Functional Study'!#REF!</definedName>
    <definedName name="UACCT115" localSheetId="4">'[17]Functional Study'!#REF!</definedName>
    <definedName name="UACCT115" localSheetId="6">'[17]Functional Study'!#REF!</definedName>
    <definedName name="UACCT115">'[18]Functional Study'!#REF!</definedName>
    <definedName name="UACCT115DGP" localSheetId="7">'[17]Functional Study'!#REF!</definedName>
    <definedName name="UACCT115DGP" localSheetId="1">'[17]Functional Study'!#REF!</definedName>
    <definedName name="UACCT115DGP" localSheetId="3">'[17]Functional Study'!#REF!</definedName>
    <definedName name="UACCT115DGP" localSheetId="4">'[17]Functional Study'!#REF!</definedName>
    <definedName name="UACCT115DGP" localSheetId="6">'[17]Functional Study'!#REF!</definedName>
    <definedName name="UACCT115DGP">'[18]Functional Study'!#REF!</definedName>
    <definedName name="UACCT115SG" localSheetId="7">'[17]Functional Study'!#REF!</definedName>
    <definedName name="UACCT115SG" localSheetId="1">'[17]Functional Study'!#REF!</definedName>
    <definedName name="UACCT115SG" localSheetId="3">'[17]Functional Study'!#REF!</definedName>
    <definedName name="UACCT115SG" localSheetId="4">'[17]Functional Study'!#REF!</definedName>
    <definedName name="UACCT115SG" localSheetId="6">'[17]Functional Study'!#REF!</definedName>
    <definedName name="UACCT115SG">'[18]Functional Study'!#REF!</definedName>
    <definedName name="UAcct120">'[14]Func Study'!$AB$2021</definedName>
    <definedName name="UAcct124">'[14]Func Study'!$AB$2026</definedName>
    <definedName name="UAcct141">'[14]Func Study'!$AB$2173</definedName>
    <definedName name="UAcct151">'[14]Func Study'!$AB$2049</definedName>
    <definedName name="UAcct151Se">'[11]Functional Study'!$AG$2000</definedName>
    <definedName name="UACCT151SSECH">'[11]Functional Study'!$AG$2002</definedName>
    <definedName name="Uacct151SSECT">'[14]Func Study'!$AB$2047</definedName>
    <definedName name="UAcct154">'[14]Func Study'!$AB$2083</definedName>
    <definedName name="UAcct154Sg">'[12]Functional Study'!$AG$1795</definedName>
    <definedName name="UAcct154Sg2">'[12]Functional Study'!#REF!</definedName>
    <definedName name="UACCT154SSGCH">'[11]Functional Study'!$AG$2035</definedName>
    <definedName name="Uacct154SSGCT">'[14]Func Study'!$AB$2080</definedName>
    <definedName name="UAcct163">'[14]Func Study'!$AB$2093</definedName>
    <definedName name="UAcct165">'[14]Func Study'!$AB$2108</definedName>
    <definedName name="UAcct165Gps">'[14]Func Study'!$AB$2104</definedName>
    <definedName name="UAcct182">'[14]Func Study'!$AB$2033</definedName>
    <definedName name="UAcct18222">'[14]Func Study'!$AB$2163</definedName>
    <definedName name="UAcct182M">'[14]Func Study'!$AB$2118</definedName>
    <definedName name="UACCT182MSGCT">'[11]Functional Study'!$AG$2067</definedName>
    <definedName name="UAcct182MSSGCH">'[14]Func Study'!$AB$2113</definedName>
    <definedName name="UAcct186">'[14]Func Study'!$AB$2041</definedName>
    <definedName name="UAcct1869">'[14]Func Study'!$AB$2168</definedName>
    <definedName name="UAcct186M">'[14]Func Study'!$AB$2129</definedName>
    <definedName name="UAcct186Msg">'[12]Functional Study'!#REF!</definedName>
    <definedName name="UAcct190">'[14]Func Study'!$AB$2243</definedName>
    <definedName name="UAcct190Baddebt">'[14]Func Study'!$AB$2237</definedName>
    <definedName name="Uacct190CN">'[11]Functional Study'!$AG$2183</definedName>
    <definedName name="UAcct190Dop">'[14]Func Study'!$AB$2235</definedName>
    <definedName name="UAcct2281">'[14]Func Study'!$AB$2191</definedName>
    <definedName name="UAcct2282">'[14]Func Study'!$AB$2195</definedName>
    <definedName name="UAcct2283">'[14]Func Study'!$AB$2200</definedName>
    <definedName name="UAcct22841">'[11]Functional Study'!$AG$2156</definedName>
    <definedName name="UACCT22841SG">'[14]Func Study'!$AB$2205</definedName>
    <definedName name="UAcct22842">'[14]Func Study'!$AB$2211</definedName>
    <definedName name="UAcct22842Trojd" localSheetId="7">'[13]Func Study'!#REF!</definedName>
    <definedName name="UAcct22842Trojd" localSheetId="1">'[13]Func Study'!#REF!</definedName>
    <definedName name="UAcct22842Trojd" localSheetId="3">'[13]Func Study'!#REF!</definedName>
    <definedName name="UAcct22842Trojd" localSheetId="6">'[13]Func Study'!#REF!</definedName>
    <definedName name="UAcct22842Trojd">'[13]Func Study'!#REF!</definedName>
    <definedName name="UAcct235">'[14]Func Study'!$AB$2187</definedName>
    <definedName name="UACCT235CN">'[14]Func Study'!$AB$2186</definedName>
    <definedName name="UAcct252">'[14]Func Study'!$AB$2219</definedName>
    <definedName name="UAcct25316">'[14]Func Study'!$AB$2057</definedName>
    <definedName name="UAcct25317">'[14]Func Study'!$AB$2061</definedName>
    <definedName name="UAcct25318">'[14]Func Study'!$AB$2098</definedName>
    <definedName name="UAcct25319">'[14]Func Study'!$AB$2065</definedName>
    <definedName name="uacct25398">'[14]Func Study'!$AB$2222</definedName>
    <definedName name="UACCT25398SE">'[11]Functional Study'!$AG$2171</definedName>
    <definedName name="UAcct25399">'[14]Func Study'!$AB$2230</definedName>
    <definedName name="UACCT254">'[11]Functional Study'!$AG$2152</definedName>
    <definedName name="UACCT254SO">'[14]Func Study'!$AB$2202</definedName>
    <definedName name="UAcct255">'[14]Func Study'!$AB$2284</definedName>
    <definedName name="UAcct281">'[14]Func Study'!$AB$2249</definedName>
    <definedName name="UAcct282">'[14]Func Study'!$AB$2259</definedName>
    <definedName name="UAcct282Cn">'[14]Func Study'!$AB$2256</definedName>
    <definedName name="UAcct282Sgp">'[11]Functional Study'!#REF!</definedName>
    <definedName name="UAcct282So">'[14]Func Study'!$AB$2255</definedName>
    <definedName name="UAcct283">'[14]Func Study'!$AB$2271</definedName>
    <definedName name="UAcct283S">'[11]Functional Study'!$AG$2219</definedName>
    <definedName name="UAcct283So">'[14]Func Study'!$AB$2265</definedName>
    <definedName name="UAcct301S">'[14]Func Study'!$AB$1964</definedName>
    <definedName name="UAcct301Sg">'[14]Func Study'!$AB$1966</definedName>
    <definedName name="UAcct301So">'[14]Func Study'!$AB$1965</definedName>
    <definedName name="UAcct302S">'[14]Func Study'!$AB$1969</definedName>
    <definedName name="UAcct302Sg">'[14]Func Study'!$AB$1970</definedName>
    <definedName name="UAcct302Sgp">'[14]Func Study'!$AB$1971</definedName>
    <definedName name="UAcct302Sgu">'[14]Func Study'!$AB$1972</definedName>
    <definedName name="UAcct303Cn">'[14]Func Study'!$AB$1980</definedName>
    <definedName name="UAcct303S">'[14]Func Study'!$AB$1976</definedName>
    <definedName name="UAcct303Se">'[14]Func Study'!$AB$1979</definedName>
    <definedName name="UAcct303Sg">'[14]Func Study'!$AB$1977</definedName>
    <definedName name="UAcct303Sgp">'[11]Functional Study'!$AG$1937</definedName>
    <definedName name="UAcct303Sgu">'[14]Func Study'!$AB$1981</definedName>
    <definedName name="UAcct303So">'[14]Func Study'!$AB$1978</definedName>
    <definedName name="UACCT303SSGCH">'[14]Func Study'!$AB$1983</definedName>
    <definedName name="UAcct310">'[14]Func Study'!$AB$1414</definedName>
    <definedName name="UAcct310Dgu">'[12]Functional Study'!#REF!</definedName>
    <definedName name="UAcct310JBG">'[14]Func Study'!$AB$1413</definedName>
    <definedName name="UAcct310sg">'[12]Functional Study'!$AG$1208</definedName>
    <definedName name="UAcct310Sgp">'[12]Functional Study'!#REF!</definedName>
    <definedName name="UACCT310SSCH">'[11]Functional Study'!$AG$1367</definedName>
    <definedName name="UAcct311">'[14]Func Study'!$AB$1421</definedName>
    <definedName name="UAcct311Dgu">'[12]Functional Study'!#REF!</definedName>
    <definedName name="UAcct311JBG">'[14]Func Study'!$AB$1420</definedName>
    <definedName name="UAcct311sg">'[12]Functional Study'!$AG$1213</definedName>
    <definedName name="UACCT311SGCH">'[11]Functional Study'!$AG$1374</definedName>
    <definedName name="UAcct311Sgu">'[12]Functional Study'!#REF!</definedName>
    <definedName name="UAcct312">'[14]Func Study'!$AB$1428</definedName>
    <definedName name="UAcct312JBG">'[14]Func Study'!$AB$1427</definedName>
    <definedName name="UAcct312S">'[12]Functional Study'!#REF!</definedName>
    <definedName name="UAcct312Sg">'[12]Functional Study'!$AG$1217</definedName>
    <definedName name="UACCT312SGCH">'[11]Functional Study'!$AG$1381</definedName>
    <definedName name="UAcct312Sgu">'[12]Functional Study'!#REF!</definedName>
    <definedName name="UAcct314">'[14]Func Study'!$AB$1435</definedName>
    <definedName name="UAcct314JBG">'[14]Func Study'!$AB$1434</definedName>
    <definedName name="UAcct314Sgp">'[12]Functional Study'!$AG$1221</definedName>
    <definedName name="UAcct314Sgu">'[12]Functional Study'!#REF!</definedName>
    <definedName name="UACCT314SSGCH">'[11]Functional Study'!$AG$1388</definedName>
    <definedName name="UAcct315">'[14]Func Study'!$AB$1442</definedName>
    <definedName name="UAcct315JBG">'[14]Func Study'!$AB$1441</definedName>
    <definedName name="UAcct315Sgp">'[12]Functional Study'!$AG$1225</definedName>
    <definedName name="UAcct315Sgu">'[12]Functional Study'!#REF!</definedName>
    <definedName name="UACCT315SSGCH">'[11]Functional Study'!$AG$1395</definedName>
    <definedName name="UAcct316">'[14]Func Study'!$AB$1450</definedName>
    <definedName name="UAcct316JBG">'[14]Func Study'!$AB$1449</definedName>
    <definedName name="UAcct316Sgp">'[12]Functional Study'!$AG$1229</definedName>
    <definedName name="UAcct316Sgu">'[12]Functional Study'!#REF!</definedName>
    <definedName name="UACCT316SSGCH">'[11]Functional Study'!$AG$1402</definedName>
    <definedName name="UAcct320">'[14]Func Study'!$AB$1466</definedName>
    <definedName name="UAcct320Sgp">'[12]Functional Study'!#REF!</definedName>
    <definedName name="UAcct321">'[14]Func Study'!$AB$1471</definedName>
    <definedName name="UAcct321Sgp">'[12]Functional Study'!#REF!</definedName>
    <definedName name="UAcct322">'[14]Func Study'!$AB$1476</definedName>
    <definedName name="UAcct322Sgp">'[12]Functional Study'!#REF!</definedName>
    <definedName name="UAcct323">'[14]Func Study'!$AB$1481</definedName>
    <definedName name="UAcct323Sgp">'[12]Functional Study'!#REF!</definedName>
    <definedName name="UAcct324">'[14]Func Study'!$AB$1486</definedName>
    <definedName name="UAcct324Sgp">'[12]Functional Study'!#REF!</definedName>
    <definedName name="UAcct325">'[14]Func Study'!$AB$1491</definedName>
    <definedName name="UAcct325Sgp">'[12]Functional Study'!#REF!</definedName>
    <definedName name="UAcct33">'[14]Func Study'!$AB$295</definedName>
    <definedName name="UAcct330">'[14]Func Study'!$AB$1508</definedName>
    <definedName name="UAcct331">'[14]Func Study'!$AB$1513</definedName>
    <definedName name="UAcct332">'[14]Func Study'!$AB$1518</definedName>
    <definedName name="UAcct333">'[14]Func Study'!$AB$1523</definedName>
    <definedName name="UAcct334">'[14]Func Study'!$AB$1528</definedName>
    <definedName name="UAcct335">'[14]Func Study'!$AB$1533</definedName>
    <definedName name="UAcct336">'[14]Func Study'!$AB$1539</definedName>
    <definedName name="UAcct340Dgu">'[14]Func Study'!$AB$1564</definedName>
    <definedName name="UAcct340Sgu">'[14]Func Study'!$AB$1565</definedName>
    <definedName name="UACCT340SGW">'[39]Functional Study'!$AG$1517</definedName>
    <definedName name="UACCT340SSGCT">'[11]Functional Study'!$AG$1518</definedName>
    <definedName name="UAcct341Dgu">'[14]Func Study'!$AB$1569</definedName>
    <definedName name="UAcct341Sgu">'[14]Func Study'!$AB$1570</definedName>
    <definedName name="UACCT341SGW">'[39]Functional Study'!$AG$1524</definedName>
    <definedName name="UACCT341SSGCT">'[11]Functional Study'!$AG$1524</definedName>
    <definedName name="UAcct342Dgu">'[14]Func Study'!$AB$1574</definedName>
    <definedName name="UAcct342Sgu">'[14]Func Study'!$AB$1575</definedName>
    <definedName name="UACCT342SSGCT">'[11]Functional Study'!$AG$1530</definedName>
    <definedName name="UAcct343">'[14]Func Study'!$AB$1584</definedName>
    <definedName name="UAcct343SGW">'[39]Functional Study'!$AG$1536</definedName>
    <definedName name="UACCT343SSCCT">'[11]Functional Study'!$AG$1537</definedName>
    <definedName name="UAcct344">'[12]Functional Study'!$AG$1354</definedName>
    <definedName name="UAcct344S">'[14]Func Study'!$AB$1587</definedName>
    <definedName name="UAcct344Sgp">'[14]Func Study'!$AB$1588</definedName>
    <definedName name="UAcct344Sgu">'[11]Functional Study'!$AG$1543</definedName>
    <definedName name="UAcct344SGW">'[39]Functional Study'!$AG$1542</definedName>
    <definedName name="UACCT344SSGCT">'[11]Functional Study'!$AG$1544</definedName>
    <definedName name="UAcct345">'[12]Functional Study'!$AG$1359</definedName>
    <definedName name="UAcct345Dgu">'[14]Func Study'!$AB$1594</definedName>
    <definedName name="UAcct345SG">'[12]Functional Study'!$AG$1357</definedName>
    <definedName name="UAcct345Sgu">'[14]Func Study'!$AB$1595</definedName>
    <definedName name="UAcct345SGW">'[39]Functional Study'!$AG$1549</definedName>
    <definedName name="UACCT345SSGCT">'[11]Functional Study'!$AG$1550</definedName>
    <definedName name="UAcct346">'[14]Func Study'!$AB$1601</definedName>
    <definedName name="UACCT346SGW">'[39]Functional Study'!$AG$1555</definedName>
    <definedName name="UAcct350">'[14]Func Study'!$AB$1628</definedName>
    <definedName name="UAcct352">'[14]Func Study'!$AB$1635</definedName>
    <definedName name="UAcct353">'[14]Func Study'!$AB$1641</definedName>
    <definedName name="UAcct354">'[14]Func Study'!$AB$1647</definedName>
    <definedName name="UAcct355">'[14]Func Study'!$AB$1654</definedName>
    <definedName name="UAcct356">'[14]Func Study'!$AB$1660</definedName>
    <definedName name="UAcct357">'[14]Func Study'!$AB$1666</definedName>
    <definedName name="UAcct358">'[14]Func Study'!$AB$1672</definedName>
    <definedName name="UAcct359">'[14]Func Study'!$AB$1678</definedName>
    <definedName name="UAcct360">'[14]Func Study'!$AB$1698</definedName>
    <definedName name="UAcct361">'[14]Func Study'!$AB$1704</definedName>
    <definedName name="UAcct362">'[14]Func Study'!$AB$1710</definedName>
    <definedName name="UAcct368">'[14]Func Study'!$AB$1744</definedName>
    <definedName name="UAcct369">'[14]Func Study'!$AB$1751</definedName>
    <definedName name="UAcct369Cug">'[39]Functional Study'!#REF!</definedName>
    <definedName name="UAcct370">'[14]Func Study'!$AB$1762</definedName>
    <definedName name="UAcct372A">'[14]Func Study'!$AB$1775</definedName>
    <definedName name="UAcct372Dp">'[14]Func Study'!$AB$1773</definedName>
    <definedName name="UAcct372Ds">'[14]Func Study'!$AB$1774</definedName>
    <definedName name="UAcct373">'[14]Func Study'!$AB$1782</definedName>
    <definedName name="UAcct389Cn">'[14]Func Study'!$AB$1800</definedName>
    <definedName name="UAcct389S">'[14]Func Study'!$AB$1799</definedName>
    <definedName name="UAcct389Sg">'[14]Func Study'!$AB$1802</definedName>
    <definedName name="UAcct389Sgu">'[14]Func Study'!$AB$1801</definedName>
    <definedName name="UAcct389So">'[14]Func Study'!$AB$1803</definedName>
    <definedName name="UAcct390Cn">'[14]Func Study'!$AB$1810</definedName>
    <definedName name="UAcct390JBG">'[14]Func Study'!$AB$1812</definedName>
    <definedName name="UAcct390L">'[14]Func Study'!$AB$1927</definedName>
    <definedName name="UACCT390LRCL">'[14]Func Study'!$AB$1929</definedName>
    <definedName name="UAcct390S">'[14]Func Study'!$AB$1807</definedName>
    <definedName name="UAcct390Sgp">'[14]Func Study'!$AB$1808</definedName>
    <definedName name="UAcct390Sgu">'[14]Func Study'!$AB$1809</definedName>
    <definedName name="UAcct390Sop">'[14]Func Study'!$AB$1811</definedName>
    <definedName name="UAcct390Sou">'[14]Func Study'!$AB$1813</definedName>
    <definedName name="UAcct391Cn">'[14]Func Study'!$AB$1820</definedName>
    <definedName name="UACCT391JBE">'[14]Func Study'!$AB$1825</definedName>
    <definedName name="UAcct391S">'[14]Func Study'!$AB$1817</definedName>
    <definedName name="UAcct391Se">'[11]Functional Study'!$AG$1779</definedName>
    <definedName name="UAcct391Sg">'[14]Func Study'!$AB$1821</definedName>
    <definedName name="UAcct391Sgp">'[14]Func Study'!$AB$1818</definedName>
    <definedName name="UAcct391Sgu">'[14]Func Study'!$AB$1819</definedName>
    <definedName name="UAcct391So">'[14]Func Study'!$AB$1823</definedName>
    <definedName name="UACCT391SSGCH">'[14]Func Study'!$AB$1824</definedName>
    <definedName name="UACCT391SSGCT">'[11]Functional Study'!$AG$1782</definedName>
    <definedName name="UAcct392Cn">'[14]Func Study'!$AB$1832</definedName>
    <definedName name="UAcct392L">'[14]Func Study'!$AB$1935</definedName>
    <definedName name="UAcct392Lrcl">'[14]Func Study'!$AB$1937</definedName>
    <definedName name="UAcct392S">'[14]Func Study'!$AB$1829</definedName>
    <definedName name="UAcct392Se">'[14]Func Study'!$AB$1834</definedName>
    <definedName name="UAcct392Sg">'[14]Func Study'!$AB$1831</definedName>
    <definedName name="UAcct392Sgp">'[14]Func Study'!$AB$1835</definedName>
    <definedName name="UAcct392Sgu">'[14]Func Study'!$AB$1833</definedName>
    <definedName name="UAcct392So">'[14]Func Study'!$AB$1830</definedName>
    <definedName name="UACCT392SSGCH">'[14]Func Study'!$AB$1836</definedName>
    <definedName name="UACCT392SSGCT">'[11]Functional Study'!$AG$1794</definedName>
    <definedName name="UAcct393S">'[14]Func Study'!$AB$1841</definedName>
    <definedName name="UAcct393Sg">'[14]Func Study'!$AB$1845</definedName>
    <definedName name="UAcct393Sgp">'[14]Func Study'!$AB$1842</definedName>
    <definedName name="UAcct393Sgu">'[14]Func Study'!$AB$1843</definedName>
    <definedName name="UAcct393So">'[14]Func Study'!$AB$1844</definedName>
    <definedName name="UACCT393SSGCT">'[14]Func Study'!$AB$1846</definedName>
    <definedName name="UAcct394S">'[14]Func Study'!$AB$1850</definedName>
    <definedName name="UAcct394Se">'[14]Func Study'!$AB$1854</definedName>
    <definedName name="UAcct394Sg">'[14]Func Study'!$AB$1855</definedName>
    <definedName name="UAcct394Sgp">'[14]Func Study'!$AB$1851</definedName>
    <definedName name="UAcct394Sgu">'[14]Func Study'!$AB$1852</definedName>
    <definedName name="UAcct394So">'[14]Func Study'!$AB$1853</definedName>
    <definedName name="UACCT394SSGCH">'[14]Func Study'!$AB$1856</definedName>
    <definedName name="UACCT394SSGCT">'[11]Functional Study'!$AG$1814</definedName>
    <definedName name="UAcct395S">'[14]Func Study'!$AB$1861</definedName>
    <definedName name="UAcct395Se">'[14]Func Study'!$AB$1865</definedName>
    <definedName name="UAcct395Sg">'[14]Func Study'!$AB$1866</definedName>
    <definedName name="UAcct395Sgp">'[14]Func Study'!$AB$1862</definedName>
    <definedName name="UAcct395Sgu">'[14]Func Study'!$AB$1863</definedName>
    <definedName name="UAcct395So">'[14]Func Study'!$AB$1864</definedName>
    <definedName name="UACCT395SSGCH">'[14]Func Study'!$AB$1867</definedName>
    <definedName name="UACCT395SSGCT">'[11]Functional Study'!$AG$1825</definedName>
    <definedName name="UAcct396S">'[14]Func Study'!$AB$1872</definedName>
    <definedName name="UAcct396Se">'[14]Func Study'!$AB$1877</definedName>
    <definedName name="UAcct396Sg">'[14]Func Study'!$AB$1874</definedName>
    <definedName name="UAcct396Sgp">'[14]Func Study'!$AB$1873</definedName>
    <definedName name="UAcct396Sgu">'[14]Func Study'!$AB$1876</definedName>
    <definedName name="UAcct396So">'[14]Func Study'!$AB$1875</definedName>
    <definedName name="UACCT396SSGCH">'[14]Func Study'!$AB$1879</definedName>
    <definedName name="UACCT396SSGCT">'[14]Func Study'!$AB$1878</definedName>
    <definedName name="UAcct397Cn">'[14]Func Study'!$AB$1890</definedName>
    <definedName name="UAcct397JBG">'[14]Func Study'!$AB$1893</definedName>
    <definedName name="UAcct397S">'[14]Func Study'!$AB$1886</definedName>
    <definedName name="UAcct397Se">'[14]Func Study'!$AB$1892</definedName>
    <definedName name="UAcct397Sg">'[14]Func Study'!$AB$1891</definedName>
    <definedName name="UAcct397Sgp">'[14]Func Study'!$AB$1887</definedName>
    <definedName name="UAcct397Sgu">'[14]Func Study'!$AB$1888</definedName>
    <definedName name="UAcct397So">'[14]Func Study'!$AB$1889</definedName>
    <definedName name="UACCT397SSGCH">'[11]Functional Study'!$AG$1850</definedName>
    <definedName name="UACCT397SSGCT">'[11]Functional Study'!$AG$1851</definedName>
    <definedName name="UAcct398Cn">'[14]Func Study'!$AB$1902</definedName>
    <definedName name="UAcct398S">'[14]Func Study'!$AB$1899</definedName>
    <definedName name="UAcct398Se">'[14]Func Study'!$AB$1904</definedName>
    <definedName name="UAcct398Sg">'[14]Func Study'!$AB$1905</definedName>
    <definedName name="UAcct398Sgp">'[14]Func Study'!$AB$1900</definedName>
    <definedName name="UAcct398Sgu">'[14]Func Study'!$AB$1901</definedName>
    <definedName name="UAcct398So">'[14]Func Study'!$AB$1903</definedName>
    <definedName name="UACCT398SSGCT">'[14]Func Study'!$AB$1906</definedName>
    <definedName name="UAcct399">'[14]Func Study'!$AB$1913</definedName>
    <definedName name="UAcct399G">'[14]Func Study'!$AB$1955</definedName>
    <definedName name="UAcct399L">'[14]Func Study'!$AB$1917</definedName>
    <definedName name="UAcct399Lrcl">'[14]Func Study'!$AB$1919</definedName>
    <definedName name="UAcct403360">'[14]Func Study'!$AB$1090</definedName>
    <definedName name="UAcct403361">'[14]Func Study'!$AB$1091</definedName>
    <definedName name="UAcct403362">'[14]Func Study'!$AB$1092</definedName>
    <definedName name="UAcct403363">'[11]Functional Study'!$AG$1076</definedName>
    <definedName name="UAcct403364">'[14]Func Study'!$AB$1094</definedName>
    <definedName name="UAcct403365">'[14]Func Study'!$AB$1095</definedName>
    <definedName name="UAcct403366">'[14]Func Study'!$AB$1096</definedName>
    <definedName name="UAcct403367">'[14]Func Study'!$AB$1097</definedName>
    <definedName name="UAcct403368">'[14]Func Study'!$AB$1098</definedName>
    <definedName name="UAcct403369">'[14]Func Study'!$AB$1099</definedName>
    <definedName name="UAcct403370">'[14]Func Study'!$AB$1100</definedName>
    <definedName name="UAcct403371">'[14]Func Study'!$AB$1101</definedName>
    <definedName name="UAcct403372">'[14]Func Study'!$AB$1102</definedName>
    <definedName name="UAcct403373">'[14]Func Study'!$AB$1103</definedName>
    <definedName name="UAcct403Ep">'[14]Func Study'!$AB$1130</definedName>
    <definedName name="UAcct403Epsg">'[12]Functional Study'!#REF!</definedName>
    <definedName name="UAcct403Gpcn">'[14]Func Study'!$AB$1111</definedName>
    <definedName name="UAcct403GPDGP">'[14]Func Study'!$AB$1108</definedName>
    <definedName name="UAcct403GPDGU">'[14]Func Study'!$AB$1109</definedName>
    <definedName name="UAcct403GPJBG">'[14]Func Study'!$AB$1115</definedName>
    <definedName name="UAcct403Gps">'[14]Func Study'!$AB$1107</definedName>
    <definedName name="UAcct403Gpse">'[11]Functional Study'!$AG$1093</definedName>
    <definedName name="UAcct403Gpsg">'[14]Func Study'!$AB$1112</definedName>
    <definedName name="UACCT403gpsg1">'[12]Functional Study'!$AG$991</definedName>
    <definedName name="UAcct403Gpsgp">'[11]Functional Study'!$AG$1091</definedName>
    <definedName name="UAcct403Gpsgu">'[11]Functional Study'!$AG$1092</definedName>
    <definedName name="UAcct403Gpso">'[14]Func Study'!$AB$1113</definedName>
    <definedName name="UACCT403GPSSGCT">'[11]Functional Study'!$AG$1097</definedName>
    <definedName name="UAcct403Gv0">'[14]Func Study'!$AB$1121</definedName>
    <definedName name="UAcct403Hp">'[14]Func Study'!$AB$1072</definedName>
    <definedName name="UAcct403Hpdgu">'[12]Functional Study'!#REF!</definedName>
    <definedName name="UACCT403JBE">'[14]Func Study'!$AB$1116</definedName>
    <definedName name="UAcct403Mp">'[14]Func Study'!$AB$1125</definedName>
    <definedName name="UAcct403Np">'[14]Func Study'!$AB$1065</definedName>
    <definedName name="UAcct403Op">'[14]Func Study'!$AB$1080</definedName>
    <definedName name="UAcct403OPCAGE">'[14]Func Study'!$AB$1078</definedName>
    <definedName name="UAcct403Opsgp">'[11]Functional Study'!$AG$1060</definedName>
    <definedName name="UAcct403Opsgu">'[11]Functional Study'!$AG$1061</definedName>
    <definedName name="uacct403opsgw">'[39]Functional Study'!$AG$1063</definedName>
    <definedName name="uacct403opssgch">'[11]Functional Study'!$AG$1063</definedName>
    <definedName name="uacct403opssgct">'[11]Functional Study'!$AG$1062</definedName>
    <definedName name="UAcct403Sp">'[14]Func Study'!$AB$1061</definedName>
    <definedName name="uacct403spdg">'[11]Functional Study'!$AG$1046</definedName>
    <definedName name="UAcct403SPJBG">'[14]Func Study'!$AB$1058</definedName>
    <definedName name="UAcct403Spsgp">'[11]Functional Study'!$AG$1043</definedName>
    <definedName name="UAcct403Spsgu">'[11]Functional Study'!$AG$1044</definedName>
    <definedName name="UACCT403SPSSGCH">'[11]Functional Study'!$AG$1045</definedName>
    <definedName name="uacct403ssgch">'[11]Functional Study'!$AG$1098</definedName>
    <definedName name="UAcct403Tp">'[14]Func Study'!$AB$1087</definedName>
    <definedName name="UAcct403Tpsgu">'[12]Functional Study'!#REF!</definedName>
    <definedName name="UAcct404330">'[14]Func Study'!$AB$1177</definedName>
    <definedName name="UAcct404330Dgu">'[12]Functional Study'!#REF!</definedName>
    <definedName name="UAcct404Clg">'[11]Functional Study'!$AG$1127</definedName>
    <definedName name="UAcct404Clgsop">'[11]Functional Study'!$AG$1125</definedName>
    <definedName name="UAcct404Clgsou">'[11]Functional Study'!$AG$1123</definedName>
    <definedName name="UAcct404Cls">'[11]Functional Study'!$AG$1132</definedName>
    <definedName name="UACCT404GP">'[14]Func Study'!$AB$1146</definedName>
    <definedName name="UACCT404GPCN">'[14]Func Study'!$AB$1143</definedName>
    <definedName name="UACCT404GPSO">'[14]Func Study'!$AB$1141</definedName>
    <definedName name="UAcct404Ipcn">'[14]Func Study'!$AB$1158</definedName>
    <definedName name="UACCT404IPIDGU">'[11]Functional Study'!$AG$1143</definedName>
    <definedName name="UAcct404IPJBG">'[14]Func Study'!$AB$1163</definedName>
    <definedName name="UAcct404Ips">'[14]Func Study'!$AB$1154</definedName>
    <definedName name="UAcct404Ipse">'[14]Func Study'!$AB$1155</definedName>
    <definedName name="UAcct404Ipsg">'[14]Func Study'!$AB$1156</definedName>
    <definedName name="UAcct404Ipsg1">'[14]Func Study'!$AB$1159</definedName>
    <definedName name="UAcct404Ipsg2">'[14]Func Study'!$AB$1160</definedName>
    <definedName name="UAcct404Ipso">'[14]Func Study'!$AB$1157</definedName>
    <definedName name="UACCT404IPSSGCH">'[11]Functional Study'!$AG$1142</definedName>
    <definedName name="UACCT404IPSSGCT">'[11]Functional Study'!$AG$1141</definedName>
    <definedName name="UAcct404M">'[14]Func Study'!$AB$1168</definedName>
    <definedName name="UACCT404OP">'[14]Func Study'!$AB$1172</definedName>
    <definedName name="UACCT404SP">'[14]Func Study'!$AB$1151</definedName>
    <definedName name="UAcct405">'[14]Func Study'!$AB$1185</definedName>
    <definedName name="UAcct406">'[14]Func Study'!$AB$1193</definedName>
    <definedName name="UAcct406Dgp">'[12]Functional Study'!#REF!</definedName>
    <definedName name="UAcct406Dgu">'[12]Functional Study'!#REF!</definedName>
    <definedName name="UAcct407">'[14]Func Study'!$AB$1202</definedName>
    <definedName name="UAcct407Sgp">'[12]Functional Study'!#REF!</definedName>
    <definedName name="UAcct408">'[14]Func Study'!$AB$1221</definedName>
    <definedName name="UAcct408S">'[14]Func Study'!$AB$1213</definedName>
    <definedName name="UAcct41010">'[14]Func Study'!$AB$1294</definedName>
    <definedName name="UAcct41011">'[14]Func Study'!$AB$1309</definedName>
    <definedName name="UACCT41020" localSheetId="7">'[15]Functional Study'!#REF!</definedName>
    <definedName name="UACCT41020" localSheetId="1">'[15]Functional Study'!#REF!</definedName>
    <definedName name="UACCT41020" localSheetId="3">'[15]Functional Study'!#REF!</definedName>
    <definedName name="UACCT41020" localSheetId="4">'[15]Functional Study'!#REF!</definedName>
    <definedName name="UACCT41020" localSheetId="6">'[15]Functional Study'!#REF!</definedName>
    <definedName name="UACCT41020">'[16]Functional Study'!#REF!</definedName>
    <definedName name="UACCT41020BADDEBT" localSheetId="7">'[15]Functional Study'!#REF!</definedName>
    <definedName name="UACCT41020BADDEBT" localSheetId="1">'[15]Functional Study'!#REF!</definedName>
    <definedName name="UACCT41020BADDEBT" localSheetId="3">'[15]Functional Study'!#REF!</definedName>
    <definedName name="UACCT41020BADDEBT" localSheetId="4">'[15]Functional Study'!#REF!</definedName>
    <definedName name="UACCT41020BADDEBT" localSheetId="6">'[15]Functional Study'!#REF!</definedName>
    <definedName name="UACCT41020BADDEBT">'[16]Functional Study'!#REF!</definedName>
    <definedName name="UACCT41020DITEXP" localSheetId="7">'[15]Functional Study'!#REF!</definedName>
    <definedName name="UACCT41020DITEXP" localSheetId="1">'[15]Functional Study'!#REF!</definedName>
    <definedName name="UACCT41020DITEXP" localSheetId="3">'[15]Functional Study'!#REF!</definedName>
    <definedName name="UACCT41020DITEXP" localSheetId="4">'[15]Functional Study'!#REF!</definedName>
    <definedName name="UACCT41020DITEXP" localSheetId="6">'[15]Functional Study'!#REF!</definedName>
    <definedName name="UACCT41020DITEXP">'[16]Functional Study'!#REF!</definedName>
    <definedName name="UACCT41020DNPU" localSheetId="7">'[15]Functional Study'!#REF!</definedName>
    <definedName name="UACCT41020DNPU" localSheetId="1">'[15]Functional Study'!#REF!</definedName>
    <definedName name="UACCT41020DNPU" localSheetId="3">'[15]Functional Study'!#REF!</definedName>
    <definedName name="UACCT41020DNPU" localSheetId="4">'[15]Functional Study'!#REF!</definedName>
    <definedName name="UACCT41020DNPU" localSheetId="6">'[15]Functional Study'!#REF!</definedName>
    <definedName name="UACCT41020DNPU">'[16]Functional Study'!#REF!</definedName>
    <definedName name="UACCT41020S" localSheetId="7">'[15]Functional Study'!#REF!</definedName>
    <definedName name="UACCT41020S" localSheetId="1">'[15]Functional Study'!#REF!</definedName>
    <definedName name="UACCT41020S" localSheetId="3">'[15]Functional Study'!#REF!</definedName>
    <definedName name="UACCT41020S" localSheetId="4">'[15]Functional Study'!#REF!</definedName>
    <definedName name="UACCT41020S" localSheetId="6">'[15]Functional Study'!#REF!</definedName>
    <definedName name="UACCT41020S">'[16]Functional Study'!#REF!</definedName>
    <definedName name="UACCT41020SE" localSheetId="7">'[15]Functional Study'!#REF!</definedName>
    <definedName name="UACCT41020SE" localSheetId="1">'[15]Functional Study'!#REF!</definedName>
    <definedName name="UACCT41020SE" localSheetId="3">'[15]Functional Study'!#REF!</definedName>
    <definedName name="UACCT41020SE" localSheetId="4">'[15]Functional Study'!#REF!</definedName>
    <definedName name="UACCT41020SE" localSheetId="6">'[15]Functional Study'!#REF!</definedName>
    <definedName name="UACCT41020SE">'[16]Functional Study'!#REF!</definedName>
    <definedName name="UACCT41020SG" localSheetId="7">'[15]Functional Study'!#REF!</definedName>
    <definedName name="UACCT41020SG" localSheetId="1">'[15]Functional Study'!#REF!</definedName>
    <definedName name="UACCT41020SG" localSheetId="3">'[15]Functional Study'!#REF!</definedName>
    <definedName name="UACCT41020SG" localSheetId="4">'[15]Functional Study'!#REF!</definedName>
    <definedName name="UACCT41020SG" localSheetId="6">'[15]Functional Study'!#REF!</definedName>
    <definedName name="UACCT41020SG">'[16]Functional Study'!#REF!</definedName>
    <definedName name="UACCT41020SGCT" localSheetId="7">'[15]Functional Study'!#REF!</definedName>
    <definedName name="UACCT41020SGCT" localSheetId="1">'[15]Functional Study'!#REF!</definedName>
    <definedName name="UACCT41020SGCT" localSheetId="3">'[15]Functional Study'!#REF!</definedName>
    <definedName name="UACCT41020SGCT" localSheetId="4">'[15]Functional Study'!#REF!</definedName>
    <definedName name="UACCT41020SGCT" localSheetId="6">'[15]Functional Study'!#REF!</definedName>
    <definedName name="UACCT41020SGCT">'[16]Functional Study'!#REF!</definedName>
    <definedName name="UACCT41020SGPP" localSheetId="7">'[15]Functional Study'!#REF!</definedName>
    <definedName name="UACCT41020SGPP" localSheetId="1">'[15]Functional Study'!#REF!</definedName>
    <definedName name="UACCT41020SGPP" localSheetId="3">'[15]Functional Study'!#REF!</definedName>
    <definedName name="UACCT41020SGPP" localSheetId="4">'[15]Functional Study'!#REF!</definedName>
    <definedName name="UACCT41020SGPP" localSheetId="6">'[15]Functional Study'!#REF!</definedName>
    <definedName name="UACCT41020SGPP">'[16]Functional Study'!#REF!</definedName>
    <definedName name="UACCT41020SO" localSheetId="7">'[15]Functional Study'!#REF!</definedName>
    <definedName name="UACCT41020SO" localSheetId="1">'[15]Functional Study'!#REF!</definedName>
    <definedName name="UACCT41020SO" localSheetId="3">'[15]Functional Study'!#REF!</definedName>
    <definedName name="UACCT41020SO" localSheetId="4">'[15]Functional Study'!#REF!</definedName>
    <definedName name="UACCT41020SO" localSheetId="6">'[15]Functional Study'!#REF!</definedName>
    <definedName name="UACCT41020SO">'[16]Functional Study'!#REF!</definedName>
    <definedName name="UACCT41020TROJP" localSheetId="7">'[15]Functional Study'!#REF!</definedName>
    <definedName name="UACCT41020TROJP" localSheetId="1">'[15]Functional Study'!#REF!</definedName>
    <definedName name="UACCT41020TROJP" localSheetId="3">'[15]Functional Study'!#REF!</definedName>
    <definedName name="UACCT41020TROJP" localSheetId="4">'[15]Functional Study'!#REF!</definedName>
    <definedName name="UACCT41020TROJP" localSheetId="6">'[15]Functional Study'!#REF!</definedName>
    <definedName name="UACCT41020TROJP">'[16]Functional Study'!#REF!</definedName>
    <definedName name="UACCT4102SNPD" localSheetId="7">'[15]Functional Study'!#REF!</definedName>
    <definedName name="UACCT4102SNPD" localSheetId="1">'[15]Functional Study'!#REF!</definedName>
    <definedName name="UACCT4102SNPD" localSheetId="3">'[15]Functional Study'!#REF!</definedName>
    <definedName name="UACCT4102SNPD" localSheetId="4">'[15]Functional Study'!#REF!</definedName>
    <definedName name="UACCT4102SNPD" localSheetId="6">'[15]Functional Study'!#REF!</definedName>
    <definedName name="UACCT4102SNPD">'[16]Functional Study'!#REF!</definedName>
    <definedName name="UAcct41110">'[14]Func Study'!$AB$1325</definedName>
    <definedName name="uacct41110sgct">'[12]Functional Study'!#REF!</definedName>
    <definedName name="UAcct41111" localSheetId="7">'[15]Functional Study'!#REF!</definedName>
    <definedName name="UAcct41111" localSheetId="1">'[15]Functional Study'!#REF!</definedName>
    <definedName name="UAcct41111" localSheetId="3">'[15]Functional Study'!#REF!</definedName>
    <definedName name="UAcct41111" localSheetId="4">'[15]Functional Study'!#REF!</definedName>
    <definedName name="UAcct41111" localSheetId="6">'[15]Functional Study'!#REF!</definedName>
    <definedName name="UAcct41111">'[16]Functional Study'!#REF!</definedName>
    <definedName name="UAcct41111Baddebt" localSheetId="7">'[15]Functional Study'!#REF!</definedName>
    <definedName name="UAcct41111Baddebt" localSheetId="1">'[15]Functional Study'!#REF!</definedName>
    <definedName name="UAcct41111Baddebt" localSheetId="3">'[15]Functional Study'!#REF!</definedName>
    <definedName name="UAcct41111Baddebt" localSheetId="4">'[15]Functional Study'!#REF!</definedName>
    <definedName name="UAcct41111Baddebt" localSheetId="6">'[15]Functional Study'!#REF!</definedName>
    <definedName name="UAcct41111Baddebt">'[16]Functional Study'!#REF!</definedName>
    <definedName name="UAcct41111Dgp" localSheetId="7">'[15]Functional Study'!#REF!</definedName>
    <definedName name="UAcct41111Dgp" localSheetId="1">'[15]Functional Study'!#REF!</definedName>
    <definedName name="UAcct41111Dgp" localSheetId="3">'[15]Functional Study'!#REF!</definedName>
    <definedName name="UAcct41111Dgp" localSheetId="4">'[15]Functional Study'!#REF!</definedName>
    <definedName name="UAcct41111Dgp" localSheetId="6">'[15]Functional Study'!#REF!</definedName>
    <definedName name="UAcct41111Dgp">'[16]Functional Study'!#REF!</definedName>
    <definedName name="UAcct41111Dgu" localSheetId="7">'[15]Functional Study'!#REF!</definedName>
    <definedName name="UAcct41111Dgu" localSheetId="1">'[15]Functional Study'!#REF!</definedName>
    <definedName name="UAcct41111Dgu" localSheetId="3">'[15]Functional Study'!#REF!</definedName>
    <definedName name="UAcct41111Dgu" localSheetId="4">'[15]Functional Study'!#REF!</definedName>
    <definedName name="UAcct41111Dgu" localSheetId="6">'[15]Functional Study'!#REF!</definedName>
    <definedName name="UAcct41111Dgu">'[16]Functional Study'!#REF!</definedName>
    <definedName name="UAcct41111Ditexp" localSheetId="7">'[15]Functional Study'!#REF!</definedName>
    <definedName name="UAcct41111Ditexp" localSheetId="1">'[15]Functional Study'!#REF!</definedName>
    <definedName name="UAcct41111Ditexp" localSheetId="3">'[15]Functional Study'!#REF!</definedName>
    <definedName name="UAcct41111Ditexp" localSheetId="4">'[15]Functional Study'!#REF!</definedName>
    <definedName name="UAcct41111Ditexp" localSheetId="6">'[15]Functional Study'!#REF!</definedName>
    <definedName name="UAcct41111Ditexp">'[16]Functional Study'!#REF!</definedName>
    <definedName name="UAcct41111Dnpp" localSheetId="7">'[15]Functional Study'!#REF!</definedName>
    <definedName name="UAcct41111Dnpp" localSheetId="1">'[15]Functional Study'!#REF!</definedName>
    <definedName name="UAcct41111Dnpp" localSheetId="3">'[15]Functional Study'!#REF!</definedName>
    <definedName name="UAcct41111Dnpp" localSheetId="4">'[15]Functional Study'!#REF!</definedName>
    <definedName name="UAcct41111Dnpp" localSheetId="6">'[15]Functional Study'!#REF!</definedName>
    <definedName name="UAcct41111Dnpp">'[16]Functional Study'!#REF!</definedName>
    <definedName name="UAcct41111Dnptp" localSheetId="7">'[15]Functional Study'!#REF!</definedName>
    <definedName name="UAcct41111Dnptp" localSheetId="1">'[15]Functional Study'!#REF!</definedName>
    <definedName name="UAcct41111Dnptp" localSheetId="3">'[15]Functional Study'!#REF!</definedName>
    <definedName name="UAcct41111Dnptp" localSheetId="4">'[15]Functional Study'!#REF!</definedName>
    <definedName name="UAcct41111Dnptp" localSheetId="6">'[15]Functional Study'!#REF!</definedName>
    <definedName name="UAcct41111Dnptp">'[16]Functional Study'!#REF!</definedName>
    <definedName name="UAcct41111S" localSheetId="7">'[15]Functional Study'!#REF!</definedName>
    <definedName name="UAcct41111S" localSheetId="1">'[15]Functional Study'!#REF!</definedName>
    <definedName name="UAcct41111S" localSheetId="3">'[15]Functional Study'!#REF!</definedName>
    <definedName name="UAcct41111S" localSheetId="4">'[15]Functional Study'!#REF!</definedName>
    <definedName name="UAcct41111S" localSheetId="6">'[15]Functional Study'!#REF!</definedName>
    <definedName name="UAcct41111S">'[16]Functional Study'!#REF!</definedName>
    <definedName name="UAcct41111Se" localSheetId="7">'[15]Functional Study'!#REF!</definedName>
    <definedName name="UAcct41111Se" localSheetId="1">'[15]Functional Study'!#REF!</definedName>
    <definedName name="UAcct41111Se" localSheetId="3">'[15]Functional Study'!#REF!</definedName>
    <definedName name="UAcct41111Se" localSheetId="4">'[15]Functional Study'!#REF!</definedName>
    <definedName name="UAcct41111Se" localSheetId="6">'[15]Functional Study'!#REF!</definedName>
    <definedName name="UAcct41111Se">'[16]Functional Study'!#REF!</definedName>
    <definedName name="UAcct41111Sg" localSheetId="7">'[15]Functional Study'!#REF!</definedName>
    <definedName name="UAcct41111Sg" localSheetId="1">'[15]Functional Study'!#REF!</definedName>
    <definedName name="UAcct41111Sg" localSheetId="3">'[15]Functional Study'!#REF!</definedName>
    <definedName name="UAcct41111Sg" localSheetId="4">'[15]Functional Study'!#REF!</definedName>
    <definedName name="UAcct41111Sg" localSheetId="6">'[15]Functional Study'!#REF!</definedName>
    <definedName name="UAcct41111Sg">'[16]Functional Study'!#REF!</definedName>
    <definedName name="UAcct41111Sgpp" localSheetId="7">'[15]Functional Study'!#REF!</definedName>
    <definedName name="UAcct41111Sgpp" localSheetId="1">'[15]Functional Study'!#REF!</definedName>
    <definedName name="UAcct41111Sgpp" localSheetId="3">'[15]Functional Study'!#REF!</definedName>
    <definedName name="UAcct41111Sgpp" localSheetId="4">'[15]Functional Study'!#REF!</definedName>
    <definedName name="UAcct41111Sgpp" localSheetId="6">'[15]Functional Study'!#REF!</definedName>
    <definedName name="UAcct41111Sgpp">'[16]Functional Study'!#REF!</definedName>
    <definedName name="UAcct41111So" localSheetId="7">'[15]Functional Study'!#REF!</definedName>
    <definedName name="UAcct41111So" localSheetId="1">'[15]Functional Study'!#REF!</definedName>
    <definedName name="UAcct41111So" localSheetId="3">'[15]Functional Study'!#REF!</definedName>
    <definedName name="UAcct41111So" localSheetId="4">'[15]Functional Study'!#REF!</definedName>
    <definedName name="UAcct41111So" localSheetId="6">'[15]Functional Study'!#REF!</definedName>
    <definedName name="UAcct41111So">'[16]Functional Study'!#REF!</definedName>
    <definedName name="UAcct41111Trojp" localSheetId="7">'[15]Functional Study'!#REF!</definedName>
    <definedName name="UAcct41111Trojp" localSheetId="1">'[15]Functional Study'!#REF!</definedName>
    <definedName name="UAcct41111Trojp" localSheetId="3">'[15]Functional Study'!#REF!</definedName>
    <definedName name="UAcct41111Trojp" localSheetId="4">'[15]Functional Study'!#REF!</definedName>
    <definedName name="UAcct41111Trojp" localSheetId="6">'[15]Functional Study'!#REF!</definedName>
    <definedName name="UAcct41111Trojp">'[16]Functional Study'!#REF!</definedName>
    <definedName name="UAcct41140">'[14]Func Study'!$AB$1232</definedName>
    <definedName name="UAcct41141">'[14]Func Study'!$AB$1237</definedName>
    <definedName name="UAcct41160">'[14]Func Study'!$AB$369</definedName>
    <definedName name="UAcct41170">'[14]Func Study'!$AB$374</definedName>
    <definedName name="UAcct4118">'[14]Func Study'!$AB$378</definedName>
    <definedName name="UAcct41181">'[14]Func Study'!$AB$381</definedName>
    <definedName name="UAcct4194">'[14]Func Study'!$AB$385</definedName>
    <definedName name="UAcct421">'[14]Func Study'!$AB$394</definedName>
    <definedName name="UAcct4311">'[14]Func Study'!$AB$401</definedName>
    <definedName name="UAcct442Se">'[14]Func Study'!$AB$259</definedName>
    <definedName name="UAcct442Sg">'[14]Func Study'!$AB$260</definedName>
    <definedName name="UAcct447">'[14]Func Study'!$AB$281</definedName>
    <definedName name="UAcct447CAEE" localSheetId="7">'[10]Func Study'!#REF!</definedName>
    <definedName name="UAcct447CAEE" localSheetId="1">'[10]Func Study'!#REF!</definedName>
    <definedName name="UAcct447CAEE" localSheetId="3">'[10]Func Study'!#REF!</definedName>
    <definedName name="UAcct447CAEE" localSheetId="6">'[10]Func Study'!#REF!</definedName>
    <definedName name="UAcct447CAEE">'[10]Func Study'!#REF!</definedName>
    <definedName name="UAcct447CAGE" localSheetId="7">'[10]Func Study'!#REF!</definedName>
    <definedName name="UAcct447CAGE" localSheetId="1">'[10]Func Study'!#REF!</definedName>
    <definedName name="UAcct447CAGE" localSheetId="3">'[10]Func Study'!#REF!</definedName>
    <definedName name="UAcct447CAGE" localSheetId="6">'[10]Func Study'!#REF!</definedName>
    <definedName name="UAcct447CAGE">'[10]Func Study'!#REF!</definedName>
    <definedName name="UAcct447Dgu" localSheetId="7">'[13]Func Study'!#REF!</definedName>
    <definedName name="UAcct447Dgu" localSheetId="1">'[13]Func Study'!#REF!</definedName>
    <definedName name="UAcct447Dgu" localSheetId="3">'[13]Func Study'!#REF!</definedName>
    <definedName name="UAcct447Dgu" localSheetId="6">'[13]Func Study'!#REF!</definedName>
    <definedName name="UAcct447Dgu">'[13]Func Study'!#REF!</definedName>
    <definedName name="UACCT447NPC">'[14]Func Study'!$AB$289</definedName>
    <definedName name="UACCT447NPCCAEW">'[14]Func Study'!$AB$286</definedName>
    <definedName name="UACCT447NPCCAGW">'[14]Func Study'!$AB$287</definedName>
    <definedName name="UACCT447NPCDGP">'[14]Func Study'!$AB$288</definedName>
    <definedName name="UAcct447S">'[14]Func Study'!$AB$280</definedName>
    <definedName name="UAcct447Se">'[11]Functional Study'!$AG$287</definedName>
    <definedName name="UAcct448">'[11]Functional Study'!$AG$276</definedName>
    <definedName name="UAcct448S">'[14]Func Study'!$AB$274</definedName>
    <definedName name="UAcct448So">'[14]Func Study'!$AB$275</definedName>
    <definedName name="UAcct449">'[14]Func Study'!$AB$294</definedName>
    <definedName name="UAcct450">'[14]Func Study'!$AB$304</definedName>
    <definedName name="UAcct450S">'[14]Func Study'!$AB$302</definedName>
    <definedName name="UAcct450So">'[14]Func Study'!$AB$303</definedName>
    <definedName name="UAcct451S">'[14]Func Study'!$AB$307</definedName>
    <definedName name="UAcct451Sg">'[14]Func Study'!$AB$308</definedName>
    <definedName name="UAcct451So">'[14]Func Study'!$AB$309</definedName>
    <definedName name="UAcct453">'[14]Func Study'!$AB$315</definedName>
    <definedName name="UAcct453CAGE" localSheetId="7">'[10]Func Study'!#REF!</definedName>
    <definedName name="UAcct453CAGE" localSheetId="1">'[10]Func Study'!#REF!</definedName>
    <definedName name="UAcct453CAGE" localSheetId="3">'[10]Func Study'!#REF!</definedName>
    <definedName name="UAcct453CAGE" localSheetId="6">'[10]Func Study'!#REF!</definedName>
    <definedName name="UAcct453CAGE">'[10]Func Study'!#REF!</definedName>
    <definedName name="UAcct453CAGW" localSheetId="7">'[10]Func Study'!#REF!</definedName>
    <definedName name="UAcct453CAGW" localSheetId="1">'[10]Func Study'!#REF!</definedName>
    <definedName name="UAcct453CAGW" localSheetId="3">'[10]Func Study'!#REF!</definedName>
    <definedName name="UAcct453CAGW" localSheetId="6">'[10]Func Study'!#REF!</definedName>
    <definedName name="UAcct453CAGW">'[10]Func Study'!#REF!</definedName>
    <definedName name="UAcct454">'[14]Func Study'!$AB$322</definedName>
    <definedName name="UAcct454JBG">'[14]Func Study'!$AB$319</definedName>
    <definedName name="UAcct454S">'[14]Func Study'!$AB$318</definedName>
    <definedName name="UAcct454Sg">'[14]Func Study'!$AB$320</definedName>
    <definedName name="UAcct454So">'[14]Func Study'!$AB$321</definedName>
    <definedName name="UAcct456">'[14]Func Study'!$AB$332</definedName>
    <definedName name="UAcct456CAEW">'[14]Func Study'!$AB$331</definedName>
    <definedName name="UAcct456Cn">'[11]Functional Study'!$AG$325</definedName>
    <definedName name="UAcct456S">'[14]Func Study'!$AB$325</definedName>
    <definedName name="UAcct456Se">'[11]Functional Study'!$AG$326</definedName>
    <definedName name="UAcct456Sg">'[12]Functional Study'!$AG$328</definedName>
    <definedName name="UAcct456So">'[14]Func Study'!$AB$329</definedName>
    <definedName name="UAcct500">'[14]Func Study'!$AB$416</definedName>
    <definedName name="UAcct500Dnppsu">'[11]Functional Study'!$AG$410</definedName>
    <definedName name="UAcct500DSG">'[12]Functional Study'!$AG$400</definedName>
    <definedName name="UAcct500JBG">'[14]Func Study'!$AB$414</definedName>
    <definedName name="UACCT500SSGCH">'[11]Functional Study'!$AG$411</definedName>
    <definedName name="UAcct501">'[14]Func Study'!$AB$423</definedName>
    <definedName name="UAcct501CAEW">'[14]Func Study'!$AB$420</definedName>
    <definedName name="UAcct501JBE">'[14]Func Study'!$AB$421</definedName>
    <definedName name="UACCT501NPC">'[12]Functional Study'!$AG$409</definedName>
    <definedName name="UACCT501NPCCAEW">'[14]Func Study'!$AB$426</definedName>
    <definedName name="UACCT501nPCSE">'[12]Functional Study'!$AG$408</definedName>
    <definedName name="UACCT501NPCSE1">'[12]Functional Study'!#REF!</definedName>
    <definedName name="UAcct501Se">'[11]Functional Study'!$AG$422</definedName>
    <definedName name="UACCT501SE1">'[12]Functional Study'!#REF!</definedName>
    <definedName name="UACCT501SE2">'[12]Functional Study'!#REF!</definedName>
    <definedName name="UACCT501SE3">'[12]Functional Study'!#REF!</definedName>
    <definedName name="UACCT501SSECH">'[11]Functional Study'!$AG$425</definedName>
    <definedName name="UACCT501SSECT">'[11]Functional Study'!$AG$424</definedName>
    <definedName name="UAcct502">'[14]Func Study'!$AB$433</definedName>
    <definedName name="UAcct502CAGE">'[14]Func Study'!$AB$431</definedName>
    <definedName name="UAcct502Dnppsu">'[11]Functional Study'!$AG$429</definedName>
    <definedName name="UAcct502JBG" localSheetId="7">'[10]Func Study'!#REF!</definedName>
    <definedName name="UAcct502JBG" localSheetId="1">'[10]Func Study'!#REF!</definedName>
    <definedName name="UAcct502JBG" localSheetId="3">'[10]Func Study'!#REF!</definedName>
    <definedName name="UAcct502JBG" localSheetId="6">'[10]Func Study'!#REF!</definedName>
    <definedName name="UAcct502JBG">'[10]Func Study'!#REF!</definedName>
    <definedName name="UAcct502SG">'[12]Functional Study'!$AG$412</definedName>
    <definedName name="UACCT502SSGCH">'[11]Functional Study'!$AG$430</definedName>
    <definedName name="UAcct503">'[14]Func Study'!$AB$437</definedName>
    <definedName name="UACCT503NPC">'[14]Func Study'!$AB$443</definedName>
    <definedName name="UAcct505">'[14]Func Study'!$AB$449</definedName>
    <definedName name="UAcct505CAGE">'[14]Func Study'!$AB$447</definedName>
    <definedName name="UAcct505Dnppsu">'[11]Functional Study'!$AG$441</definedName>
    <definedName name="UAcct505JBG" localSheetId="7">'[10]Func Study'!#REF!</definedName>
    <definedName name="UAcct505JBG" localSheetId="1">'[10]Func Study'!#REF!</definedName>
    <definedName name="UAcct505JBG" localSheetId="3">'[10]Func Study'!#REF!</definedName>
    <definedName name="UAcct505JBG" localSheetId="6">'[10]Func Study'!#REF!</definedName>
    <definedName name="UAcct505JBG">'[10]Func Study'!#REF!</definedName>
    <definedName name="UAcct505sg">'[12]Functional Study'!$AG$423</definedName>
    <definedName name="UACCT505SSGCH">'[11]Functional Study'!$AG$442</definedName>
    <definedName name="UAcct506">'[14]Func Study'!$AB$455</definedName>
    <definedName name="UAcct506CAGE">'[14]Func Study'!$AB$452</definedName>
    <definedName name="UAcct506JBG" localSheetId="7">'[10]Func Study'!#REF!</definedName>
    <definedName name="UAcct506JBG" localSheetId="1">'[10]Func Study'!#REF!</definedName>
    <definedName name="UAcct506JBG" localSheetId="3">'[10]Func Study'!#REF!</definedName>
    <definedName name="UAcct506JBG" localSheetId="6">'[10]Func Study'!#REF!</definedName>
    <definedName name="UAcct506JBG">'[10]Func Study'!#REF!</definedName>
    <definedName name="UAcct506Se">'[11]Functional Study'!$AG$447</definedName>
    <definedName name="UACCT506SSGCH">'[11]Functional Study'!$AG$448</definedName>
    <definedName name="UAcct507">'[14]Func Study'!$AB$464</definedName>
    <definedName name="UAcct507CAGE">'[14]Func Study'!$AB$462</definedName>
    <definedName name="UAcct507JBG" localSheetId="7">'[10]Func Study'!#REF!</definedName>
    <definedName name="UAcct507JBG" localSheetId="1">'[10]Func Study'!#REF!</definedName>
    <definedName name="UAcct507JBG" localSheetId="3">'[10]Func Study'!#REF!</definedName>
    <definedName name="UAcct507JBG" localSheetId="6">'[10]Func Study'!#REF!</definedName>
    <definedName name="UAcct507JBG">'[10]Func Study'!#REF!</definedName>
    <definedName name="UAcct507SG">'[12]Functional Study'!$AG$432</definedName>
    <definedName name="uacct507ssgch">'[11]Functional Study'!$AG$457</definedName>
    <definedName name="UAcct510">'[14]Func Study'!$AB$469</definedName>
    <definedName name="UAcct510CAGE">'[14]Func Study'!$AB$467</definedName>
    <definedName name="UAcct510JBG" localSheetId="7">'[10]Func Study'!#REF!</definedName>
    <definedName name="UAcct510JBG" localSheetId="1">'[10]Func Study'!#REF!</definedName>
    <definedName name="UAcct510JBG" localSheetId="3">'[10]Func Study'!#REF!</definedName>
    <definedName name="UAcct510JBG" localSheetId="6">'[10]Func Study'!#REF!</definedName>
    <definedName name="UAcct510JBG">'[10]Func Study'!#REF!</definedName>
    <definedName name="UAcct510sg">'[12]Functional Study'!$AG$436</definedName>
    <definedName name="uacct510ssgch">'[11]Functional Study'!$AG$462</definedName>
    <definedName name="UAcct511">'[14]Func Study'!$AB$474</definedName>
    <definedName name="UAcct511CAGE">'[14]Func Study'!$AB$472</definedName>
    <definedName name="UAcct511JBG" localSheetId="7">'[10]Func Study'!#REF!</definedName>
    <definedName name="UAcct511JBG" localSheetId="1">'[10]Func Study'!#REF!</definedName>
    <definedName name="UAcct511JBG" localSheetId="3">'[10]Func Study'!#REF!</definedName>
    <definedName name="UAcct511JBG" localSheetId="6">'[10]Func Study'!#REF!</definedName>
    <definedName name="UAcct511JBG">'[10]Func Study'!#REF!</definedName>
    <definedName name="UAcct511sg">'[12]Functional Study'!$AG$440</definedName>
    <definedName name="UACCT511SSGCH">'[11]Functional Study'!$AG$467</definedName>
    <definedName name="UAcct512">'[14]Func Study'!$AB$479</definedName>
    <definedName name="UAcct512CAGE">'[14]Func Study'!$AB$477</definedName>
    <definedName name="UAcct512JBG" localSheetId="7">'[10]Func Study'!#REF!</definedName>
    <definedName name="UAcct512JBG" localSheetId="1">'[10]Func Study'!#REF!</definedName>
    <definedName name="UAcct512JBG" localSheetId="3">'[10]Func Study'!#REF!</definedName>
    <definedName name="UAcct512JBG" localSheetId="6">'[10]Func Study'!#REF!</definedName>
    <definedName name="UAcct512JBG">'[10]Func Study'!#REF!</definedName>
    <definedName name="UAcct512sg">'[12]Functional Study'!$AG$444</definedName>
    <definedName name="UACCT512SSGCH">'[11]Functional Study'!$AG$472</definedName>
    <definedName name="UAcct513">'[14]Func Study'!$AB$484</definedName>
    <definedName name="UAcct513CAGE">'[14]Func Study'!$AB$482</definedName>
    <definedName name="UAcct513JBG" localSheetId="7">'[10]Func Study'!#REF!</definedName>
    <definedName name="UAcct513JBG" localSheetId="1">'[10]Func Study'!#REF!</definedName>
    <definedName name="UAcct513JBG" localSheetId="3">'[10]Func Study'!#REF!</definedName>
    <definedName name="UAcct513JBG" localSheetId="6">'[10]Func Study'!#REF!</definedName>
    <definedName name="UAcct513JBG">'[10]Func Study'!#REF!</definedName>
    <definedName name="UAcct513sg">'[12]Functional Study'!$AG$448</definedName>
    <definedName name="UACCT513SSGCH">'[11]Functional Study'!$AG$477</definedName>
    <definedName name="UAcct514">'[14]Func Study'!$AB$489</definedName>
    <definedName name="UAcct514CAGE">'[14]Func Study'!$AB$487</definedName>
    <definedName name="UAcct514JBG" localSheetId="7">'[10]Func Study'!#REF!</definedName>
    <definedName name="UAcct514JBG" localSheetId="1">'[10]Func Study'!#REF!</definedName>
    <definedName name="UAcct514JBG" localSheetId="3">'[10]Func Study'!#REF!</definedName>
    <definedName name="UAcct514JBG" localSheetId="6">'[10]Func Study'!#REF!</definedName>
    <definedName name="UAcct514JBG">'[10]Func Study'!#REF!</definedName>
    <definedName name="UAcct514sg">'[12]Functional Study'!$AG$452</definedName>
    <definedName name="UACCT514SSGCH">'[11]Functional Study'!$AG$482</definedName>
    <definedName name="UAcct517">'[14]Func Study'!$AB$498</definedName>
    <definedName name="UAcct518">'[14]Func Study'!$AB$502</definedName>
    <definedName name="UAcct519">'[14]Func Study'!$AB$507</definedName>
    <definedName name="UAcct520">'[14]Func Study'!$AB$511</definedName>
    <definedName name="UAcct523">'[14]Func Study'!$AB$515</definedName>
    <definedName name="UAcct524">'[14]Func Study'!$AB$519</definedName>
    <definedName name="UAcct528">'[14]Func Study'!$AB$523</definedName>
    <definedName name="UAcct529">'[14]Func Study'!$AB$527</definedName>
    <definedName name="UAcct530">'[14]Func Study'!$AB$531</definedName>
    <definedName name="UAcct531">'[14]Func Study'!$AB$535</definedName>
    <definedName name="UAcct532">'[14]Func Study'!$AB$539</definedName>
    <definedName name="UAcct535">'[14]Func Study'!$AB$551</definedName>
    <definedName name="UAcct536">'[14]Func Study'!$AB$555</definedName>
    <definedName name="UAcct537">'[14]Func Study'!$AB$559</definedName>
    <definedName name="UAcct538">'[14]Func Study'!$AB$563</definedName>
    <definedName name="UAcct539">'[14]Func Study'!$AB$568</definedName>
    <definedName name="UAcct540">'[14]Func Study'!$AB$572</definedName>
    <definedName name="UAcct541">'[14]Func Study'!$AB$576</definedName>
    <definedName name="UAcct542">'[14]Func Study'!$AB$580</definedName>
    <definedName name="UAcct543">'[14]Func Study'!$AB$584</definedName>
    <definedName name="UAcct544">'[14]Func Study'!$AB$588</definedName>
    <definedName name="UAcct545">'[14]Func Study'!$AB$592</definedName>
    <definedName name="UAcct546">'[14]Func Study'!$AB$606</definedName>
    <definedName name="UAcct546CAGE">'[14]Func Study'!$AB$605</definedName>
    <definedName name="UACCT546sg">'[12]Functional Study'!$AG$554</definedName>
    <definedName name="UAcct547">'[11]Functional Study'!$AG$608</definedName>
    <definedName name="UAcct547CAEW">'[14]Func Study'!$AB$610</definedName>
    <definedName name="UACCT547n">'[12]Functional Study'!$AG$559</definedName>
    <definedName name="UACCT547NPCCAEW">'[14]Func Study'!$AB$613</definedName>
    <definedName name="UACCT547nse">'[12]Functional Study'!$AG$558</definedName>
    <definedName name="UAcct547Se">'[14]Func Study'!$AB$609</definedName>
    <definedName name="UACCT547SSECT">'[11]Functional Study'!$AG$607</definedName>
    <definedName name="UAcct548">'[14]Func Study'!$AB$621</definedName>
    <definedName name="UACCT548CAGE">'[14]Func Study'!$AB$620</definedName>
    <definedName name="UACCT548sg">'[12]Functional Study'!$AG$565</definedName>
    <definedName name="UACCT548SSCCT">'[11]Functional Study'!$AG$612</definedName>
    <definedName name="UAcct549">'[14]Func Study'!$AB$626</definedName>
    <definedName name="Uacct549CAGE">'[14]Func Study'!$AB$625</definedName>
    <definedName name="UAcct549Dnppou">'[11]Functional Study'!$AG$616</definedName>
    <definedName name="UACCT549SGW">'[39]Functional Study'!$AG$617</definedName>
    <definedName name="UACCT549SSGCT">'[11]Functional Study'!$AG$617</definedName>
    <definedName name="UAcct5506SE" localSheetId="7">'[10]Func Study'!#REF!</definedName>
    <definedName name="UAcct5506SE" localSheetId="1">'[10]Func Study'!#REF!</definedName>
    <definedName name="UAcct5506SE" localSheetId="3">'[10]Func Study'!#REF!</definedName>
    <definedName name="UAcct5506SE" localSheetId="6">'[10]Func Study'!#REF!</definedName>
    <definedName name="UAcct5506SE">'[10]Func Study'!#REF!</definedName>
    <definedName name="uacct550sgw">'[39]Functional Study'!$AG$627</definedName>
    <definedName name="uacct550snppo">'[11]Functional Study'!$AG$626</definedName>
    <definedName name="uacct550ssgct">'[11]Functional Study'!$AG$627</definedName>
    <definedName name="UAcct551">'[11]Functional Study'!$AG$631</definedName>
    <definedName name="UAcct551CAGE">'[14]Func Study'!$AB$634</definedName>
    <definedName name="UACCT551SG">'[14]Func Study'!$AB$635</definedName>
    <definedName name="UAcct552">'[12]Functional Study'!$AG$583</definedName>
    <definedName name="UACCT552CAGE">'[14]Func Study'!$AB$640</definedName>
    <definedName name="UAcct552Dnppou">'[11]Functional Study'!$AG$634</definedName>
    <definedName name="UAcct552SG">'[14]Func Study'!$AB$639</definedName>
    <definedName name="UACCT552SSGCT">'[11]Functional Study'!$AG$635</definedName>
    <definedName name="UACCT553CAGE">'[14]Func Study'!$AB$646</definedName>
    <definedName name="UAcct553Dnppou">'[11]Functional Study'!$AG$640</definedName>
    <definedName name="UAcct553SG">'[14]Func Study'!$AB$645</definedName>
    <definedName name="UACCT553SGW">'[39]Functional Study'!$AG$641</definedName>
    <definedName name="UACCT553SSGCT">'[11]Functional Study'!$AG$641</definedName>
    <definedName name="UACCT554CAGE">'[14]Func Study'!$AB$651</definedName>
    <definedName name="UAcct554Dnppou">'[11]Functional Study'!$AG$645</definedName>
    <definedName name="UAcct554SG">'[14]Func Study'!$AB$650</definedName>
    <definedName name="UACCT554SGW">'[39]Functional Study'!$AG$646</definedName>
    <definedName name="UACCT554SSGCT">'[11]Functional Study'!$AG$646</definedName>
    <definedName name="UAcct555CAEE" localSheetId="7">'[10]Func Study'!#REF!</definedName>
    <definedName name="UAcct555CAEE" localSheetId="1">'[10]Func Study'!#REF!</definedName>
    <definedName name="UAcct555CAEE" localSheetId="3">'[10]Func Study'!#REF!</definedName>
    <definedName name="UAcct555CAEE" localSheetId="6">'[10]Func Study'!#REF!</definedName>
    <definedName name="UAcct555CAEE">'[10]Func Study'!#REF!</definedName>
    <definedName name="UAcct555CAEW">'[14]Func Study'!$AB$665</definedName>
    <definedName name="UAcct555CAGE" localSheetId="7">'[10]Func Study'!#REF!</definedName>
    <definedName name="UAcct555CAGE" localSheetId="1">'[10]Func Study'!#REF!</definedName>
    <definedName name="UAcct555CAGE" localSheetId="3">'[10]Func Study'!#REF!</definedName>
    <definedName name="UAcct555CAGE" localSheetId="6">'[10]Func Study'!#REF!</definedName>
    <definedName name="UAcct555CAGE">'[10]Func Study'!#REF!</definedName>
    <definedName name="UAcct555CAGW">'[14]Func Study'!$AB$664</definedName>
    <definedName name="UACCT555DGP">'[14]Func Study'!$AB$670</definedName>
    <definedName name="UACCT555NPCCAEW">'[14]Func Study'!$AB$669</definedName>
    <definedName name="UACCT555NPCCAGW">'[14]Func Study'!$AB$668</definedName>
    <definedName name="UAcct555S">'[14]Func Study'!$AB$663</definedName>
    <definedName name="UAcct555Se">'[14]Func Study'!$AB$665</definedName>
    <definedName name="UACCT555SG">'[14]Func Study'!$AB$664</definedName>
    <definedName name="uacct555ssgc">'[11]Functional Study'!$AG$664</definedName>
    <definedName name="UAcct556">'[14]Func Study'!$AB$676</definedName>
    <definedName name="UAcct557">'[14]Func Study'!$AB$685</definedName>
    <definedName name="UAcct557S">'[11]Functional Study'!$AG$676</definedName>
    <definedName name="uacct557se">'[11]Functional Study'!$AG$679</definedName>
    <definedName name="UAcct557Sg">'[11]Functional Study'!$AG$677</definedName>
    <definedName name="Uacct557SSGCT">'[11]Functional Study'!$AG$678</definedName>
    <definedName name="uacct557trojp">'[11]Functional Study'!$AG$680</definedName>
    <definedName name="UAcct560">'[14]Func Study'!$AB$715</definedName>
    <definedName name="UAcct561">'[14]Func Study'!$AB$720</definedName>
    <definedName name="UAcct562">'[14]Func Study'!$AB$726</definedName>
    <definedName name="UAcct563">'[14]Func Study'!$AB$731</definedName>
    <definedName name="UAcct564">'[14]Func Study'!$AB$735</definedName>
    <definedName name="UAcct565">'[14]Func Study'!$AB$739</definedName>
    <definedName name="UACCT565NPC">'[14]Func Study'!$AB$744</definedName>
    <definedName name="UACCT565NPCCAGW">'[14]Func Study'!$AB$742</definedName>
    <definedName name="UAcct565Se">'[11]Functional Study'!$AG$731</definedName>
    <definedName name="UAcct566">'[14]Func Study'!$AB$748</definedName>
    <definedName name="UAcct567">'[14]Func Study'!$AB$752</definedName>
    <definedName name="UAcct568">'[14]Func Study'!$AB$756</definedName>
    <definedName name="UAcct569">'[14]Func Study'!$AB$760</definedName>
    <definedName name="UAcct570">'[14]Func Study'!$AB$765</definedName>
    <definedName name="UAcct571">'[14]Func Study'!$AB$770</definedName>
    <definedName name="UAcct572">'[14]Func Study'!$AB$774</definedName>
    <definedName name="UAcct573">'[14]Func Study'!$AB$778</definedName>
    <definedName name="UAcct580">'[14]Func Study'!$AB$791</definedName>
    <definedName name="UAcct581">'[14]Func Study'!$AB$796</definedName>
    <definedName name="UAcct582">'[14]Func Study'!$AB$801</definedName>
    <definedName name="UAcct583">'[14]Func Study'!$AB$806</definedName>
    <definedName name="UAcct584">'[14]Func Study'!$AB$811</definedName>
    <definedName name="UAcct585">'[14]Func Study'!$AB$816</definedName>
    <definedName name="UAcct586">'[14]Func Study'!$AB$821</definedName>
    <definedName name="UAcct587">'[14]Func Study'!$AB$826</definedName>
    <definedName name="UAcct588">'[14]Func Study'!$AB$831</definedName>
    <definedName name="UAcct589">'[14]Func Study'!$AB$836</definedName>
    <definedName name="UAcct590">'[14]Func Study'!$AB$841</definedName>
    <definedName name="UAcct591">'[14]Func Study'!$AB$846</definedName>
    <definedName name="UAcct592">'[14]Func Study'!$AB$851</definedName>
    <definedName name="UAcct593">'[14]Func Study'!$AB$856</definedName>
    <definedName name="UAcct594">'[14]Func Study'!$AB$861</definedName>
    <definedName name="UAcct595">'[14]Func Study'!$AB$866</definedName>
    <definedName name="UAcct596">'[14]Func Study'!$AB$876</definedName>
    <definedName name="UAcct597">'[14]Func Study'!$AB$881</definedName>
    <definedName name="UAcct598">'[14]Func Study'!$AB$886</definedName>
    <definedName name="UAcct901">'[14]Func Study'!$AB$898</definedName>
    <definedName name="UAcct902">'[14]Func Study'!$AB$903</definedName>
    <definedName name="UAcct903">'[14]Func Study'!$AB$908</definedName>
    <definedName name="UAcct904">'[14]Func Study'!$AB$914</definedName>
    <definedName name="Uacct904SG" localSheetId="7">'[17]Functional Study'!#REF!</definedName>
    <definedName name="Uacct904SG" localSheetId="1">'[17]Functional Study'!#REF!</definedName>
    <definedName name="Uacct904SG" localSheetId="3">'[17]Functional Study'!#REF!</definedName>
    <definedName name="Uacct904SG" localSheetId="4">'[17]Functional Study'!#REF!</definedName>
    <definedName name="Uacct904SG" localSheetId="6">'[17]Functional Study'!#REF!</definedName>
    <definedName name="Uacct904SG">'[18]Functional Study'!#REF!</definedName>
    <definedName name="UAcct905">'[14]Func Study'!$AB$919</definedName>
    <definedName name="UAcct907">'[14]Func Study'!$AB$933</definedName>
    <definedName name="UAcct908">'[14]Func Study'!$AB$938</definedName>
    <definedName name="UAcct909">'[14]Func Study'!$AB$943</definedName>
    <definedName name="UAcct910">'[14]Func Study'!$AB$948</definedName>
    <definedName name="UAcct911">'[14]Func Study'!$AB$959</definedName>
    <definedName name="UAcct912">'[14]Func Study'!$AB$964</definedName>
    <definedName name="UAcct913">'[14]Func Study'!$AB$969</definedName>
    <definedName name="UAcct916">'[14]Func Study'!$AB$974</definedName>
    <definedName name="UAcct920">'[14]Func Study'!$AB$985</definedName>
    <definedName name="UAcct920Cn">'[14]Func Study'!$AB$983</definedName>
    <definedName name="UAcct921">'[14]Func Study'!$AB$991</definedName>
    <definedName name="UAcct921Cn">'[14]Func Study'!$AB$989</definedName>
    <definedName name="UAcct923">'[14]Func Study'!$AB$997</definedName>
    <definedName name="UAcct923CAGW">'[14]Func Study'!$AB$995</definedName>
    <definedName name="UAcct923Cn">'[11]Functional Study'!$AG$982</definedName>
    <definedName name="UAcct924">'[14]Func Study'!$AB$1001</definedName>
    <definedName name="UAcct925">'[14]Func Study'!$AB$1005</definedName>
    <definedName name="UAcct926">'[14]Func Study'!$AB$1011</definedName>
    <definedName name="UAcct927">'[14]Func Study'!$AB$1016</definedName>
    <definedName name="UAcct928">'[14]Func Study'!$AB$1023</definedName>
    <definedName name="UAcct929">'[14]Func Study'!$AB$1028</definedName>
    <definedName name="UAcct930">'[14]Func Study'!$AB$1034</definedName>
    <definedName name="UAcct931">'[14]Func Study'!$AB$1039</definedName>
    <definedName name="UAcct935">'[14]Func Study'!$AB$1045</definedName>
    <definedName name="UAcctAGA">'[14]Func Study'!$AB$296</definedName>
    <definedName name="UACCTCOHDGP">'[11]Functional Study'!$AG$683</definedName>
    <definedName name="UACCTCOWSG">'[11]Functional Study'!$AG$684</definedName>
    <definedName name="UAcctcwc">'[14]Func Study'!$AB$2136</definedName>
    <definedName name="UAcctd00">'[14]Func Study'!$AB$1786</definedName>
    <definedName name="UAcctdfa" localSheetId="7">'[14]Func Study'!#REF!</definedName>
    <definedName name="UAcctdfa" localSheetId="1">'[14]Func Study'!#REF!</definedName>
    <definedName name="UAcctdfa" localSheetId="3">'[14]Func Study'!#REF!</definedName>
    <definedName name="UAcctdfa" localSheetId="6">'[14]Func Study'!#REF!</definedName>
    <definedName name="UAcctdfa">'[14]Func Study'!#REF!</definedName>
    <definedName name="UAcctdfad" localSheetId="7">'[14]Func Study'!#REF!</definedName>
    <definedName name="UAcctdfad" localSheetId="1">'[14]Func Study'!#REF!</definedName>
    <definedName name="UAcctdfad" localSheetId="3">'[14]Func Study'!#REF!</definedName>
    <definedName name="UAcctdfad" localSheetId="6">'[14]Func Study'!#REF!</definedName>
    <definedName name="UAcctdfad">'[14]Func Study'!#REF!</definedName>
    <definedName name="UAcctdfap" localSheetId="7">'[14]Func Study'!#REF!</definedName>
    <definedName name="UAcctdfap" localSheetId="1">'[14]Func Study'!#REF!</definedName>
    <definedName name="UAcctdfap" localSheetId="3">'[14]Func Study'!#REF!</definedName>
    <definedName name="UAcctdfap" localSheetId="6">'[14]Func Study'!#REF!</definedName>
    <definedName name="UAcctdfap">'[14]Func Study'!#REF!</definedName>
    <definedName name="UAcctdfat" localSheetId="7">'[14]Func Study'!#REF!</definedName>
    <definedName name="UAcctdfat" localSheetId="1">'[14]Func Study'!#REF!</definedName>
    <definedName name="UAcctdfat" localSheetId="3">'[14]Func Study'!#REF!</definedName>
    <definedName name="UAcctdfat" localSheetId="6">'[14]Func Study'!#REF!</definedName>
    <definedName name="UAcctdfat">'[14]Func Study'!#REF!</definedName>
    <definedName name="UAcctds0">'[14]Func Study'!$AB$1790</definedName>
    <definedName name="UACCTECD">'[39]Functional Study'!$AG$689</definedName>
    <definedName name="UACCTECDDGP">'[14]Func Study'!$AB$687</definedName>
    <definedName name="UACCTECDMC">'[14]Func Study'!$AB$689</definedName>
    <definedName name="UACCTECDS">'[14]Func Study'!$AB$691</definedName>
    <definedName name="UACCTECDSG1">'[14]Func Study'!$AB$688</definedName>
    <definedName name="UACCTECDSG2">'[14]Func Study'!$AB$690</definedName>
    <definedName name="UACCTECDSG3">'[14]Func Study'!$AB$692</definedName>
    <definedName name="UACCTEQFCS">'[11]Functional Study'!$AG$687</definedName>
    <definedName name="UACCTEQFCSG">'[11]Functional Study'!$AG$688</definedName>
    <definedName name="UAcctfit">'[14]Func Study'!$AB$1395</definedName>
    <definedName name="UAcctg00">'[14]Func Study'!$AB$1947</definedName>
    <definedName name="UAccth00">'[14]Func Study'!$AB$1545</definedName>
    <definedName name="UAccti00">'[14]Func Study'!$AB$1993</definedName>
    <definedName name="UACCTMCCMC">'[11]Functional Study'!$AG$685</definedName>
    <definedName name="UACCTMCSG">'[11]Functional Study'!$AG$686</definedName>
    <definedName name="UAcctn00">'[14]Func Study'!$AB$1496</definedName>
    <definedName name="UAccto00">'[14]Func Study'!$AB$1606</definedName>
    <definedName name="UAcctowc">'[14]Func Study'!$AB$2149</definedName>
    <definedName name="UAcctowcdgp">'[12]Functional Study'!#REF!</definedName>
    <definedName name="UAcctowcse">'[12]Functional Study'!$AG$1855</definedName>
    <definedName name="UACCTOWCSSECH">'[14]Func Study'!$AB$2148</definedName>
    <definedName name="UAccts00">'[14]Func Study'!$AB$1455</definedName>
    <definedName name="UAcctsttax">'[14]Func Study'!$AB$1377</definedName>
    <definedName name="UAcctt00">'[14]Func Study'!$AB$1682</definedName>
    <definedName name="UNBILREV" localSheetId="1">#REF!</definedName>
    <definedName name="UNBILREV" localSheetId="3">#REF!</definedName>
    <definedName name="UNBILREV" localSheetId="4">#REF!</definedName>
    <definedName name="UNBILREV">#REF!</definedName>
    <definedName name="UncollectibleAccounts">[20]Variables!$D$25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BR">#REF!</definedName>
    <definedName name="UT_305A_FY_2002">#REF!</definedName>
    <definedName name="UT_RVN_0302">#REF!</definedName>
    <definedName name="UtGrossReceipts">[20]Variables!$D$29</definedName>
    <definedName name="ValidAccount">[19]Variables!$AK$43:$AK$369</definedName>
    <definedName name="VAR" localSheetId="7">[22]Backup!#REF!</definedName>
    <definedName name="VAR" localSheetId="0">[22]Backup!#REF!</definedName>
    <definedName name="VAR" localSheetId="1">[22]Backup!#REF!</definedName>
    <definedName name="VAR" localSheetId="3">[22]Backup!#REF!</definedName>
    <definedName name="VAR" localSheetId="6">[22]Backup!#REF!</definedName>
    <definedName name="VAR">[22]Backup!#REF!</definedName>
    <definedName name="VARIABLE" localSheetId="7">[29]Summary!#REF!</definedName>
    <definedName name="VARIABLE" localSheetId="1">[29]Summary!#REF!</definedName>
    <definedName name="VARIABLE" localSheetId="3">[29]Summary!#REF!</definedName>
    <definedName name="VARIABLE" localSheetId="4">[29]Summary!#REF!</definedName>
    <definedName name="VARIABLE" localSheetId="6">[29]Summary!#REF!</definedName>
    <definedName name="VARIABLE">[30]Summary!#REF!</definedName>
    <definedName name="VOUCHER" localSheetId="0">#REF!</definedName>
    <definedName name="VOUCHER" localSheetId="1">#REF!</definedName>
    <definedName name="VOUCHER" localSheetId="3">#REF!</definedName>
    <definedName name="VOUCHER" localSheetId="4">#REF!</definedName>
    <definedName name="VOUCHER">#REF!</definedName>
    <definedName name="w" hidden="1">[46]Inputs!#REF!</definedName>
    <definedName name="WaRevenueTax">[20]Variables!$D$27</definedName>
    <definedName name="WEATHER" localSheetId="7">#REF!</definedName>
    <definedName name="WEATHER" localSheetId="1">#REF!</definedName>
    <definedName name="WEATHER" localSheetId="3">#REF!</definedName>
    <definedName name="WEATHER" localSheetId="6">#REF!</definedName>
    <definedName name="WEATHER">#REF!</definedName>
    <definedName name="WEATHRNORM" localSheetId="1">#REF!</definedName>
    <definedName name="WEATHRNORM" localSheetId="3">#REF!</definedName>
    <definedName name="WEATHRNORM" localSheetId="4">#REF!</definedName>
    <definedName name="WEATHRNORM">#REF!</definedName>
    <definedName name="WIDTH" localSheetId="0">#REF!</definedName>
    <definedName name="WIDTH" localSheetId="1">#REF!</definedName>
    <definedName name="WIDTH" localSheetId="3">#REF!</definedName>
    <definedName name="WIDTH" localSheetId="4">#REF!</definedName>
    <definedName name="WIDTH">#REF!</definedName>
    <definedName name="WinterPeak">'[47]Load Data'!$D$9:$H$12,'[47]Load Data'!$D$20:$H$22</definedName>
    <definedName name="WORK1" localSheetId="0">#REF!</definedName>
    <definedName name="WORK1" localSheetId="1">#REF!</definedName>
    <definedName name="WORK1" localSheetId="3">#REF!</definedName>
    <definedName name="WORK1" localSheetId="4">#REF!</definedName>
    <definedName name="WORK1">#REF!</definedName>
    <definedName name="WORK2" localSheetId="0">#REF!</definedName>
    <definedName name="WORK2" localSheetId="1">#REF!</definedName>
    <definedName name="WORK2" localSheetId="3">#REF!</definedName>
    <definedName name="WORK2" localSheetId="4">#REF!</definedName>
    <definedName name="WORK2">#REF!</definedName>
    <definedName name="WORK3" localSheetId="0">#REF!</definedName>
    <definedName name="WORK3" localSheetId="1">#REF!</definedName>
    <definedName name="WORK3" localSheetId="3">#REF!</definedName>
    <definedName name="WORK3" localSheetId="4">#REF!</definedName>
    <definedName name="WORK3">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4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localSheetId="7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localSheetId="6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7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localSheetId="6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4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'[48]Weather Present'!$K$7</definedName>
    <definedName name="y" localSheetId="0" hidden="1">#REF!</definedName>
    <definedName name="y" localSheetId="1" hidden="1">#REF!</definedName>
    <definedName name="y" localSheetId="2" hidden="1">#REF!</definedName>
    <definedName name="y" localSheetId="3" hidden="1">#REF!</definedName>
    <definedName name="y" localSheetId="5" hidden="1">#REF!</definedName>
    <definedName name="y" localSheetId="4" hidden="1">#REF!</definedName>
    <definedName name="y" localSheetId="6" hidden="1">#REF!</definedName>
    <definedName name="y" hidden="1">'[7]DSM Output'!$B$21:$B$23</definedName>
    <definedName name="Year" localSheetId="0">#REF!</definedName>
    <definedName name="Year" localSheetId="1">#REF!</definedName>
    <definedName name="Year" localSheetId="3">#REF!</definedName>
    <definedName name="Year" localSheetId="4">#REF!</definedName>
    <definedName name="Year">#REF!</definedName>
    <definedName name="YEFactors">[19]Factors!$S$3:$AG$99</definedName>
    <definedName name="z" localSheetId="0" hidden="1">#REF!</definedName>
    <definedName name="z" localSheetId="1" hidden="1">#REF!</definedName>
    <definedName name="z" localSheetId="2" hidden="1">#REF!</definedName>
    <definedName name="z" localSheetId="3" hidden="1">#REF!</definedName>
    <definedName name="z" localSheetId="5" hidden="1">#REF!</definedName>
    <definedName name="z" localSheetId="4" hidden="1">#REF!</definedName>
    <definedName name="z" localSheetId="6" hidden="1">#REF!</definedName>
    <definedName name="z" hidden="1">'[7]DSM Output'!$G$21:$G$23</definedName>
    <definedName name="Z_01844156_6462_4A28_9785_1A86F4D0C834_.wvu.PrintTitles" hidden="1">#REF!</definedName>
    <definedName name="ZA" localSheetId="7">'[49] annual balance '!#REF!</definedName>
    <definedName name="ZA" localSheetId="0">'[49] annual balance '!#REF!</definedName>
    <definedName name="ZA" localSheetId="1">'[49] annual balance '!#REF!</definedName>
    <definedName name="ZA" localSheetId="3">'[49] annual balance '!#REF!</definedName>
    <definedName name="ZA" localSheetId="4">'[49] annual balance '!#REF!</definedName>
    <definedName name="ZA" localSheetId="6">'[49] annual balance '!#REF!</definedName>
    <definedName name="ZA">'[49] annual balance '!#REF!</definedName>
  </definedNames>
  <calcPr calcId="145621"/>
</workbook>
</file>

<file path=xl/calcChain.xml><?xml version="1.0" encoding="utf-8"?>
<calcChain xmlns="http://schemas.openxmlformats.org/spreadsheetml/2006/main">
  <c r="D63" i="16" l="1"/>
  <c r="C63" i="16"/>
  <c r="F61" i="16"/>
  <c r="F59" i="16"/>
  <c r="C12" i="16" s="1"/>
  <c r="F57" i="16"/>
  <c r="F44" i="16"/>
  <c r="F42" i="16" s="1"/>
  <c r="D44" i="16"/>
  <c r="J42" i="16"/>
  <c r="J40" i="16"/>
  <c r="J44" i="16" s="1"/>
  <c r="F40" i="16"/>
  <c r="J38" i="16"/>
  <c r="J36" i="16"/>
  <c r="F31" i="16"/>
  <c r="J30" i="16"/>
  <c r="G30" i="16"/>
  <c r="G44" i="16" s="1"/>
  <c r="F30" i="16"/>
  <c r="D30" i="16"/>
  <c r="H30" i="16" s="1"/>
  <c r="F28" i="16"/>
  <c r="C28" i="16"/>
  <c r="F26" i="16"/>
  <c r="C26" i="16"/>
  <c r="F24" i="16"/>
  <c r="C24" i="16"/>
  <c r="J16" i="16"/>
  <c r="H16" i="16"/>
  <c r="N16" i="16" s="1"/>
  <c r="F14" i="16"/>
  <c r="C14" i="16"/>
  <c r="F12" i="16"/>
  <c r="F10" i="16"/>
  <c r="F17" i="16" s="1"/>
  <c r="C10" i="16"/>
  <c r="C16" i="16" l="1"/>
  <c r="D12" i="16" s="1"/>
  <c r="C40" i="16"/>
  <c r="G24" i="16"/>
  <c r="D28" i="16"/>
  <c r="D14" i="16"/>
  <c r="G14" i="16"/>
  <c r="C30" i="16"/>
  <c r="D26" i="16" s="1"/>
  <c r="H44" i="16"/>
  <c r="F38" i="16"/>
  <c r="F45" i="16" s="1"/>
  <c r="G28" i="16"/>
  <c r="C42" i="16"/>
  <c r="D24" i="16"/>
  <c r="C38" i="16"/>
  <c r="F63" i="16"/>
  <c r="G63" i="16" s="1"/>
  <c r="G10" i="16"/>
  <c r="E26" i="16" l="1"/>
  <c r="E12" i="16"/>
  <c r="H12" i="16"/>
  <c r="E24" i="16"/>
  <c r="H24" i="16"/>
  <c r="D31" i="16"/>
  <c r="E14" i="16"/>
  <c r="H14" i="16"/>
  <c r="H28" i="16"/>
  <c r="E28" i="16"/>
  <c r="D42" i="16"/>
  <c r="G57" i="16"/>
  <c r="G31" i="16"/>
  <c r="G12" i="16"/>
  <c r="C44" i="16"/>
  <c r="E44" i="16" s="1"/>
  <c r="G38" i="16"/>
  <c r="I30" i="16"/>
  <c r="G61" i="16"/>
  <c r="E30" i="16"/>
  <c r="G59" i="16"/>
  <c r="G26" i="16"/>
  <c r="H26" i="16" s="1"/>
  <c r="D40" i="16"/>
  <c r="G40" i="16"/>
  <c r="G17" i="16"/>
  <c r="E16" i="16"/>
  <c r="I16" i="16"/>
  <c r="D10" i="16"/>
  <c r="K26" i="16" l="1"/>
  <c r="I26" i="16"/>
  <c r="N12" i="16"/>
  <c r="K12" i="16"/>
  <c r="I12" i="16"/>
  <c r="H10" i="16"/>
  <c r="D17" i="16"/>
  <c r="E10" i="16"/>
  <c r="D38" i="16"/>
  <c r="E40" i="16"/>
  <c r="H40" i="16"/>
  <c r="I44" i="16"/>
  <c r="K28" i="16"/>
  <c r="I28" i="16"/>
  <c r="K24" i="16"/>
  <c r="K30" i="16" s="1"/>
  <c r="I24" i="16"/>
  <c r="H31" i="16"/>
  <c r="E42" i="16"/>
  <c r="H42" i="16"/>
  <c r="G42" i="16"/>
  <c r="G45" i="16" s="1"/>
  <c r="K14" i="16"/>
  <c r="N14" i="16"/>
  <c r="I14" i="16"/>
  <c r="H17" i="16" l="1"/>
  <c r="N10" i="16"/>
  <c r="I10" i="16"/>
  <c r="K10" i="16"/>
  <c r="K16" i="16" s="1"/>
  <c r="I42" i="16"/>
  <c r="K42" i="16"/>
  <c r="I40" i="16"/>
  <c r="K40" i="16"/>
  <c r="H38" i="16"/>
  <c r="D45" i="16"/>
  <c r="E38" i="16"/>
  <c r="N40" i="16" l="1"/>
  <c r="L40" i="16"/>
  <c r="N42" i="16"/>
  <c r="L42" i="16"/>
  <c r="I38" i="16"/>
  <c r="K38" i="16"/>
  <c r="H45" i="16"/>
  <c r="K44" i="16" l="1"/>
  <c r="N44" i="16" s="1"/>
  <c r="L38" i="16"/>
  <c r="L44" i="16" s="1"/>
  <c r="N38" i="16"/>
  <c r="B14" i="14" l="1"/>
  <c r="B11" i="14"/>
  <c r="B10" i="14"/>
  <c r="B9" i="14"/>
  <c r="B12" i="14" l="1"/>
  <c r="B16" i="14" s="1"/>
  <c r="B19" i="14" s="1"/>
  <c r="B20" i="14" s="1"/>
  <c r="B21" i="14" s="1"/>
  <c r="T14" i="4" l="1"/>
  <c r="V31" i="4"/>
  <c r="U22" i="3"/>
  <c r="S12" i="3" s="1"/>
  <c r="S11" i="3" l="1"/>
  <c r="O25" i="12"/>
  <c r="B14" i="7" l="1"/>
  <c r="L39" i="12" l="1"/>
  <c r="I39" i="12"/>
  <c r="L38" i="12"/>
  <c r="I38" i="12"/>
  <c r="L37" i="12"/>
  <c r="I37" i="12"/>
  <c r="L36" i="12"/>
  <c r="I36" i="12"/>
  <c r="I35" i="12"/>
  <c r="L29" i="12"/>
  <c r="I29" i="12"/>
  <c r="L28" i="12"/>
  <c r="I28" i="12"/>
  <c r="I27" i="12"/>
  <c r="I26" i="12"/>
  <c r="L25" i="12"/>
  <c r="I25" i="12"/>
  <c r="I24" i="12"/>
  <c r="L23" i="12"/>
  <c r="I23" i="12"/>
  <c r="I22" i="12"/>
  <c r="I32" i="12" s="1"/>
  <c r="L16" i="12"/>
  <c r="I16" i="12"/>
  <c r="AA39" i="12"/>
  <c r="AE39" i="12" s="1"/>
  <c r="AF39" i="12" s="1"/>
  <c r="Y39" i="12"/>
  <c r="AA38" i="12"/>
  <c r="AE38" i="12" s="1"/>
  <c r="Y38" i="12"/>
  <c r="AA37" i="12"/>
  <c r="AE37" i="12" s="1"/>
  <c r="AF37" i="12" s="1"/>
  <c r="Y37" i="12"/>
  <c r="AA36" i="12"/>
  <c r="AE36" i="12" s="1"/>
  <c r="Y36" i="12"/>
  <c r="Y23" i="12"/>
  <c r="Y28" i="12"/>
  <c r="AE28" i="12" s="1"/>
  <c r="AI28" i="12" s="1"/>
  <c r="AA28" i="12"/>
  <c r="AC28" i="12"/>
  <c r="Y29" i="12"/>
  <c r="AA29" i="12"/>
  <c r="AE29" i="12"/>
  <c r="AF29" i="12" s="1"/>
  <c r="Y16" i="12"/>
  <c r="O35" i="12"/>
  <c r="Q35" i="12" s="1"/>
  <c r="Q42" i="12" s="1"/>
  <c r="Q25" i="12"/>
  <c r="O24" i="12"/>
  <c r="Q24" i="12" s="1"/>
  <c r="Q23" i="12"/>
  <c r="Q26" i="12"/>
  <c r="Q27" i="12"/>
  <c r="Q28" i="12"/>
  <c r="Q29" i="12"/>
  <c r="O22" i="12"/>
  <c r="Q22" i="12" s="1"/>
  <c r="Q36" i="12"/>
  <c r="Q37" i="12"/>
  <c r="Q38" i="12"/>
  <c r="Q39" i="12"/>
  <c r="I162" i="13"/>
  <c r="H162" i="13"/>
  <c r="J161" i="13"/>
  <c r="J163" i="13" s="1"/>
  <c r="I161" i="13"/>
  <c r="H161" i="13"/>
  <c r="I156" i="13"/>
  <c r="H156" i="13"/>
  <c r="J146" i="13"/>
  <c r="I146" i="13"/>
  <c r="H146" i="13"/>
  <c r="E140" i="13"/>
  <c r="E138" i="13"/>
  <c r="E136" i="13"/>
  <c r="E135" i="13"/>
  <c r="E133" i="13"/>
  <c r="E132" i="13"/>
  <c r="E131" i="13"/>
  <c r="E129" i="13"/>
  <c r="E127" i="13"/>
  <c r="E125" i="13"/>
  <c r="E124" i="13"/>
  <c r="E123" i="13"/>
  <c r="E122" i="13"/>
  <c r="E121" i="13"/>
  <c r="E120" i="13"/>
  <c r="E119" i="13"/>
  <c r="E118" i="13"/>
  <c r="J113" i="13"/>
  <c r="I113" i="13"/>
  <c r="H113" i="13"/>
  <c r="E111" i="13"/>
  <c r="E110" i="13"/>
  <c r="E109" i="13"/>
  <c r="E108" i="13"/>
  <c r="E107" i="13"/>
  <c r="E106" i="13"/>
  <c r="E105" i="13"/>
  <c r="E104" i="13"/>
  <c r="E103" i="13"/>
  <c r="E102" i="13"/>
  <c r="J98" i="13"/>
  <c r="I98" i="13"/>
  <c r="H98" i="13"/>
  <c r="E95" i="13"/>
  <c r="E94" i="13"/>
  <c r="E93" i="13"/>
  <c r="E92" i="13"/>
  <c r="E90" i="13"/>
  <c r="E89" i="13"/>
  <c r="E88" i="13"/>
  <c r="E87" i="13"/>
  <c r="E86" i="13"/>
  <c r="E84" i="13"/>
  <c r="E83" i="13"/>
  <c r="E82" i="13"/>
  <c r="E81" i="13"/>
  <c r="E80" i="13"/>
  <c r="E79" i="13"/>
  <c r="J74" i="13"/>
  <c r="I74" i="13"/>
  <c r="H74" i="13"/>
  <c r="E72" i="13"/>
  <c r="E70" i="13"/>
  <c r="E68" i="13"/>
  <c r="E66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J47" i="13"/>
  <c r="L47" i="13" s="1"/>
  <c r="I47" i="13"/>
  <c r="H47" i="13"/>
  <c r="E44" i="13"/>
  <c r="E42" i="13"/>
  <c r="E41" i="13"/>
  <c r="E40" i="13"/>
  <c r="E39" i="13"/>
  <c r="E37" i="13"/>
  <c r="E35" i="13"/>
  <c r="E33" i="13"/>
  <c r="E31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N42" i="12"/>
  <c r="K42" i="12"/>
  <c r="H42" i="12"/>
  <c r="AN38" i="12"/>
  <c r="N32" i="12"/>
  <c r="K32" i="12"/>
  <c r="H32" i="12"/>
  <c r="H44" i="12" s="1"/>
  <c r="H48" i="12" s="1"/>
  <c r="N19" i="12"/>
  <c r="K19" i="12"/>
  <c r="H19" i="12"/>
  <c r="B19" i="12"/>
  <c r="Y19" i="12"/>
  <c r="L19" i="12"/>
  <c r="I19" i="12"/>
  <c r="N42" i="11"/>
  <c r="N44" i="11" s="1"/>
  <c r="N48" i="11" s="1"/>
  <c r="K42" i="11"/>
  <c r="K44" i="11" s="1"/>
  <c r="K48" i="11" s="1"/>
  <c r="H42" i="11"/>
  <c r="V39" i="11"/>
  <c r="AD39" i="11"/>
  <c r="AD38" i="11"/>
  <c r="V38" i="11"/>
  <c r="V37" i="11"/>
  <c r="AD37" i="11"/>
  <c r="AD36" i="11"/>
  <c r="V36" i="11"/>
  <c r="N32" i="11"/>
  <c r="K32" i="11"/>
  <c r="H32" i="11"/>
  <c r="V29" i="11"/>
  <c r="Y28" i="11"/>
  <c r="S28" i="11"/>
  <c r="I32" i="11"/>
  <c r="B22" i="11"/>
  <c r="N19" i="11"/>
  <c r="K19" i="11"/>
  <c r="H19" i="11"/>
  <c r="H44" i="11" s="1"/>
  <c r="H48" i="11" s="1"/>
  <c r="B19" i="11"/>
  <c r="O19" i="11"/>
  <c r="L19" i="11"/>
  <c r="I19" i="11"/>
  <c r="N44" i="12" l="1"/>
  <c r="N48" i="12" s="1"/>
  <c r="AN36" i="12"/>
  <c r="K44" i="12"/>
  <c r="K48" i="12" s="1"/>
  <c r="O32" i="12"/>
  <c r="B10" i="7" s="1"/>
  <c r="H152" i="13"/>
  <c r="H155" i="13" s="1"/>
  <c r="H157" i="13" s="1"/>
  <c r="Q32" i="12"/>
  <c r="I152" i="13"/>
  <c r="I155" i="13" s="1"/>
  <c r="I157" i="13" s="1"/>
  <c r="J152" i="13"/>
  <c r="O42" i="12"/>
  <c r="B11" i="7" s="1"/>
  <c r="I163" i="13"/>
  <c r="H163" i="13"/>
  <c r="L152" i="13"/>
  <c r="J155" i="13"/>
  <c r="J157" i="13" s="1"/>
  <c r="AF38" i="12"/>
  <c r="O16" i="12"/>
  <c r="AN37" i="12"/>
  <c r="AN39" i="12"/>
  <c r="I42" i="12"/>
  <c r="I44" i="12" s="1"/>
  <c r="I48" i="12" s="1"/>
  <c r="B22" i="12"/>
  <c r="AN29" i="12"/>
  <c r="AF36" i="12"/>
  <c r="I42" i="11"/>
  <c r="I44" i="11" s="1"/>
  <c r="I48" i="11" s="1"/>
  <c r="AD29" i="11"/>
  <c r="B23" i="11"/>
  <c r="Q16" i="12" l="1"/>
  <c r="Q19" i="12" s="1"/>
  <c r="O19" i="12"/>
  <c r="Q44" i="12"/>
  <c r="Q48" i="12" s="1"/>
  <c r="B23" i="12"/>
  <c r="B24" i="12" s="1"/>
  <c r="B25" i="11"/>
  <c r="B24" i="11"/>
  <c r="O44" i="12" l="1"/>
  <c r="O48" i="12" s="1"/>
  <c r="U52" i="12" s="1"/>
  <c r="S35" i="12" s="1"/>
  <c r="B9" i="7"/>
  <c r="B25" i="12"/>
  <c r="B26" i="11"/>
  <c r="S23" i="12" l="1"/>
  <c r="S38" i="12"/>
  <c r="S16" i="12"/>
  <c r="S27" i="12"/>
  <c r="S25" i="12"/>
  <c r="S26" i="12"/>
  <c r="S37" i="12"/>
  <c r="S39" i="12"/>
  <c r="S22" i="12"/>
  <c r="S29" i="12"/>
  <c r="S36" i="12"/>
  <c r="S24" i="12"/>
  <c r="B26" i="12"/>
  <c r="B28" i="12"/>
  <c r="B27" i="12"/>
  <c r="B27" i="11"/>
  <c r="B28" i="11"/>
  <c r="B29" i="12" l="1"/>
  <c r="B32" i="12" s="1"/>
  <c r="B35" i="12" s="1"/>
  <c r="B36" i="12" s="1"/>
  <c r="B37" i="12" s="1"/>
  <c r="B38" i="12" s="1"/>
  <c r="B39" i="12" s="1"/>
  <c r="B42" i="12" s="1"/>
  <c r="B44" i="12" s="1"/>
  <c r="B29" i="11"/>
  <c r="B32" i="11" l="1"/>
  <c r="B35" i="11" s="1"/>
  <c r="B36" i="11" s="1"/>
  <c r="B37" i="11" s="1"/>
  <c r="B38" i="11" s="1"/>
  <c r="B39" i="11" s="1"/>
  <c r="B42" i="11" s="1"/>
  <c r="B44" i="11" s="1"/>
  <c r="Q46" i="11" l="1"/>
  <c r="S46" i="11" s="1"/>
  <c r="AA46" i="12"/>
  <c r="AC46" i="12" s="1"/>
  <c r="L24" i="12" l="1"/>
  <c r="Y26" i="12" l="1"/>
  <c r="Y25" i="12"/>
  <c r="L26" i="12"/>
  <c r="L42" i="11" l="1"/>
  <c r="L35" i="12"/>
  <c r="L42" i="12" s="1"/>
  <c r="L22" i="12"/>
  <c r="L27" i="12"/>
  <c r="Y24" i="12"/>
  <c r="O42" i="11" l="1"/>
  <c r="Y35" i="12"/>
  <c r="Y42" i="12" s="1"/>
  <c r="L32" i="12"/>
  <c r="L44" i="12" s="1"/>
  <c r="L48" i="12" s="1"/>
  <c r="L32" i="11"/>
  <c r="L44" i="11" s="1"/>
  <c r="L48" i="11" s="1"/>
  <c r="Y22" i="12"/>
  <c r="Y27" i="12"/>
  <c r="O32" i="11" l="1"/>
  <c r="O44" i="11" s="1"/>
  <c r="O48" i="11" s="1"/>
  <c r="Y32" i="12"/>
  <c r="Y44" i="12" s="1"/>
  <c r="Y48" i="12" s="1"/>
  <c r="U19" i="11" l="1"/>
  <c r="V16" i="11" l="1"/>
  <c r="V19" i="11"/>
  <c r="AD26" i="11" l="1"/>
  <c r="AA26" i="12"/>
  <c r="AD16" i="11"/>
  <c r="AA16" i="12"/>
  <c r="AE16" i="12" s="1"/>
  <c r="Q19" i="11"/>
  <c r="AD19" i="11" s="1"/>
  <c r="AN26" i="12"/>
  <c r="Q42" i="11" l="1"/>
  <c r="AA35" i="12"/>
  <c r="AA19" i="12"/>
  <c r="AN19" i="12" s="1"/>
  <c r="AE26" i="12"/>
  <c r="AF16" i="12"/>
  <c r="AE19" i="12"/>
  <c r="AF19" i="12" s="1"/>
  <c r="AN16" i="12"/>
  <c r="AD35" i="11"/>
  <c r="AA42" i="12"/>
  <c r="AN35" i="12"/>
  <c r="V35" i="11"/>
  <c r="AD42" i="11"/>
  <c r="AE35" i="12" l="1"/>
  <c r="U42" i="11"/>
  <c r="V42" i="11" s="1"/>
  <c r="AF35" i="12"/>
  <c r="AE42" i="12"/>
  <c r="AN42" i="12"/>
  <c r="V27" i="11"/>
  <c r="AF42" i="12" l="1"/>
  <c r="V26" i="11"/>
  <c r="V22" i="11" l="1"/>
  <c r="V25" i="11"/>
  <c r="AF26" i="12"/>
  <c r="AD27" i="11" l="1"/>
  <c r="AA27" i="12"/>
  <c r="AN27" i="12" s="1"/>
  <c r="AD22" i="11"/>
  <c r="AA22" i="12"/>
  <c r="AE22" i="12" s="1"/>
  <c r="AF22" i="12" s="1"/>
  <c r="AE27" i="12" l="1"/>
  <c r="AF27" i="12" s="1"/>
  <c r="AD25" i="11"/>
  <c r="AA25" i="12"/>
  <c r="AN22" i="12"/>
  <c r="AE25" i="12" l="1"/>
  <c r="AF25" i="12" s="1"/>
  <c r="AN25" i="12"/>
  <c r="E33" i="4" l="1"/>
  <c r="E32" i="4"/>
  <c r="E31" i="4"/>
  <c r="E29" i="4"/>
  <c r="E28" i="4"/>
  <c r="E27" i="4"/>
  <c r="E25" i="4"/>
  <c r="E24" i="4"/>
  <c r="E23" i="4"/>
  <c r="V21" i="4"/>
  <c r="V20" i="4"/>
  <c r="E20" i="4"/>
  <c r="V19" i="4"/>
  <c r="E19" i="4"/>
  <c r="E18" i="4"/>
  <c r="U12" i="3"/>
  <c r="U11" i="3"/>
  <c r="U10" i="3"/>
  <c r="V14" i="4" l="1"/>
  <c r="G19" i="4"/>
  <c r="G20" i="4"/>
  <c r="I24" i="4"/>
  <c r="V17" i="4"/>
  <c r="I33" i="4"/>
  <c r="V18" i="4"/>
  <c r="D34" i="3"/>
  <c r="G18" i="4"/>
  <c r="I19" i="4"/>
  <c r="I23" i="4"/>
  <c r="G24" i="4"/>
  <c r="I25" i="4"/>
  <c r="G27" i="4"/>
  <c r="I28" i="4"/>
  <c r="I29" i="4"/>
  <c r="G31" i="4"/>
  <c r="I32" i="4"/>
  <c r="G33" i="4"/>
  <c r="I18" i="4"/>
  <c r="I20" i="4"/>
  <c r="G23" i="4"/>
  <c r="G25" i="4"/>
  <c r="I27" i="4"/>
  <c r="G28" i="4"/>
  <c r="G29" i="4"/>
  <c r="I31" i="4"/>
  <c r="G32" i="4"/>
  <c r="D13" i="3"/>
  <c r="D16" i="3"/>
  <c r="D18" i="3"/>
  <c r="D22" i="3"/>
  <c r="D24" i="3"/>
  <c r="D25" i="3"/>
  <c r="D28" i="3"/>
  <c r="D30" i="3"/>
  <c r="D33" i="3"/>
  <c r="D35" i="3"/>
  <c r="D12" i="3"/>
  <c r="D14" i="3"/>
  <c r="D17" i="3"/>
  <c r="D19" i="3"/>
  <c r="D21" i="3"/>
  <c r="D23" i="3"/>
  <c r="D27" i="3"/>
  <c r="D29" i="3"/>
  <c r="D31" i="3"/>
  <c r="M33" i="4" l="1"/>
  <c r="Q33" i="4" s="1"/>
  <c r="M31" i="4"/>
  <c r="M29" i="4"/>
  <c r="M32" i="4"/>
  <c r="Q32" i="4" s="1"/>
  <c r="M28" i="4"/>
  <c r="Q28" i="4" s="1"/>
  <c r="M27" i="4"/>
  <c r="M24" i="4"/>
  <c r="Q24" i="4" s="1"/>
  <c r="M23" i="4"/>
  <c r="Q23" i="4" s="1"/>
  <c r="M19" i="4"/>
  <c r="Q19" i="4" s="1"/>
  <c r="M18" i="4"/>
  <c r="M25" i="4"/>
  <c r="Q25" i="4" s="1"/>
  <c r="M20" i="4"/>
  <c r="Q20" i="4" s="1"/>
  <c r="Q27" i="4"/>
  <c r="Q31" i="4"/>
  <c r="Q18" i="4"/>
  <c r="Q29" i="4"/>
  <c r="B12" i="7" l="1"/>
  <c r="B16" i="7" s="1"/>
  <c r="V26" i="4" l="1"/>
  <c r="K18" i="4" s="1"/>
  <c r="O18" i="4" s="1"/>
  <c r="B19" i="7"/>
  <c r="K33" i="4"/>
  <c r="O33" i="4" s="1"/>
  <c r="K28" i="4"/>
  <c r="O28" i="4" s="1"/>
  <c r="B20" i="7"/>
  <c r="B21" i="7" s="1"/>
  <c r="U17" i="3"/>
  <c r="S24" i="3"/>
  <c r="K31" i="4" l="1"/>
  <c r="O31" i="4" s="1"/>
  <c r="K27" i="4"/>
  <c r="O27" i="4" s="1"/>
  <c r="K20" i="4"/>
  <c r="O20" i="4" s="1"/>
  <c r="K24" i="4"/>
  <c r="O24" i="4" s="1"/>
  <c r="K23" i="4"/>
  <c r="O23" i="4" s="1"/>
  <c r="K19" i="4"/>
  <c r="O19" i="4" s="1"/>
  <c r="K25" i="4"/>
  <c r="O25" i="4" s="1"/>
  <c r="K32" i="4"/>
  <c r="O32" i="4" s="1"/>
  <c r="K29" i="4"/>
  <c r="O29" i="4" s="1"/>
  <c r="F23" i="3"/>
  <c r="F22" i="3"/>
  <c r="F12" i="3"/>
  <c r="F35" i="3"/>
  <c r="F27" i="3"/>
  <c r="F31" i="3"/>
  <c r="F14" i="3"/>
  <c r="F19" i="3"/>
  <c r="F30" i="3"/>
  <c r="F18" i="3"/>
  <c r="F34" i="3"/>
  <c r="F28" i="3"/>
  <c r="F16" i="3"/>
  <c r="F33" i="3"/>
  <c r="F24" i="3"/>
  <c r="F29" i="3"/>
  <c r="F21" i="3"/>
  <c r="F17" i="3"/>
  <c r="F25" i="3"/>
  <c r="F13" i="3"/>
  <c r="T33" i="4"/>
  <c r="L13" i="3" l="1"/>
  <c r="J13" i="3"/>
  <c r="N13" i="3"/>
  <c r="N17" i="3"/>
  <c r="L17" i="3"/>
  <c r="J17" i="3"/>
  <c r="J29" i="3"/>
  <c r="N29" i="3"/>
  <c r="L29" i="3"/>
  <c r="L33" i="3"/>
  <c r="J33" i="3"/>
  <c r="N33" i="3"/>
  <c r="L28" i="3"/>
  <c r="J28" i="3"/>
  <c r="N28" i="3"/>
  <c r="L18" i="3"/>
  <c r="J18" i="3"/>
  <c r="N18" i="3"/>
  <c r="J19" i="3"/>
  <c r="N19" i="3"/>
  <c r="L19" i="3"/>
  <c r="N31" i="3"/>
  <c r="L31" i="3"/>
  <c r="J31" i="3"/>
  <c r="N35" i="3"/>
  <c r="L35" i="3"/>
  <c r="J35" i="3"/>
  <c r="L22" i="3"/>
  <c r="J22" i="3"/>
  <c r="N22" i="3"/>
  <c r="N25" i="3"/>
  <c r="L25" i="3"/>
  <c r="J25" i="3"/>
  <c r="N21" i="3"/>
  <c r="L21" i="3"/>
  <c r="J21" i="3"/>
  <c r="N24" i="3"/>
  <c r="L24" i="3"/>
  <c r="J24" i="3"/>
  <c r="N16" i="3"/>
  <c r="L16" i="3"/>
  <c r="J16" i="3"/>
  <c r="J34" i="3"/>
  <c r="N34" i="3"/>
  <c r="L34" i="3"/>
  <c r="N30" i="3"/>
  <c r="L30" i="3"/>
  <c r="J30" i="3"/>
  <c r="J14" i="3"/>
  <c r="N14" i="3"/>
  <c r="L14" i="3"/>
  <c r="N27" i="3"/>
  <c r="L27" i="3"/>
  <c r="J27" i="3"/>
  <c r="N12" i="3"/>
  <c r="L12" i="3"/>
  <c r="J12" i="3"/>
  <c r="J23" i="3"/>
  <c r="N23" i="3"/>
  <c r="L23" i="3"/>
  <c r="U16" i="12" l="1"/>
  <c r="W16" i="12" s="1"/>
  <c r="S19" i="12"/>
  <c r="U19" i="12" s="1"/>
  <c r="U22" i="12"/>
  <c r="W22" i="12" s="1"/>
  <c r="U23" i="12"/>
  <c r="U24" i="12"/>
  <c r="W24" i="12" s="1"/>
  <c r="W23" i="12" s="1"/>
  <c r="U25" i="12"/>
  <c r="W25" i="12" s="1"/>
  <c r="U26" i="12"/>
  <c r="W26" i="12" s="1"/>
  <c r="U27" i="12"/>
  <c r="W27" i="12" s="1"/>
  <c r="U29" i="12"/>
  <c r="W29" i="12" s="1"/>
  <c r="U35" i="12"/>
  <c r="W35" i="12" s="1"/>
  <c r="U36" i="12"/>
  <c r="W36" i="12" s="1"/>
  <c r="U37" i="12"/>
  <c r="W37" i="12" s="1"/>
  <c r="U38" i="12"/>
  <c r="W38" i="12" s="1"/>
  <c r="S42" i="12"/>
  <c r="U39" i="12"/>
  <c r="W39" i="12" s="1"/>
  <c r="U42" i="12" l="1"/>
  <c r="W42" i="12" s="1"/>
  <c r="AD24" i="11"/>
  <c r="U32" i="11"/>
  <c r="AA24" i="12"/>
  <c r="Q32" i="11"/>
  <c r="AD32" i="11" s="1"/>
  <c r="AA23" i="12"/>
  <c r="AA32" i="12" s="1"/>
  <c r="V24" i="11"/>
  <c r="V23" i="11"/>
  <c r="AN32" i="12" l="1"/>
  <c r="AA44" i="12"/>
  <c r="AL24" i="12" s="1"/>
  <c r="AN24" i="12"/>
  <c r="AE24" i="12"/>
  <c r="V32" i="11"/>
  <c r="AE23" i="12"/>
  <c r="Q44" i="11"/>
  <c r="U44" i="11"/>
  <c r="AE32" i="12" l="1"/>
  <c r="AL28" i="12"/>
  <c r="AN44" i="12"/>
  <c r="AL44" i="12"/>
  <c r="AA48" i="12"/>
  <c r="AN48" i="12" s="1"/>
  <c r="AL39" i="12"/>
  <c r="AG39" i="12" s="1"/>
  <c r="AL26" i="12"/>
  <c r="AG26" i="12" s="1"/>
  <c r="AL37" i="12"/>
  <c r="AG37" i="12" s="1"/>
  <c r="AL27" i="12"/>
  <c r="AG27" i="12" s="1"/>
  <c r="AL29" i="12"/>
  <c r="AG29" i="12" s="1"/>
  <c r="AL35" i="12"/>
  <c r="AG35" i="12" s="1"/>
  <c r="AL38" i="12"/>
  <c r="AG38" i="12" s="1"/>
  <c r="AL22" i="12"/>
  <c r="AG22" i="12" s="1"/>
  <c r="AL36" i="12"/>
  <c r="AG36" i="12" s="1"/>
  <c r="AL25" i="12"/>
  <c r="AG25" i="12" s="1"/>
  <c r="AL16" i="12"/>
  <c r="AG16" i="12" s="1"/>
  <c r="AL23" i="12"/>
  <c r="AG23" i="12" s="1"/>
  <c r="AC23" i="12" s="1"/>
  <c r="AG24" i="12"/>
  <c r="AI24" i="12" s="1"/>
  <c r="AJ24" i="12" s="1"/>
  <c r="AB28" i="11"/>
  <c r="AD44" i="11"/>
  <c r="AB36" i="11"/>
  <c r="W36" i="11" s="1"/>
  <c r="Q48" i="11"/>
  <c r="AD48" i="11" s="1"/>
  <c r="AB44" i="11"/>
  <c r="AB27" i="11"/>
  <c r="W27" i="11" s="1"/>
  <c r="AB16" i="11"/>
  <c r="W16" i="11" s="1"/>
  <c r="AB26" i="11"/>
  <c r="W26" i="11" s="1"/>
  <c r="AB25" i="11"/>
  <c r="W25" i="11" s="1"/>
  <c r="AB24" i="11"/>
  <c r="AB37" i="11"/>
  <c r="W37" i="11" s="1"/>
  <c r="AB29" i="11"/>
  <c r="W29" i="11" s="1"/>
  <c r="AB35" i="11"/>
  <c r="W35" i="11" s="1"/>
  <c r="AB22" i="11"/>
  <c r="W22" i="11" s="1"/>
  <c r="AB39" i="11"/>
  <c r="W39" i="11" s="1"/>
  <c r="AB38" i="11"/>
  <c r="W38" i="11" s="1"/>
  <c r="V44" i="11"/>
  <c r="U48" i="11"/>
  <c r="V48" i="11" s="1"/>
  <c r="AF24" i="12"/>
  <c r="AF23" i="12" s="1"/>
  <c r="Y35" i="11" l="1"/>
  <c r="Z35" i="11" s="1"/>
  <c r="X35" i="11"/>
  <c r="W42" i="11"/>
  <c r="S35" i="11"/>
  <c r="AH25" i="12"/>
  <c r="AI25" i="12"/>
  <c r="AJ25" i="12" s="1"/>
  <c r="AC25" i="12"/>
  <c r="AH26" i="12"/>
  <c r="AC26" i="12"/>
  <c r="AI26" i="12"/>
  <c r="AJ26" i="12" s="1"/>
  <c r="S38" i="11"/>
  <c r="X38" i="11"/>
  <c r="Y38" i="11"/>
  <c r="Z38" i="11" s="1"/>
  <c r="S26" i="11"/>
  <c r="X26" i="11"/>
  <c r="Y26" i="11"/>
  <c r="Z26" i="11" s="1"/>
  <c r="AH36" i="12"/>
  <c r="AI36" i="12"/>
  <c r="AJ36" i="12" s="1"/>
  <c r="AC36" i="12"/>
  <c r="AH29" i="12"/>
  <c r="AC29" i="12"/>
  <c r="AI29" i="12"/>
  <c r="AJ29" i="12" s="1"/>
  <c r="AH39" i="12"/>
  <c r="AI39" i="12"/>
  <c r="AJ39" i="12" s="1"/>
  <c r="AC39" i="12"/>
  <c r="X39" i="11"/>
  <c r="Y39" i="11"/>
  <c r="Z39" i="11" s="1"/>
  <c r="S39" i="11"/>
  <c r="X16" i="11"/>
  <c r="S16" i="11"/>
  <c r="S19" i="11" s="1"/>
  <c r="W19" i="11"/>
  <c r="Y16" i="11"/>
  <c r="Z16" i="11" s="1"/>
  <c r="S36" i="11"/>
  <c r="Y36" i="11"/>
  <c r="Z36" i="11" s="1"/>
  <c r="X36" i="11"/>
  <c r="AH22" i="12"/>
  <c r="AI22" i="12"/>
  <c r="AJ22" i="12" s="1"/>
  <c r="AC22" i="12"/>
  <c r="AG32" i="12"/>
  <c r="AH32" i="12" s="1"/>
  <c r="AH27" i="12"/>
  <c r="AI27" i="12"/>
  <c r="AJ27" i="12" s="1"/>
  <c r="AC27" i="12"/>
  <c r="AF32" i="12"/>
  <c r="AE44" i="12"/>
  <c r="S25" i="11"/>
  <c r="X25" i="11"/>
  <c r="Y25" i="11"/>
  <c r="Z25" i="11" s="1"/>
  <c r="AH35" i="12"/>
  <c r="AG42" i="12"/>
  <c r="AC35" i="12"/>
  <c r="AI35" i="12"/>
  <c r="AJ35" i="12" s="1"/>
  <c r="S29" i="11"/>
  <c r="Y29" i="11"/>
  <c r="Z29" i="11" s="1"/>
  <c r="X29" i="11"/>
  <c r="AH24" i="12"/>
  <c r="AH23" i="12" s="1"/>
  <c r="AJ23" i="12" s="1"/>
  <c r="AC24" i="12"/>
  <c r="S37" i="11"/>
  <c r="X37" i="11"/>
  <c r="Y37" i="11"/>
  <c r="Z37" i="11" s="1"/>
  <c r="X22" i="11"/>
  <c r="Y22" i="11"/>
  <c r="Z22" i="11" s="1"/>
  <c r="W32" i="11"/>
  <c r="S22" i="11"/>
  <c r="W24" i="11"/>
  <c r="AB23" i="11"/>
  <c r="W23" i="11" s="1"/>
  <c r="X27" i="11"/>
  <c r="S27" i="11"/>
  <c r="Y27" i="11"/>
  <c r="Z27" i="11" s="1"/>
  <c r="AH16" i="12"/>
  <c r="AG19" i="12"/>
  <c r="AC16" i="12"/>
  <c r="AI16" i="12"/>
  <c r="AJ16" i="12" s="1"/>
  <c r="AH38" i="12"/>
  <c r="AC38" i="12"/>
  <c r="AI38" i="12"/>
  <c r="AJ38" i="12" s="1"/>
  <c r="AH37" i="12"/>
  <c r="AI37" i="12"/>
  <c r="AJ37" i="12" s="1"/>
  <c r="AC37" i="12"/>
  <c r="AI23" i="12"/>
  <c r="AI19" i="12" l="1"/>
  <c r="AJ19" i="12" s="1"/>
  <c r="AH19" i="12"/>
  <c r="AC42" i="12"/>
  <c r="S42" i="11"/>
  <c r="Y23" i="11"/>
  <c r="S23" i="11"/>
  <c r="S32" i="11" s="1"/>
  <c r="W44" i="11"/>
  <c r="X42" i="11"/>
  <c r="Y42" i="11"/>
  <c r="Z42" i="11" s="1"/>
  <c r="S24" i="11"/>
  <c r="X24" i="11"/>
  <c r="X23" i="11" s="1"/>
  <c r="Z23" i="11" s="1"/>
  <c r="Y24" i="11"/>
  <c r="Z24" i="11" s="1"/>
  <c r="AC32" i="12"/>
  <c r="X32" i="11"/>
  <c r="Y32" i="11"/>
  <c r="AH42" i="12"/>
  <c r="AG44" i="12"/>
  <c r="AI42" i="12"/>
  <c r="AJ42" i="12" s="1"/>
  <c r="AI32" i="12"/>
  <c r="Y19" i="11"/>
  <c r="Z19" i="11" s="1"/>
  <c r="X19" i="11"/>
  <c r="AC19" i="12"/>
  <c r="W19" i="12" s="1"/>
  <c r="AF44" i="12"/>
  <c r="AE48" i="12"/>
  <c r="AF48" i="12" s="1"/>
  <c r="X44" i="11" l="1"/>
  <c r="W48" i="11"/>
  <c r="X48" i="11" s="1"/>
  <c r="Y44" i="11"/>
  <c r="Z44" i="11" s="1"/>
  <c r="AH44" i="12"/>
  <c r="AG48" i="12"/>
  <c r="AH48" i="12" s="1"/>
  <c r="AC44" i="12"/>
  <c r="AC48" i="12" s="1"/>
  <c r="AI44" i="12"/>
  <c r="AJ44" i="12" s="1"/>
  <c r="S44" i="11"/>
  <c r="S48" i="11" s="1"/>
  <c r="W28" i="12" l="1"/>
  <c r="U32" i="12"/>
  <c r="W32" i="12" s="1"/>
  <c r="U44" i="12"/>
  <c r="U48" i="12" s="1"/>
  <c r="S28" i="12" s="1"/>
  <c r="S32" i="12" s="1"/>
  <c r="S44" i="12" s="1"/>
  <c r="S48" i="12" s="1"/>
  <c r="W44" i="12" l="1"/>
  <c r="W48" i="12"/>
</calcChain>
</file>

<file path=xl/sharedStrings.xml><?xml version="1.0" encoding="utf-8"?>
<sst xmlns="http://schemas.openxmlformats.org/spreadsheetml/2006/main" count="1005" uniqueCount="333">
  <si>
    <t xml:space="preserve"> </t>
  </si>
  <si>
    <t>TABLE A. PRESENT AND PROPOSED RATES</t>
  </si>
  <si>
    <t>PACIFIC POWER &amp; LIGHT COMPANY</t>
  </si>
  <si>
    <t>ON REVENUES FROM ELECTRIC SALES TO ULTIMATE CONSUMERS</t>
  </si>
  <si>
    <t>IN WASHINGTON</t>
  </si>
  <si>
    <t>Actual</t>
  </si>
  <si>
    <t>Present</t>
  </si>
  <si>
    <t>Proposed</t>
  </si>
  <si>
    <t>Change</t>
  </si>
  <si>
    <t>Surcharge</t>
  </si>
  <si>
    <t>Curr.</t>
  </si>
  <si>
    <t>Avg.</t>
  </si>
  <si>
    <t>Base</t>
  </si>
  <si>
    <t>Net</t>
  </si>
  <si>
    <t>Line</t>
  </si>
  <si>
    <t>Sch.</t>
  </si>
  <si>
    <t>Cust.</t>
  </si>
  <si>
    <t>MWH</t>
  </si>
  <si>
    <t>Revenues</t>
  </si>
  <si>
    <t>Increase</t>
  </si>
  <si>
    <t>Rates</t>
  </si>
  <si>
    <t>No.</t>
  </si>
  <si>
    <t>Description</t>
  </si>
  <si>
    <t>($000)</t>
  </si>
  <si>
    <t>%</t>
  </si>
  <si>
    <t>(cents/kWh)</t>
  </si>
  <si>
    <t>kWh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</si>
  <si>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</si>
  <si>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</si>
  <si>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</si>
  <si>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</si>
  <si>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</si>
  <si>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</si>
  <si>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</si>
  <si>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</si>
  <si>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</si>
  <si>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</si>
  <si>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(7)/(5)</t>
  </si>
  <si>
    <t>(6/4)</t>
  </si>
  <si>
    <t>Residential</t>
  </si>
  <si>
    <t>Residential Service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</si>
  <si>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</si>
  <si>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</si>
  <si>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</si>
  <si>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</si>
  <si>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</si>
  <si>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</si>
  <si>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</si>
  <si>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</si>
  <si>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</si>
  <si>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</si>
  <si>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48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</si>
  <si>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</si>
  <si>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</si>
  <si>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</si>
  <si>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</si>
  <si>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</si>
  <si>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</si>
  <si>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</si>
  <si>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</si>
  <si>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</si>
  <si>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AGA</t>
  </si>
  <si>
    <t>Total Sales to Ultimate Consumers</t>
  </si>
  <si>
    <t>Pacific Power &amp; Light Company</t>
  </si>
  <si>
    <t>Monthly Billing Comparison</t>
  </si>
  <si>
    <t>Schedule 16 - Residential Service</t>
  </si>
  <si>
    <r>
      <t xml:space="preserve">Monthly Billing </t>
    </r>
    <r>
      <rPr>
        <vertAlign val="superscript"/>
        <sz val="11"/>
        <rFont val="Times New Roman"/>
        <family val="1"/>
      </rPr>
      <t>1</t>
    </r>
  </si>
  <si>
    <t xml:space="preserve">Present </t>
  </si>
  <si>
    <t xml:space="preserve">Basic </t>
  </si>
  <si>
    <t>Energy</t>
  </si>
  <si>
    <t>Difference</t>
  </si>
  <si>
    <t>Present Price</t>
  </si>
  <si>
    <t>Proposed Price</t>
  </si>
  <si>
    <t>Schedule 16</t>
  </si>
  <si>
    <t>Charge</t>
  </si>
  <si>
    <r>
      <t xml:space="preserve">Charge </t>
    </r>
    <r>
      <rPr>
        <vertAlign val="superscript"/>
        <sz val="11"/>
        <rFont val="Times New Roman"/>
        <family val="1"/>
      </rPr>
      <t>2</t>
    </r>
  </si>
  <si>
    <t>Total</t>
  </si>
  <si>
    <t>Percent</t>
  </si>
  <si>
    <t>Basic</t>
  </si>
  <si>
    <t>Energy - 1st 600</t>
  </si>
  <si>
    <t>SBC</t>
  </si>
  <si>
    <t>BPA Credit</t>
  </si>
  <si>
    <t>Low Income-Current</t>
  </si>
  <si>
    <t>REC Adjust</t>
  </si>
  <si>
    <t>Overall:</t>
  </si>
  <si>
    <t>*</t>
  </si>
  <si>
    <t>Notes:</t>
  </si>
  <si>
    <t>* Average Washington Customer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</si>
  <si>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BPA Credit and Deferral Amortization Surcharge</t>
    </r>
  </si>
  <si>
    <t>Billing Comparison</t>
  </si>
  <si>
    <t>Schedule 40 - Agricultural Pumping Service</t>
  </si>
  <si>
    <t>Present Price Schedule 40 *</t>
  </si>
  <si>
    <t>Proposed Price Schedule 40 *</t>
  </si>
  <si>
    <t>Percent Difference</t>
  </si>
  <si>
    <t>kW</t>
  </si>
  <si>
    <t>Annual</t>
  </si>
  <si>
    <t>Load Size/</t>
  </si>
  <si>
    <t>kWh per kW</t>
  </si>
  <si>
    <t>Schedule 40 ***</t>
  </si>
  <si>
    <t>Load Size</t>
  </si>
  <si>
    <t>Schedule 40 **</t>
  </si>
  <si>
    <t>Monthly **</t>
  </si>
  <si>
    <t>All kWh</t>
  </si>
  <si>
    <t>Demand</t>
  </si>
  <si>
    <t>(Equiv Hours)</t>
  </si>
  <si>
    <t>Monthly Bill</t>
  </si>
  <si>
    <t>Bill</t>
  </si>
  <si>
    <t>Single Phase</t>
  </si>
  <si>
    <t>0-50 kW</t>
  </si>
  <si>
    <t>51-300 kW</t>
  </si>
  <si>
    <t>&gt;300 kW</t>
  </si>
  <si>
    <t>Three Phase</t>
  </si>
  <si>
    <t>Low Income-current</t>
  </si>
  <si>
    <t xml:space="preserve">       * Includes SBC Charge, Low Income Charge, BPA Credit and Deferral Amortization Surcharge</t>
  </si>
  <si>
    <t xml:space="preserve">      ** Does not include November Load Size Charge</t>
  </si>
  <si>
    <t>Current</t>
  </si>
  <si>
    <t>BPA</t>
  </si>
  <si>
    <t>Percent of</t>
  </si>
  <si>
    <t xml:space="preserve">Qualifying </t>
  </si>
  <si>
    <t xml:space="preserve">Net </t>
  </si>
  <si>
    <t>MWh</t>
  </si>
  <si>
    <t>02APSV0040-WA AG PMP SRVC</t>
  </si>
  <si>
    <t>IRRIGATION SALES</t>
  </si>
  <si>
    <t>B</t>
  </si>
  <si>
    <t>02BPADEBIT-BPA ADJUST FEE</t>
  </si>
  <si>
    <t>02GNSB0024-WA GEN SRVC DO W/BPA</t>
  </si>
  <si>
    <t>COMMERCIAL SALES</t>
  </si>
  <si>
    <t>INDUSTRIAL SALES</t>
  </si>
  <si>
    <t>02GNSB024F-GEN SRVC DOM/F W/BPA</t>
  </si>
  <si>
    <t>02GNSB24FP-WA GEN SVC SEASONAL W/BPA</t>
  </si>
  <si>
    <t>02LGSB0036-LRG GENSVC IRG W/BPA</t>
  </si>
  <si>
    <t>02NETMT135 - WA RES NET METERING-BPA</t>
  </si>
  <si>
    <t>RESIDENTIAL SALES</t>
  </si>
  <si>
    <t>02OALTB15N-WA OUTD AR LGT NR W/BPA</t>
  </si>
  <si>
    <t>02OALTB15R-WA OUTD AR LGT RES W/BPA</t>
  </si>
  <si>
    <t>02RESD0016-WA RES SRVC</t>
  </si>
  <si>
    <t>02RESD0017-BILL ASSISTANCE</t>
  </si>
  <si>
    <t>02RESD0018-WA 3 PHASE RES</t>
  </si>
  <si>
    <t>02RESD018X-WA 3 PHASE RES</t>
  </si>
  <si>
    <t>BPA Credit Proposed</t>
  </si>
  <si>
    <t>State of Washington</t>
  </si>
  <si>
    <t>Calculation of Adjustment Associated with the Pacific Northwest Electric</t>
  </si>
  <si>
    <t>Customer Class</t>
  </si>
  <si>
    <t>Street Lighting</t>
  </si>
  <si>
    <t>Benefit Dollars</t>
  </si>
  <si>
    <t>Credit Rate</t>
  </si>
  <si>
    <t>¢ per kWh</t>
  </si>
  <si>
    <t>Check</t>
  </si>
  <si>
    <t>Com/Ind/Irr</t>
  </si>
  <si>
    <t>Total Sales to Standard Tariff Customers</t>
  </si>
  <si>
    <t>(11)</t>
  </si>
  <si>
    <t>(12)</t>
  </si>
  <si>
    <t>16/17/18</t>
  </si>
  <si>
    <t>305 from Cognos (305 Reports)</t>
  </si>
  <si>
    <t>kwh</t>
  </si>
  <si>
    <t>rev</t>
  </si>
  <si>
    <t>No BPA</t>
  </si>
  <si>
    <t>Rate</t>
  </si>
  <si>
    <t>Revenue Class Description</t>
  </si>
  <si>
    <t>Rate Description</t>
  </si>
  <si>
    <t>Rate Group Description</t>
  </si>
  <si>
    <t>Revenue</t>
  </si>
  <si>
    <t>Billing Count</t>
  </si>
  <si>
    <t>unbilled</t>
  </si>
  <si>
    <t>UNBILLED REVENUE</t>
  </si>
  <si>
    <t>U</t>
  </si>
  <si>
    <t>bpa</t>
  </si>
  <si>
    <t>BPA BALANCING ACCOUNT</t>
  </si>
  <si>
    <t>smud</t>
  </si>
  <si>
    <t>SMUD REVENUE IMPUTATIONS</t>
  </si>
  <si>
    <t>R</t>
  </si>
  <si>
    <t>REVENUE ADJUSTMENT - DEFERRED NPC</t>
  </si>
  <si>
    <t>def</t>
  </si>
  <si>
    <t>WASHINGTON - CHEHALIS DEFERRAL</t>
  </si>
  <si>
    <t>REVENUE_ACCOUNTING ADJUSTMENTS</t>
  </si>
  <si>
    <t>dsm</t>
  </si>
  <si>
    <t>301270-DSM REVENUE-COMMERCIAL</t>
  </si>
  <si>
    <t>blue</t>
  </si>
  <si>
    <t>301280-BLUE SKY REVENUE-COMMERCIAL</t>
  </si>
  <si>
    <t>02GNSV0024-WA GEN SRVC</t>
  </si>
  <si>
    <t>24f</t>
  </si>
  <si>
    <t>02GNSV024F-WA GEN SRVC-FL</t>
  </si>
  <si>
    <t>02LGSV0036-WA LRG GEN SRV</t>
  </si>
  <si>
    <t>48t</t>
  </si>
  <si>
    <t>02LGSV048T-LRG GEN SRVC 1</t>
  </si>
  <si>
    <t>aga</t>
  </si>
  <si>
    <t>02LNX00102-LINE EXT 80% G</t>
  </si>
  <si>
    <t>02LNX00103-LINE EXT 80% G</t>
  </si>
  <si>
    <t>02LNX00105-CNTRCT $ MIN G</t>
  </si>
  <si>
    <t>02LNX00109-REF/NREF ADV +</t>
  </si>
  <si>
    <t>02LNX00110-REF/NREF ADV +</t>
  </si>
  <si>
    <t>02LNX00112-YR INCURRED CH</t>
  </si>
  <si>
    <t>15n</t>
  </si>
  <si>
    <t>02OALT015N-WA OUTD AR LGT</t>
  </si>
  <si>
    <t>02RCFL0054-WA REC FIELD L</t>
  </si>
  <si>
    <t>02LNX00300-LINE EXT 80% G</t>
  </si>
  <si>
    <t>02NMT24135, Net metering, WA</t>
  </si>
  <si>
    <t>02GNSB0024-WA GEN SRVC DO</t>
  </si>
  <si>
    <t>b24</t>
  </si>
  <si>
    <t>24fp</t>
  </si>
  <si>
    <t>02GNSB24FP-WA GEN SVC SEASONAL</t>
  </si>
  <si>
    <t>b24fp</t>
  </si>
  <si>
    <t>02LGSB0036-LRG GEN SVC IRG</t>
  </si>
  <si>
    <t>b36</t>
  </si>
  <si>
    <t>02OALTB15N-WA OUTD AR LGT NR</t>
  </si>
  <si>
    <t>b15n</t>
  </si>
  <si>
    <t>02GNSB024F-GEN SRVC DOM/F</t>
  </si>
  <si>
    <t>b24f</t>
  </si>
  <si>
    <t>02LNX00311 - LINE EXT 80% GUARANTEE</t>
  </si>
  <si>
    <t>02LNX00310 - IRG, 80% ANNUAL MIN + 80%</t>
  </si>
  <si>
    <t>02LNX00312 - WA IRG LINE EXT</t>
  </si>
  <si>
    <t>02NMT36135-WA NET METER LRG SVC &lt; 1000KW</t>
  </si>
  <si>
    <t>02NMT24135, Net metering, WA-BPA</t>
  </si>
  <si>
    <t>CUSTOMER COUNT - REGULAR</t>
  </si>
  <si>
    <t>CUSTOMER COUNT - BPA</t>
  </si>
  <si>
    <t>Kwh</t>
  </si>
  <si>
    <t>301370-DSM REVENUE-INDUSTRIAL</t>
  </si>
  <si>
    <t>02PRSV47TM-LRG PART REQMT</t>
  </si>
  <si>
    <t>Sum:</t>
  </si>
  <si>
    <t>IRRIGATION UNBILLED</t>
  </si>
  <si>
    <t>IRRIGATION BPA BAL ACCT</t>
  </si>
  <si>
    <t>irr</t>
  </si>
  <si>
    <t>301461-IRRIGATION DEMAND CHARGE ACCRUAL</t>
  </si>
  <si>
    <t>301470-DSM REVENUE-IRRIGATION</t>
  </si>
  <si>
    <t>301480-BLUE SKY REVENUE-IRRIGATION</t>
  </si>
  <si>
    <t>b40</t>
  </si>
  <si>
    <t>40x</t>
  </si>
  <si>
    <t>02APSV040X-WA AG PMP SRVC</t>
  </si>
  <si>
    <t>bbpaadj</t>
  </si>
  <si>
    <t>bpaadj</t>
  </si>
  <si>
    <t>PUBLIC STREET&amp;HIGHWAY LIGHTING</t>
  </si>
  <si>
    <t>301670-DSM REVENUE-PSHL</t>
  </si>
  <si>
    <t>02CFR00012-STR LGTS (CONV</t>
  </si>
  <si>
    <t>02COSL0052-WA STR LGT SRV</t>
  </si>
  <si>
    <t>02CUSL053F-WA STR LGT SRV</t>
  </si>
  <si>
    <t>53m</t>
  </si>
  <si>
    <t>02CUSL053M-WA STR LGT SRV</t>
  </si>
  <si>
    <t>02HPSV0051-WA HI PRESSURE</t>
  </si>
  <si>
    <t>02MVSL0057-WA MERC VAPSTR</t>
  </si>
  <si>
    <t>301170-DSM REVENUE-RESIDENTIAL</t>
  </si>
  <si>
    <t>301180-BLUE SKY REVENUE-RESIDENTIAL</t>
  </si>
  <si>
    <t>b16</t>
  </si>
  <si>
    <t>b18</t>
  </si>
  <si>
    <t>18x</t>
  </si>
  <si>
    <t>b18x</t>
  </si>
  <si>
    <t>02BLSKY01R-BLUESKY ENERGY</t>
  </si>
  <si>
    <t>02RESD0017-BILL ASSISTANC</t>
  </si>
  <si>
    <t>b17</t>
  </si>
  <si>
    <t>301119 - UNBILLED REV - UNCOLLECTIBLE</t>
  </si>
  <si>
    <t>15r</t>
  </si>
  <si>
    <t>02OALTB15R-WA OUTD AR LGT RES</t>
  </si>
  <si>
    <t>b15r</t>
  </si>
  <si>
    <t>02NETMT135 - WA RES NET METERING</t>
  </si>
  <si>
    <t>b135</t>
  </si>
  <si>
    <t>02RGNSB024-WA SMALL GENERAL SVC-RES</t>
  </si>
  <si>
    <t>02RGNSB024-WA SMALL GENERAL SVC-RES-BPA</t>
  </si>
  <si>
    <t>Non BPA</t>
  </si>
  <si>
    <t>Regular only</t>
  </si>
  <si>
    <t>Unbilled</t>
  </si>
  <si>
    <t>Check:  305 Report</t>
  </si>
  <si>
    <t>(7)-(6)</t>
  </si>
  <si>
    <t>ESTIMATED EFFECT OF PROPOSED BASE RATE INCREASE</t>
  </si>
  <si>
    <t>12 MONTHS ENDED DECEMBER 2013</t>
  </si>
  <si>
    <t>Deferrals</t>
  </si>
  <si>
    <t>(7)+(9)</t>
  </si>
  <si>
    <t>(11)/(5)</t>
  </si>
  <si>
    <t>Washington- December 2013</t>
  </si>
  <si>
    <t>12 Months Ended December 2013</t>
  </si>
  <si>
    <t>Washington- 12 Months Ended December 2013</t>
  </si>
  <si>
    <t>02NMT48135-WA LG SVC NET METER=&gt;1000 KW</t>
  </si>
  <si>
    <t>02NMT40135-WA NET METERING-IRG</t>
  </si>
  <si>
    <t>02NMT40135-WA NET METERING BPA-IRG</t>
  </si>
  <si>
    <t>53f</t>
  </si>
  <si>
    <t>02UPPL000R-BASE SCH FALL</t>
  </si>
  <si>
    <t>Power Planning and Conservation Act (BPA Credit) for October 1, 2015</t>
  </si>
  <si>
    <t>2013 Qualifying</t>
  </si>
  <si>
    <t>Deferral Surcharge</t>
  </si>
  <si>
    <t>new rate</t>
  </si>
  <si>
    <t>Allocation of Total PacifiCorp REP Benefits</t>
  </si>
  <si>
    <t>By State</t>
  </si>
  <si>
    <t>Total Proposed Benefit</t>
  </si>
  <si>
    <r>
      <t xml:space="preserve">IOU Allocation Adjustments </t>
    </r>
    <r>
      <rPr>
        <b/>
        <vertAlign val="superscript"/>
        <sz val="10"/>
        <rFont val="Arial Narrow"/>
        <family val="2"/>
      </rPr>
      <t>(3)</t>
    </r>
  </si>
  <si>
    <t>Net REP Benefits</t>
  </si>
  <si>
    <t>Qualifying</t>
  </si>
  <si>
    <t>Initial</t>
  </si>
  <si>
    <t>REP Credit</t>
  </si>
  <si>
    <t>LB</t>
  </si>
  <si>
    <t>IOU Allocated</t>
  </si>
  <si>
    <t>FY-2014</t>
  </si>
  <si>
    <t>State</t>
  </si>
  <si>
    <t>¢/kWh</t>
  </si>
  <si>
    <t>Adjust.</t>
  </si>
  <si>
    <t>Amount $</t>
  </si>
  <si>
    <t>Oregon</t>
  </si>
  <si>
    <t>Washington</t>
  </si>
  <si>
    <t>Idaho</t>
  </si>
  <si>
    <t>Total PacifiCorp</t>
  </si>
  <si>
    <t>Amount</t>
  </si>
  <si>
    <t>ANNUAL  AVERAGE</t>
  </si>
  <si>
    <t>REP</t>
  </si>
  <si>
    <t>Average</t>
  </si>
  <si>
    <t>2-YR Rate Period Total</t>
  </si>
  <si>
    <t xml:space="preserve">Benefits </t>
  </si>
  <si>
    <t>per Year</t>
  </si>
  <si>
    <t>Lookback</t>
  </si>
  <si>
    <t>Allocation</t>
  </si>
  <si>
    <t>2002-2008</t>
  </si>
  <si>
    <t>Allocated to state jurisdictions by ratio</t>
  </si>
  <si>
    <t xml:space="preserve">of beneifits received under overturned </t>
  </si>
  <si>
    <t>disallowed settlement 2002-2007.</t>
  </si>
  <si>
    <t>ACTUAL BASE YEAR + 12MOS.</t>
  </si>
  <si>
    <t>TOTAL</t>
  </si>
  <si>
    <t>Rate Period</t>
  </si>
  <si>
    <t>Share %</t>
  </si>
  <si>
    <t>For FY-2016 and FY-2017</t>
  </si>
  <si>
    <t>For October 1, 2015 - September 30, 2016</t>
  </si>
  <si>
    <t>From the 14-15 REP Allocation:</t>
  </si>
  <si>
    <t>IOU Realloc</t>
  </si>
  <si>
    <t>FY-2016</t>
  </si>
  <si>
    <r>
      <t>MWh</t>
    </r>
    <r>
      <rPr>
        <b/>
        <vertAlign val="superscript"/>
        <sz val="10"/>
        <rFont val="Arial Narrow"/>
        <family val="2"/>
      </rPr>
      <t>(1)</t>
    </r>
  </si>
  <si>
    <r>
      <t>Amount $</t>
    </r>
    <r>
      <rPr>
        <b/>
        <vertAlign val="superscript"/>
        <sz val="10"/>
        <rFont val="Arial Narrow"/>
        <family val="2"/>
      </rPr>
      <t>(2)</t>
    </r>
  </si>
  <si>
    <r>
      <t>Adjust.</t>
    </r>
    <r>
      <rPr>
        <b/>
        <vertAlign val="superscript"/>
        <sz val="10"/>
        <rFont val="Arial Narrow"/>
        <family val="2"/>
      </rPr>
      <t xml:space="preserve"> (4)</t>
    </r>
  </si>
  <si>
    <r>
      <t xml:space="preserve">Balance </t>
    </r>
    <r>
      <rPr>
        <b/>
        <sz val="8"/>
        <color rgb="FF0000FF"/>
        <rFont val="Arial Narrow"/>
        <family val="2"/>
      </rPr>
      <t>8-1-15</t>
    </r>
  </si>
  <si>
    <t>Balance 8-1-13</t>
  </si>
  <si>
    <t>For October 1, 2016 - September 30, 2017</t>
  </si>
  <si>
    <t>FY-2017</t>
  </si>
  <si>
    <r>
      <t xml:space="preserve">Balance </t>
    </r>
    <r>
      <rPr>
        <b/>
        <sz val="8"/>
        <color rgb="FF0000FF"/>
        <rFont val="Arial Narrow"/>
        <family val="2"/>
      </rPr>
      <t>8-1-16</t>
    </r>
  </si>
  <si>
    <t>For Two-Year Rate Period:  October 1, 2015 - September 30, 2017</t>
  </si>
  <si>
    <t>Per Settlement Agreement IOU Section 6. Base period and subsequent period average</t>
  </si>
  <si>
    <t>Total REP Benefits from BP-16 Table 2.4.11</t>
  </si>
  <si>
    <t>CY-2013(MWH)</t>
  </si>
  <si>
    <t>CY-2014(MWH)</t>
  </si>
  <si>
    <t>ncs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</si>
</sst>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#,##0.000_);\(#,##0.000\)"/>
    <numFmt numFmtId="167" formatCode="0.000_)"/>
    <numFmt numFmtId="168" formatCode="_(* #,##0_);_(* \(#,##0\);_(* &quot;-&quot;??_);_(@_)"/>
    <numFmt numFmtId="169" formatCode="_(&quot;$&quot;* #,##0_);_(&quot;$&quot;* \(#,##0\);_(&quot;$&quot;* &quot;-&quot;??_);_(@_)"/>
    <numFmt numFmtId="170" formatCode="0.00000000000000%"/>
    <numFmt numFmtId="171" formatCode="########\-###\-###"/>
    <numFmt numFmtId="172" formatCode="General_)"/>
    <numFmt numFmtId="173" formatCode="0.000"/>
    <numFmt numFmtId="174" formatCode="0.00_)"/>
    <numFmt numFmtId="175" formatCode="&quot;$&quot;#,##0"/>
    <numFmt numFmtId="176" formatCode="&quot;$&quot;#,##0.000"/>
    <numFmt numFmtId="177" formatCode="#,##0;\-#,##0;#,##0"/>
    <numFmt numFmtId="178" formatCode="#,##0.00;\-#,##0.00"/>
    <numFmt numFmtId="179" formatCode="&quot;$&quot;#,##0.00"/>
    <numFmt numFmtId="180" formatCode="0.00000"/>
    <numFmt numFmtId="181" formatCode="&quot;$&quot;#,##0.00_);\-&quot;$&quot;#,##0.00_);&quot;$&quot;#,##0.00_)"/>
    <numFmt numFmtId="182" formatCode="_-* #,##0\ &quot;F&quot;_-;\-* #,##0\ &quot;F&quot;_-;_-* &quot;-&quot;\ &quot;F&quot;_-;_-@_-"/>
    <numFmt numFmtId="183" formatCode="_(* #,##0.00_);[Red]_(* \(#,##0.00\);_(* &quot;-&quot;??_);_(@_)"/>
    <numFmt numFmtId="184" formatCode="&quot;$&quot;###0;[Red]\(&quot;$&quot;###0\)"/>
    <numFmt numFmtId="185" formatCode="&quot;$&quot;#,##0\ ;\(&quot;$&quot;#,##0\)"/>
    <numFmt numFmtId="186" formatCode="mmmm\ d\,\ yyyy"/>
    <numFmt numFmtId="187" formatCode="0.000%"/>
    <numFmt numFmtId="188" formatCode="0.0"/>
    <numFmt numFmtId="189" formatCode="#,##0.000;[Red]\-#,##0.000"/>
    <numFmt numFmtId="190" formatCode="_(* #,##0_);[Red]_(* \(#,##0\);_(* &quot;-&quot;_);_(@_)"/>
    <numFmt numFmtId="191" formatCode="#,##0.0_);\(#,##0.0\);\-\ ;"/>
    <numFmt numFmtId="192" formatCode="#,##0.0000"/>
    <numFmt numFmtId="193" formatCode="mmm\ dd\,\ yyyy"/>
    <numFmt numFmtId="194" formatCode="0.0000000"/>
    <numFmt numFmtId="195" formatCode="_(* #,##0.00000_);_(* \(#,##0.00000\);_(* &quot;-&quot;??_);_(@_)"/>
    <numFmt numFmtId="196" formatCode="0.000000"/>
    <numFmt numFmtId="197" formatCode="_(* #,##0.0_);_(* \(#,##0.0\);_(* &quot;-&quot;_);_(@_)"/>
    <numFmt numFmtId="198" formatCode="#,##0.0000_);[Red]\(#,##0.0000\)"/>
    <numFmt numFmtId="199" formatCode="0_);\(0\)"/>
    <numFmt numFmtId="200" formatCode="0.0000"/>
  </numFmts>
  <fonts count="97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sz val="7"/>
      <name val="Arial"/>
      <family val="2"/>
    </font>
    <font>
      <sz val="10"/>
      <name val="LinePrinter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0"/>
      <name val="SWISS"/>
    </font>
    <font>
      <i/>
      <sz val="12"/>
      <name val="Times New Roman"/>
      <family val="1"/>
    </font>
    <font>
      <sz val="12"/>
      <name val="Arial"/>
      <family val="2"/>
      <charset val="1"/>
    </font>
    <font>
      <b/>
      <sz val="12"/>
      <name val="Times New Roman"/>
      <family val="1"/>
    </font>
    <font>
      <sz val="12"/>
      <name val="Arial"/>
      <family val="2"/>
    </font>
    <font>
      <sz val="7"/>
      <name val="Arial"/>
      <family val="2"/>
      <charset val="1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Geneva"/>
    </font>
    <font>
      <sz val="10"/>
      <color theme="1"/>
      <name val="Arial"/>
      <family val="2"/>
    </font>
    <font>
      <sz val="10"/>
      <color indexed="24"/>
      <name val="Courier New"/>
      <family val="3"/>
    </font>
    <font>
      <sz val="10"/>
      <name val="Helv"/>
    </font>
    <font>
      <sz val="10"/>
      <name val="MS Sans Serif"/>
      <family val="2"/>
    </font>
    <font>
      <sz val="8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sz val="11"/>
      <color indexed="52"/>
      <name val="Calibri"/>
      <family val="2"/>
    </font>
    <font>
      <sz val="8"/>
      <name val="Times New Roman"/>
      <family val="1"/>
    </font>
    <font>
      <b/>
      <sz val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11"/>
      <name val="Genev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u/>
      <sz val="14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b/>
      <u/>
      <sz val="10"/>
      <name val="Arial Narrow"/>
      <family val="2"/>
    </font>
    <font>
      <b/>
      <u/>
      <sz val="8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sz val="10"/>
      <name val="Arial"/>
    </font>
    <font>
      <b/>
      <sz val="12"/>
      <color rgb="FF0000FF"/>
      <name val="Arial Narrow"/>
      <family val="2"/>
    </font>
    <font>
      <b/>
      <u/>
      <sz val="14"/>
      <color rgb="FF0000FF"/>
      <name val="Arial Narrow"/>
      <family val="2"/>
    </font>
    <font>
      <b/>
      <sz val="10"/>
      <color rgb="FF0000FF"/>
      <name val="Arial Narrow"/>
      <family val="2"/>
    </font>
    <font>
      <b/>
      <sz val="8"/>
      <color rgb="FF0000FF"/>
      <name val="Arial Narrow"/>
      <family val="2"/>
    </font>
    <font>
      <sz val="10"/>
      <color rgb="FF0000FF"/>
      <name val="Arial Narrow"/>
      <family val="2"/>
    </font>
    <font>
      <sz val="8"/>
      <color rgb="FF0000FF"/>
      <name val="Arial Narrow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1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9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>
      <alignment horizontal="left"/>
    </xf>
    <xf numFmtId="171" fontId="8" fillId="0" borderId="0"/>
    <xf numFmtId="168" fontId="13" fillId="0" borderId="0" applyFont="0" applyAlignment="0" applyProtection="0"/>
    <xf numFmtId="0" fontId="8" fillId="0" borderId="0">
      <alignment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9" fontId="8" fillId="0" borderId="0" applyFont="0" applyFill="0" applyBorder="0" applyAlignment="0" applyProtection="0"/>
    <xf numFmtId="172" fontId="15" fillId="0" borderId="0">
      <alignment horizontal="left"/>
    </xf>
    <xf numFmtId="0" fontId="8" fillId="0" borderId="0"/>
    <xf numFmtId="0" fontId="3" fillId="0" borderId="0"/>
    <xf numFmtId="0" fontId="25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8" fillId="0" borderId="0"/>
    <xf numFmtId="0" fontId="8" fillId="0" borderId="0">
      <alignment wrapText="1"/>
    </xf>
    <xf numFmtId="0" fontId="8" fillId="0" borderId="0">
      <alignment wrapText="1"/>
    </xf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33" fillId="0" borderId="0"/>
    <xf numFmtId="44" fontId="30" fillId="0" borderId="0" applyFont="0" applyFill="0" applyBorder="0" applyAlignment="0" applyProtection="0"/>
    <xf numFmtId="0" fontId="30" fillId="0" borderId="0"/>
    <xf numFmtId="0" fontId="8" fillId="0" borderId="0"/>
    <xf numFmtId="0" fontId="34" fillId="0" borderId="0"/>
    <xf numFmtId="0" fontId="3" fillId="0" borderId="0"/>
    <xf numFmtId="9" fontId="8" fillId="0" borderId="0" applyFont="0" applyFill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7" fillId="20" borderId="21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24" fillId="21" borderId="0" applyNumberFormat="0" applyBorder="0" applyAlignment="0" applyProtection="0"/>
    <xf numFmtId="0" fontId="39" fillId="22" borderId="22" applyNumberFormat="0" applyAlignment="0" applyProtection="0"/>
    <xf numFmtId="0" fontId="39" fillId="22" borderId="22" applyNumberFormat="0" applyAlignment="0" applyProtection="0"/>
    <xf numFmtId="0" fontId="39" fillId="22" borderId="22" applyNumberFormat="0" applyAlignment="0" applyProtection="0"/>
    <xf numFmtId="0" fontId="39" fillId="22" borderId="22" applyNumberFormat="0" applyAlignment="0" applyProtection="0"/>
    <xf numFmtId="0" fontId="39" fillId="22" borderId="22" applyNumberFormat="0" applyAlignment="0" applyProtection="0"/>
    <xf numFmtId="0" fontId="40" fillId="23" borderId="23" applyNumberFormat="0" applyAlignment="0" applyProtection="0"/>
    <xf numFmtId="0" fontId="40" fillId="23" borderId="23" applyNumberFormat="0" applyAlignment="0" applyProtection="0"/>
    <xf numFmtId="0" fontId="40" fillId="23" borderId="23" applyNumberFormat="0" applyAlignment="0" applyProtection="0"/>
    <xf numFmtId="0" fontId="40" fillId="23" borderId="23" applyNumberFormat="0" applyAlignment="0" applyProtection="0"/>
    <xf numFmtId="0" fontId="40" fillId="23" borderId="23" applyNumberFormat="0" applyAlignment="0" applyProtection="0"/>
    <xf numFmtId="0" fontId="41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" fontId="42" fillId="0" borderId="0"/>
    <xf numFmtId="41" fontId="8" fillId="0" borderId="0" applyFont="0" applyFill="0" applyBorder="0" applyAlignment="0" applyProtection="0"/>
    <xf numFmtId="4" fontId="4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37" fontId="8" fillId="0" borderId="0" applyFill="0" applyBorder="0" applyAlignment="0" applyProtection="0"/>
    <xf numFmtId="0" fontId="46" fillId="0" borderId="0"/>
    <xf numFmtId="0" fontId="46" fillId="0" borderId="0"/>
    <xf numFmtId="0" fontId="46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1" fillId="0" borderId="0" applyFont="0" applyFill="0" applyBorder="0" applyAlignment="0" applyProtection="0"/>
    <xf numFmtId="184" fontId="48" fillId="0" borderId="0" applyFont="0" applyFill="0" applyBorder="0" applyProtection="0">
      <alignment horizontal="right"/>
    </xf>
    <xf numFmtId="5" fontId="46" fillId="0" borderId="0"/>
    <xf numFmtId="185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/>
    <xf numFmtId="0" fontId="46" fillId="0" borderId="0"/>
    <xf numFmtId="186" fontId="8" fillId="0" borderId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45" fillId="0" borderId="0" applyFont="0" applyFill="0" applyBorder="0" applyAlignment="0" applyProtection="0"/>
    <xf numFmtId="0" fontId="46" fillId="0" borderId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38" fontId="51" fillId="24" borderId="0" applyNumberFormat="0" applyBorder="0" applyAlignment="0" applyProtection="0"/>
    <xf numFmtId="38" fontId="51" fillId="24" borderId="0" applyNumberFormat="0" applyBorder="0" applyAlignment="0" applyProtection="0"/>
    <xf numFmtId="38" fontId="51" fillId="24" borderId="0" applyNumberFormat="0" applyBorder="0" applyAlignment="0" applyProtection="0"/>
    <xf numFmtId="0" fontId="52" fillId="0" borderId="0"/>
    <xf numFmtId="0" fontId="53" fillId="0" borderId="24" applyNumberFormat="0" applyAlignment="0" applyProtection="0">
      <alignment horizontal="left" vertical="center"/>
    </xf>
    <xf numFmtId="0" fontId="53" fillId="0" borderId="19">
      <alignment horizontal="left" vertical="center"/>
    </xf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87" fontId="8" fillId="0" borderId="0">
      <protection locked="0"/>
    </xf>
    <xf numFmtId="187" fontId="8" fillId="0" borderId="0"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10" fontId="51" fillId="25" borderId="21" applyNumberFormat="0" applyBorder="0" applyAlignment="0" applyProtection="0"/>
    <xf numFmtId="10" fontId="51" fillId="25" borderId="21" applyNumberFormat="0" applyBorder="0" applyAlignment="0" applyProtection="0"/>
    <xf numFmtId="10" fontId="51" fillId="25" borderId="21" applyNumberFormat="0" applyBorder="0" applyAlignment="0" applyProtection="0"/>
    <xf numFmtId="38" fontId="56" fillId="0" borderId="0">
      <alignment horizontal="left" wrapText="1"/>
    </xf>
    <xf numFmtId="38" fontId="57" fillId="0" borderId="0">
      <alignment horizontal="left" wrapText="1"/>
    </xf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9" fillId="26" borderId="0"/>
    <xf numFmtId="0" fontId="59" fillId="27" borderId="0"/>
    <xf numFmtId="0" fontId="24" fillId="28" borderId="15" applyBorder="0"/>
    <xf numFmtId="0" fontId="8" fillId="29" borderId="14" applyNumberFormat="0" applyFont="0" applyBorder="0" applyAlignment="0" applyProtection="0"/>
    <xf numFmtId="188" fontId="60" fillId="0" borderId="0" applyNumberFormat="0" applyFill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51" fillId="0" borderId="27" applyNumberFormat="0" applyBorder="0" applyAlignment="0"/>
    <xf numFmtId="0" fontId="51" fillId="0" borderId="27" applyNumberFormat="0" applyBorder="0" applyAlignment="0"/>
    <xf numFmtId="0" fontId="51" fillId="0" borderId="27" applyNumberFormat="0" applyBorder="0" applyAlignment="0"/>
    <xf numFmtId="189" fontId="8" fillId="0" borderId="0"/>
    <xf numFmtId="189" fontId="8" fillId="0" borderId="0"/>
    <xf numFmtId="189" fontId="8" fillId="0" borderId="0"/>
    <xf numFmtId="0" fontId="8" fillId="0" borderId="0"/>
    <xf numFmtId="0" fontId="8" fillId="0" borderId="0"/>
    <xf numFmtId="0" fontId="8" fillId="0" borderId="0">
      <alignment wrapText="1"/>
    </xf>
    <xf numFmtId="0" fontId="8" fillId="0" borderId="0">
      <alignment wrapText="1"/>
    </xf>
    <xf numFmtId="0" fontId="8" fillId="0" borderId="0"/>
    <xf numFmtId="0" fontId="8" fillId="0" borderId="0"/>
    <xf numFmtId="0" fontId="4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1" fillId="0" borderId="0"/>
    <xf numFmtId="41" fontId="21" fillId="0" borderId="0"/>
    <xf numFmtId="41" fontId="21" fillId="0" borderId="0"/>
    <xf numFmtId="41" fontId="21" fillId="0" borderId="0"/>
    <xf numFmtId="41" fontId="21" fillId="0" borderId="0"/>
    <xf numFmtId="41" fontId="21" fillId="0" borderId="0"/>
    <xf numFmtId="0" fontId="8" fillId="0" borderId="0"/>
    <xf numFmtId="41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190" fontId="8" fillId="0" borderId="0"/>
    <xf numFmtId="0" fontId="1" fillId="0" borderId="0"/>
    <xf numFmtId="0" fontId="8" fillId="0" borderId="0">
      <alignment wrapText="1"/>
    </xf>
    <xf numFmtId="0" fontId="8" fillId="0" borderId="0">
      <alignment wrapText="1"/>
    </xf>
    <xf numFmtId="41" fontId="8" fillId="0" borderId="0"/>
    <xf numFmtId="0" fontId="8" fillId="0" borderId="0"/>
    <xf numFmtId="37" fontId="46" fillId="0" borderId="0"/>
    <xf numFmtId="0" fontId="8" fillId="31" borderId="28" applyNumberFormat="0" applyFont="0" applyAlignment="0" applyProtection="0"/>
    <xf numFmtId="0" fontId="8" fillId="31" borderId="28" applyNumberFormat="0" applyFont="0" applyAlignment="0" applyProtection="0"/>
    <xf numFmtId="0" fontId="8" fillId="31" borderId="28" applyNumberFormat="0" applyFont="0" applyAlignment="0" applyProtection="0"/>
    <xf numFmtId="0" fontId="8" fillId="31" borderId="28" applyNumberFormat="0" applyFont="0" applyAlignment="0" applyProtection="0"/>
    <xf numFmtId="0" fontId="8" fillId="31" borderId="28" applyNumberFormat="0" applyFont="0" applyAlignment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0" fontId="62" fillId="22" borderId="29" applyNumberFormat="0" applyAlignment="0" applyProtection="0"/>
    <xf numFmtId="0" fontId="62" fillId="22" borderId="29" applyNumberFormat="0" applyAlignment="0" applyProtection="0"/>
    <xf numFmtId="0" fontId="62" fillId="22" borderId="29" applyNumberFormat="0" applyAlignment="0" applyProtection="0"/>
    <xf numFmtId="0" fontId="62" fillId="22" borderId="29" applyNumberFormat="0" applyAlignment="0" applyProtection="0"/>
    <xf numFmtId="0" fontId="62" fillId="22" borderId="29" applyNumberFormat="0" applyAlignment="0" applyProtection="0"/>
    <xf numFmtId="12" fontId="53" fillId="32" borderId="30">
      <alignment horizontal="left"/>
    </xf>
    <xf numFmtId="0" fontId="46" fillId="0" borderId="0"/>
    <xf numFmtId="0" fontId="46" fillId="0" borderId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3" fillId="0" borderId="0"/>
    <xf numFmtId="4" fontId="64" fillId="30" borderId="31" applyNumberFormat="0" applyProtection="0">
      <alignment vertical="center"/>
    </xf>
    <xf numFmtId="4" fontId="65" fillId="33" borderId="31" applyNumberFormat="0" applyProtection="0">
      <alignment vertical="center"/>
    </xf>
    <xf numFmtId="4" fontId="64" fillId="33" borderId="31" applyNumberFormat="0" applyProtection="0">
      <alignment horizontal="left" vertical="center" indent="1"/>
    </xf>
    <xf numFmtId="0" fontId="64" fillId="33" borderId="31" applyNumberFormat="0" applyProtection="0">
      <alignment horizontal="left" vertical="top" indent="1"/>
    </xf>
    <xf numFmtId="4" fontId="64" fillId="34" borderId="31" applyNumberFormat="0" applyProtection="0"/>
    <xf numFmtId="4" fontId="66" fillId="3" borderId="31" applyNumberFormat="0" applyProtection="0">
      <alignment horizontal="right" vertical="center"/>
    </xf>
    <xf numFmtId="4" fontId="66" fillId="9" borderId="31" applyNumberFormat="0" applyProtection="0">
      <alignment horizontal="right" vertical="center"/>
    </xf>
    <xf numFmtId="4" fontId="66" fillId="17" borderId="31" applyNumberFormat="0" applyProtection="0">
      <alignment horizontal="right" vertical="center"/>
    </xf>
    <xf numFmtId="4" fontId="66" fillId="11" borderId="31" applyNumberFormat="0" applyProtection="0">
      <alignment horizontal="right" vertical="center"/>
    </xf>
    <xf numFmtId="4" fontId="66" fillId="15" borderId="31" applyNumberFormat="0" applyProtection="0">
      <alignment horizontal="right" vertical="center"/>
    </xf>
    <xf numFmtId="4" fontId="66" fillId="19" borderId="31" applyNumberFormat="0" applyProtection="0">
      <alignment horizontal="right" vertical="center"/>
    </xf>
    <xf numFmtId="4" fontId="66" fillId="18" borderId="31" applyNumberFormat="0" applyProtection="0">
      <alignment horizontal="right" vertical="center"/>
    </xf>
    <xf numFmtId="4" fontId="66" fillId="35" borderId="31" applyNumberFormat="0" applyProtection="0">
      <alignment horizontal="right" vertical="center"/>
    </xf>
    <xf numFmtId="4" fontId="66" fillId="10" borderId="31" applyNumberFormat="0" applyProtection="0">
      <alignment horizontal="right" vertical="center"/>
    </xf>
    <xf numFmtId="4" fontId="64" fillId="36" borderId="32" applyNumberFormat="0" applyProtection="0">
      <alignment horizontal="left" vertical="center" indent="1"/>
    </xf>
    <xf numFmtId="4" fontId="66" fillId="37" borderId="0" applyNumberFormat="0" applyProtection="0">
      <alignment horizontal="left" indent="1"/>
    </xf>
    <xf numFmtId="4" fontId="67" fillId="38" borderId="0" applyNumberFormat="0" applyProtection="0">
      <alignment horizontal="left" vertical="center" indent="1"/>
    </xf>
    <xf numFmtId="4" fontId="67" fillId="38" borderId="0" applyNumberFormat="0" applyProtection="0">
      <alignment horizontal="left" vertical="center" indent="1"/>
    </xf>
    <xf numFmtId="4" fontId="67" fillId="38" borderId="0" applyNumberFormat="0" applyProtection="0">
      <alignment horizontal="left" vertical="center" indent="1"/>
    </xf>
    <xf numFmtId="4" fontId="66" fillId="39" borderId="31" applyNumberFormat="0" applyProtection="0">
      <alignment horizontal="right" vertical="center"/>
    </xf>
    <xf numFmtId="4" fontId="68" fillId="40" borderId="0" applyNumberFormat="0" applyProtection="0">
      <alignment horizontal="left" indent="1"/>
    </xf>
    <xf numFmtId="4" fontId="68" fillId="40" borderId="0" applyNumberFormat="0" applyProtection="0">
      <alignment horizontal="left" indent="1"/>
    </xf>
    <xf numFmtId="4" fontId="68" fillId="40" borderId="0" applyNumberFormat="0" applyProtection="0">
      <alignment horizontal="left" indent="1"/>
    </xf>
    <xf numFmtId="4" fontId="68" fillId="40" borderId="0" applyNumberFormat="0" applyProtection="0">
      <alignment horizontal="left" indent="1"/>
    </xf>
    <xf numFmtId="4" fontId="69" fillId="41" borderId="0" applyNumberFormat="0" applyProtection="0"/>
    <xf numFmtId="4" fontId="69" fillId="41" borderId="0" applyNumberFormat="0" applyProtection="0"/>
    <xf numFmtId="4" fontId="69" fillId="41" borderId="0" applyNumberFormat="0" applyProtection="0"/>
    <xf numFmtId="4" fontId="69" fillId="41" borderId="0" applyNumberFormat="0" applyProtection="0"/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top" indent="1"/>
    </xf>
    <xf numFmtId="0" fontId="8" fillId="38" borderId="31" applyNumberFormat="0" applyProtection="0">
      <alignment horizontal="left" vertical="top" indent="1"/>
    </xf>
    <xf numFmtId="0" fontId="8" fillId="38" borderId="31" applyNumberFormat="0" applyProtection="0">
      <alignment horizontal="left" vertical="top" indent="1"/>
    </xf>
    <xf numFmtId="0" fontId="8" fillId="38" borderId="31" applyNumberFormat="0" applyProtection="0">
      <alignment horizontal="left" vertical="top" indent="1"/>
    </xf>
    <xf numFmtId="0" fontId="8" fillId="38" borderId="31" applyNumberFormat="0" applyProtection="0">
      <alignment horizontal="left" vertical="top" indent="1"/>
    </xf>
    <xf numFmtId="0" fontId="8" fillId="38" borderId="31" applyNumberFormat="0" applyProtection="0">
      <alignment horizontal="left" vertical="top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top" indent="1"/>
    </xf>
    <xf numFmtId="0" fontId="8" fillId="34" borderId="31" applyNumberFormat="0" applyProtection="0">
      <alignment horizontal="left" vertical="top" indent="1"/>
    </xf>
    <xf numFmtId="0" fontId="8" fillId="34" borderId="31" applyNumberFormat="0" applyProtection="0">
      <alignment horizontal="left" vertical="top" indent="1"/>
    </xf>
    <xf numFmtId="0" fontId="8" fillId="34" borderId="31" applyNumberFormat="0" applyProtection="0">
      <alignment horizontal="left" vertical="top" indent="1"/>
    </xf>
    <xf numFmtId="0" fontId="8" fillId="34" borderId="31" applyNumberFormat="0" applyProtection="0">
      <alignment horizontal="left" vertical="top" indent="1"/>
    </xf>
    <xf numFmtId="0" fontId="8" fillId="34" borderId="31" applyNumberFormat="0" applyProtection="0">
      <alignment horizontal="left" vertical="top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top" indent="1"/>
    </xf>
    <xf numFmtId="0" fontId="8" fillId="42" borderId="31" applyNumberFormat="0" applyProtection="0">
      <alignment horizontal="left" vertical="top" indent="1"/>
    </xf>
    <xf numFmtId="0" fontId="8" fillId="42" borderId="31" applyNumberFormat="0" applyProtection="0">
      <alignment horizontal="left" vertical="top" indent="1"/>
    </xf>
    <xf numFmtId="0" fontId="8" fillId="42" borderId="31" applyNumberFormat="0" applyProtection="0">
      <alignment horizontal="left" vertical="top" indent="1"/>
    </xf>
    <xf numFmtId="0" fontId="8" fillId="42" borderId="31" applyNumberFormat="0" applyProtection="0">
      <alignment horizontal="left" vertical="top" indent="1"/>
    </xf>
    <xf numFmtId="0" fontId="8" fillId="42" borderId="31" applyNumberFormat="0" applyProtection="0">
      <alignment horizontal="left" vertical="top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top" indent="1"/>
    </xf>
    <xf numFmtId="0" fontId="8" fillId="43" borderId="31" applyNumberFormat="0" applyProtection="0">
      <alignment horizontal="left" vertical="top" indent="1"/>
    </xf>
    <xf numFmtId="0" fontId="8" fillId="43" borderId="31" applyNumberFormat="0" applyProtection="0">
      <alignment horizontal="left" vertical="top" indent="1"/>
    </xf>
    <xf numFmtId="0" fontId="8" fillId="43" borderId="31" applyNumberFormat="0" applyProtection="0">
      <alignment horizontal="left" vertical="top" indent="1"/>
    </xf>
    <xf numFmtId="0" fontId="8" fillId="43" borderId="31" applyNumberFormat="0" applyProtection="0">
      <alignment horizontal="left" vertical="top" indent="1"/>
    </xf>
    <xf numFmtId="0" fontId="8" fillId="43" borderId="31" applyNumberFormat="0" applyProtection="0">
      <alignment horizontal="left" vertical="top" indent="1"/>
    </xf>
    <xf numFmtId="4" fontId="66" fillId="25" borderId="31" applyNumberFormat="0" applyProtection="0">
      <alignment vertical="center"/>
    </xf>
    <xf numFmtId="4" fontId="70" fillId="25" borderId="31" applyNumberFormat="0" applyProtection="0">
      <alignment vertical="center"/>
    </xf>
    <xf numFmtId="4" fontId="66" fillId="25" borderId="31" applyNumberFormat="0" applyProtection="0">
      <alignment horizontal="left" vertical="center" indent="1"/>
    </xf>
    <xf numFmtId="0" fontId="66" fillId="25" borderId="31" applyNumberFormat="0" applyProtection="0">
      <alignment horizontal="left" vertical="top" indent="1"/>
    </xf>
    <xf numFmtId="4" fontId="66" fillId="0" borderId="31" applyNumberFormat="0" applyProtection="0">
      <alignment horizontal="right" vertical="center"/>
    </xf>
    <xf numFmtId="4" fontId="70" fillId="37" borderId="31" applyNumberFormat="0" applyProtection="0">
      <alignment horizontal="right" vertical="center"/>
    </xf>
    <xf numFmtId="4" fontId="66" fillId="0" borderId="31" applyNumberFormat="0" applyProtection="0">
      <alignment horizontal="left" vertical="center" indent="1"/>
    </xf>
    <xf numFmtId="0" fontId="66" fillId="34" borderId="31" applyNumberFormat="0" applyProtection="0">
      <alignment horizontal="left" vertical="top"/>
    </xf>
    <xf numFmtId="4" fontId="71" fillId="44" borderId="0" applyNumberFormat="0" applyProtection="0">
      <alignment horizontal="left"/>
    </xf>
    <xf numFmtId="4" fontId="71" fillId="44" borderId="0" applyNumberFormat="0" applyProtection="0">
      <alignment horizontal="left"/>
    </xf>
    <xf numFmtId="4" fontId="71" fillId="44" borderId="0" applyNumberFormat="0" applyProtection="0">
      <alignment horizontal="left"/>
    </xf>
    <xf numFmtId="4" fontId="71" fillId="44" borderId="0" applyNumberFormat="0" applyProtection="0">
      <alignment horizontal="left"/>
    </xf>
    <xf numFmtId="4" fontId="72" fillId="37" borderId="31" applyNumberFormat="0" applyProtection="0">
      <alignment horizontal="right" vertical="center"/>
    </xf>
    <xf numFmtId="37" fontId="34" fillId="45" borderId="0" applyNumberFormat="0" applyFont="0" applyBorder="0" applyAlignment="0" applyProtection="0"/>
    <xf numFmtId="192" fontId="8" fillId="0" borderId="33">
      <alignment horizontal="justify" vertical="top" wrapText="1"/>
    </xf>
    <xf numFmtId="192" fontId="8" fillId="0" borderId="33">
      <alignment horizontal="justify" vertical="top" wrapText="1"/>
    </xf>
    <xf numFmtId="192" fontId="8" fillId="0" borderId="33">
      <alignment horizontal="justify" vertical="top" wrapText="1"/>
    </xf>
    <xf numFmtId="0" fontId="8" fillId="0" borderId="0">
      <alignment horizontal="left" wrapText="1"/>
    </xf>
    <xf numFmtId="193" fontId="8" fillId="0" borderId="0" applyFill="0" applyBorder="0" applyAlignment="0" applyProtection="0">
      <alignment wrapText="1"/>
    </xf>
    <xf numFmtId="0" fontId="24" fillId="0" borderId="0" applyNumberFormat="0" applyFill="0" applyBorder="0">
      <alignment horizontal="center" wrapText="1"/>
    </xf>
    <xf numFmtId="0" fontId="24" fillId="0" borderId="0" applyNumberFormat="0" applyFill="0" applyBorder="0">
      <alignment horizontal="center" wrapText="1"/>
    </xf>
    <xf numFmtId="38" fontId="8" fillId="0" borderId="0">
      <alignment horizontal="left" wrapText="1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4" fillId="0" borderId="21">
      <alignment horizontal="center" vertical="center" wrapText="1"/>
    </xf>
    <xf numFmtId="0" fontId="46" fillId="0" borderId="34"/>
    <xf numFmtId="0" fontId="46" fillId="0" borderId="3"/>
    <xf numFmtId="38" fontId="66" fillId="0" borderId="35" applyFill="0" applyBorder="0" applyAlignment="0" applyProtection="0">
      <protection locked="0"/>
    </xf>
    <xf numFmtId="37" fontId="51" fillId="33" borderId="0" applyNumberFormat="0" applyBorder="0" applyAlignment="0" applyProtection="0"/>
    <xf numFmtId="37" fontId="51" fillId="33" borderId="0" applyNumberFormat="0" applyBorder="0" applyAlignment="0" applyProtection="0"/>
    <xf numFmtId="37" fontId="51" fillId="33" borderId="0" applyNumberFormat="0" applyBorder="0" applyAlignment="0" applyProtection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33" borderId="0" applyNumberFormat="0" applyBorder="0" applyAlignment="0" applyProtection="0"/>
    <xf numFmtId="3" fontId="74" fillId="46" borderId="36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" fillId="0" borderId="0"/>
    <xf numFmtId="194" fontId="8" fillId="0" borderId="0">
      <alignment horizontal="left" wrapText="1"/>
    </xf>
    <xf numFmtId="195" fontId="8" fillId="0" borderId="0">
      <alignment horizontal="left" wrapText="1"/>
    </xf>
    <xf numFmtId="195" fontId="8" fillId="0" borderId="0">
      <alignment horizontal="left" wrapText="1"/>
    </xf>
    <xf numFmtId="196" fontId="8" fillId="0" borderId="0">
      <alignment horizontal="left" wrapText="1"/>
    </xf>
    <xf numFmtId="195" fontId="8" fillId="0" borderId="0">
      <alignment horizontal="left" wrapText="1"/>
    </xf>
    <xf numFmtId="195" fontId="8" fillId="0" borderId="0">
      <alignment horizontal="left" wrapText="1"/>
    </xf>
    <xf numFmtId="195" fontId="8" fillId="0" borderId="0">
      <alignment horizontal="left" wrapText="1"/>
    </xf>
    <xf numFmtId="196" fontId="8" fillId="0" borderId="0">
      <alignment horizontal="left" wrapText="1"/>
    </xf>
    <xf numFmtId="196" fontId="8" fillId="0" borderId="0">
      <alignment horizontal="left" wrapText="1"/>
    </xf>
    <xf numFmtId="195" fontId="8" fillId="0" borderId="0">
      <alignment horizontal="left" wrapText="1"/>
    </xf>
    <xf numFmtId="195" fontId="8" fillId="0" borderId="0">
      <alignment horizontal="left" wrapText="1"/>
    </xf>
    <xf numFmtId="196" fontId="8" fillId="0" borderId="0">
      <alignment horizontal="left" wrapText="1"/>
    </xf>
    <xf numFmtId="0" fontId="3" fillId="0" borderId="0"/>
    <xf numFmtId="196" fontId="8" fillId="0" borderId="0">
      <alignment horizontal="left" wrapText="1"/>
    </xf>
    <xf numFmtId="196" fontId="8" fillId="0" borderId="0">
      <alignment horizontal="left" wrapText="1"/>
    </xf>
    <xf numFmtId="195" fontId="8" fillId="0" borderId="0">
      <alignment horizontal="left" wrapText="1"/>
    </xf>
    <xf numFmtId="195" fontId="8" fillId="0" borderId="0">
      <alignment horizontal="left" wrapText="1"/>
    </xf>
    <xf numFmtId="195" fontId="8" fillId="0" borderId="0">
      <alignment horizontal="left" wrapText="1"/>
    </xf>
    <xf numFmtId="0" fontId="3" fillId="0" borderId="0"/>
    <xf numFmtId="0" fontId="46" fillId="0" borderId="0"/>
    <xf numFmtId="0" fontId="46" fillId="0" borderId="0"/>
    <xf numFmtId="196" fontId="8" fillId="0" borderId="0"/>
    <xf numFmtId="0" fontId="46" fillId="0" borderId="0"/>
    <xf numFmtId="44" fontId="24" fillId="0" borderId="37" applyNumberFormat="0" applyFont="0" applyAlignment="0">
      <alignment horizontal="center"/>
    </xf>
    <xf numFmtId="44" fontId="24" fillId="0" borderId="38" applyNumberFormat="0" applyFont="0" applyAlignment="0">
      <alignment horizontal="center"/>
    </xf>
    <xf numFmtId="0" fontId="8" fillId="0" borderId="0"/>
    <xf numFmtId="168" fontId="60" fillId="0" borderId="0" applyBorder="0" applyAlignment="0"/>
    <xf numFmtId="197" fontId="8" fillId="0" borderId="0" applyFont="0" applyFill="0" applyAlignment="0">
      <alignment horizontal="right"/>
    </xf>
    <xf numFmtId="38" fontId="51" fillId="0" borderId="39"/>
    <xf numFmtId="38" fontId="60" fillId="0" borderId="2"/>
    <xf numFmtId="39" fontId="48" fillId="47" borderId="0"/>
    <xf numFmtId="0" fontId="90" fillId="0" borderId="0"/>
  </cellStyleXfs>
  <cellXfs count="394">
    <xf numFmtId="0" fontId="0" fillId="0" borderId="0" xfId="0"/>
    <xf numFmtId="0" fontId="3" fillId="0" borderId="0" xfId="4" applyFill="1"/>
    <xf numFmtId="0" fontId="4" fillId="0" borderId="0" xfId="4" applyFont="1" applyFill="1"/>
    <xf numFmtId="0" fontId="3" fillId="0" borderId="0" xfId="4" applyFont="1" applyFill="1"/>
    <xf numFmtId="0" fontId="5" fillId="0" borderId="0" xfId="4" applyFont="1" applyFill="1" applyAlignment="1"/>
    <xf numFmtId="0" fontId="5" fillId="0" borderId="0" xfId="4" quotePrefix="1" applyFont="1" applyFill="1" applyAlignment="1"/>
    <xf numFmtId="0" fontId="3" fillId="0" borderId="0" xfId="4" applyFill="1" applyBorder="1"/>
    <xf numFmtId="0" fontId="5" fillId="0" borderId="0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3" fillId="0" borderId="0" xfId="4" applyFont="1" applyFill="1" applyBorder="1" applyAlignment="1"/>
    <xf numFmtId="0" fontId="4" fillId="0" borderId="0" xfId="4" applyFont="1" applyFill="1" applyAlignment="1">
      <alignment horizontal="center"/>
    </xf>
    <xf numFmtId="0" fontId="3" fillId="0" borderId="0" xfId="4" quotePrefix="1" applyFont="1" applyFill="1" applyBorder="1" applyAlignment="1">
      <alignment horizontal="center"/>
    </xf>
    <xf numFmtId="0" fontId="3" fillId="0" borderId="0" xfId="4" applyFill="1" applyAlignment="1">
      <alignment horizontal="center"/>
    </xf>
    <xf numFmtId="0" fontId="3" fillId="0" borderId="0" xfId="4" quotePrefix="1" applyFont="1" applyFill="1" applyAlignment="1">
      <alignment horizontal="center"/>
    </xf>
    <xf numFmtId="0" fontId="3" fillId="0" borderId="0" xfId="4" applyFill="1" applyBorder="1" applyAlignment="1">
      <alignment horizontal="center"/>
    </xf>
    <xf numFmtId="0" fontId="3" fillId="0" borderId="3" xfId="4" applyFill="1" applyBorder="1" applyAlignment="1">
      <alignment horizontal="center"/>
    </xf>
    <xf numFmtId="0" fontId="4" fillId="0" borderId="3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6" fontId="3" fillId="0" borderId="3" xfId="4" quotePrefix="1" applyNumberFormat="1" applyFont="1" applyFill="1" applyBorder="1" applyAlignment="1">
      <alignment horizontal="center"/>
    </xf>
    <xf numFmtId="6" fontId="3" fillId="0" borderId="0" xfId="4" quotePrefix="1" applyNumberFormat="1" applyFont="1" applyFill="1" applyBorder="1" applyAlignment="1">
      <alignment horizontal="center"/>
    </xf>
    <xf numFmtId="0" fontId="3" fillId="0" borderId="1" xfId="4" quotePrefix="1" applyFont="1" applyFill="1" applyBorder="1" applyAlignment="1">
      <alignment horizontal="center"/>
    </xf>
    <xf numFmtId="6" fontId="3" fillId="0" borderId="1" xfId="4" quotePrefix="1" applyNumberFormat="1" applyFont="1" applyFill="1" applyBorder="1" applyAlignment="1">
      <alignment horizontal="center"/>
    </xf>
    <xf numFmtId="0" fontId="3" fillId="0" borderId="0" xfId="4" quotePrefix="1" applyFont="1" applyFill="1"/>
    <xf numFmtId="0" fontId="7" fillId="0" borderId="0" xfId="4" applyFont="1" applyFill="1"/>
    <xf numFmtId="0" fontId="4" fillId="0" borderId="0" xfId="4" quotePrefix="1" applyFont="1" applyFill="1" applyAlignment="1">
      <alignment horizontal="center"/>
    </xf>
    <xf numFmtId="37" fontId="3" fillId="0" borderId="0" xfId="4" applyNumberFormat="1" applyFont="1" applyFill="1" applyProtection="1"/>
    <xf numFmtId="5" fontId="4" fillId="0" borderId="0" xfId="4" applyNumberFormat="1" applyFont="1" applyFill="1" applyProtection="1">
      <protection locked="0"/>
    </xf>
    <xf numFmtId="10" fontId="4" fillId="0" borderId="0" xfId="3" applyNumberFormat="1" applyFont="1" applyFill="1" applyProtection="1">
      <protection locked="0"/>
    </xf>
    <xf numFmtId="5" fontId="4" fillId="0" borderId="0" xfId="3" applyNumberFormat="1" applyFont="1" applyFill="1" applyProtection="1">
      <protection locked="0"/>
    </xf>
    <xf numFmtId="164" fontId="4" fillId="0" borderId="0" xfId="3" applyNumberFormat="1" applyFont="1" applyFill="1" applyProtection="1">
      <protection locked="0"/>
    </xf>
    <xf numFmtId="165" fontId="4" fillId="0" borderId="0" xfId="1" applyNumberFormat="1" applyFont="1" applyFill="1" applyProtection="1">
      <protection locked="0"/>
    </xf>
    <xf numFmtId="166" fontId="3" fillId="0" borderId="0" xfId="4" applyNumberFormat="1" applyFont="1" applyFill="1" applyProtection="1"/>
    <xf numFmtId="0" fontId="3" fillId="0" borderId="0" xfId="4" applyFont="1" applyFill="1" applyBorder="1"/>
    <xf numFmtId="10" fontId="4" fillId="0" borderId="0" xfId="3" applyNumberFormat="1" applyFont="1" applyFill="1" applyBorder="1" applyProtection="1">
      <protection locked="0"/>
    </xf>
    <xf numFmtId="2" fontId="3" fillId="0" borderId="0" xfId="4" applyNumberFormat="1" applyFont="1" applyFill="1"/>
    <xf numFmtId="0" fontId="3" fillId="0" borderId="3" xfId="4" applyFill="1" applyBorder="1"/>
    <xf numFmtId="0" fontId="3" fillId="0" borderId="1" xfId="4" applyFill="1" applyBorder="1"/>
    <xf numFmtId="164" fontId="3" fillId="0" borderId="1" xfId="4" applyNumberFormat="1" applyFill="1" applyBorder="1"/>
    <xf numFmtId="165" fontId="3" fillId="0" borderId="1" xfId="4" applyNumberFormat="1" applyFill="1" applyBorder="1"/>
    <xf numFmtId="164" fontId="3" fillId="0" borderId="0" xfId="4" applyNumberFormat="1" applyFill="1"/>
    <xf numFmtId="165" fontId="3" fillId="0" borderId="0" xfId="4" applyNumberFormat="1" applyFill="1"/>
    <xf numFmtId="0" fontId="9" fillId="0" borderId="0" xfId="5" applyFont="1" applyFill="1" applyAlignment="1">
      <alignment horizontal="center"/>
    </xf>
    <xf numFmtId="37" fontId="3" fillId="0" borderId="0" xfId="4" applyNumberFormat="1" applyFill="1" applyProtection="1"/>
    <xf numFmtId="5" fontId="3" fillId="0" borderId="0" xfId="4" applyNumberFormat="1" applyFill="1" applyProtection="1"/>
    <xf numFmtId="165" fontId="4" fillId="0" borderId="0" xfId="3" applyNumberFormat="1" applyFont="1" applyFill="1" applyProtection="1">
      <protection locked="0"/>
    </xf>
    <xf numFmtId="37" fontId="3" fillId="0" borderId="0" xfId="4" applyNumberFormat="1" applyFill="1"/>
    <xf numFmtId="5" fontId="3" fillId="0" borderId="0" xfId="4" applyNumberFormat="1" applyFill="1"/>
    <xf numFmtId="164" fontId="3" fillId="0" borderId="0" xfId="3" applyNumberFormat="1" applyFont="1" applyFill="1"/>
    <xf numFmtId="0" fontId="9" fillId="0" borderId="0" xfId="5" applyFont="1" applyFill="1"/>
    <xf numFmtId="37" fontId="3" fillId="0" borderId="3" xfId="4" applyNumberFormat="1" applyFill="1" applyBorder="1" applyProtection="1"/>
    <xf numFmtId="5" fontId="3" fillId="0" borderId="3" xfId="4" applyNumberFormat="1" applyFill="1" applyBorder="1" applyProtection="1"/>
    <xf numFmtId="5" fontId="3" fillId="0" borderId="0" xfId="4" applyNumberFormat="1" applyFill="1" applyBorder="1" applyProtection="1"/>
    <xf numFmtId="164" fontId="4" fillId="0" borderId="1" xfId="3" applyNumberFormat="1" applyFont="1" applyFill="1" applyBorder="1" applyProtection="1">
      <protection locked="0"/>
    </xf>
    <xf numFmtId="166" fontId="3" fillId="0" borderId="1" xfId="4" applyNumberFormat="1" applyFont="1" applyFill="1" applyBorder="1" applyProtection="1"/>
    <xf numFmtId="37" fontId="3" fillId="0" borderId="0" xfId="4" applyNumberFormat="1" applyFill="1" applyBorder="1" applyProtection="1"/>
    <xf numFmtId="164" fontId="3" fillId="0" borderId="0" xfId="4" applyNumberFormat="1" applyFill="1" applyBorder="1" applyProtection="1"/>
    <xf numFmtId="10" fontId="3" fillId="0" borderId="0" xfId="4" applyNumberFormat="1" applyFill="1" applyBorder="1" applyProtection="1"/>
    <xf numFmtId="165" fontId="3" fillId="0" borderId="0" xfId="4" applyNumberFormat="1" applyFill="1" applyBorder="1" applyProtection="1"/>
    <xf numFmtId="37" fontId="3" fillId="0" borderId="4" xfId="4" applyNumberFormat="1" applyFill="1" applyBorder="1"/>
    <xf numFmtId="5" fontId="3" fillId="0" borderId="4" xfId="4" applyNumberFormat="1" applyFill="1" applyBorder="1"/>
    <xf numFmtId="5" fontId="3" fillId="0" borderId="0" xfId="4" applyNumberFormat="1" applyFill="1" applyBorder="1"/>
    <xf numFmtId="164" fontId="4" fillId="0" borderId="4" xfId="3" applyNumberFormat="1" applyFont="1" applyFill="1" applyBorder="1" applyProtection="1">
      <protection locked="0"/>
    </xf>
    <xf numFmtId="37" fontId="3" fillId="0" borderId="0" xfId="4" applyNumberFormat="1" applyFill="1" applyBorder="1"/>
    <xf numFmtId="10" fontId="4" fillId="0" borderId="0" xfId="3" quotePrefix="1" applyNumberFormat="1" applyFont="1" applyFill="1" applyBorder="1" applyProtection="1">
      <protection locked="0"/>
    </xf>
    <xf numFmtId="0" fontId="11" fillId="0" borderId="0" xfId="5" applyFont="1" applyFill="1"/>
    <xf numFmtId="37" fontId="3" fillId="0" borderId="4" xfId="4" applyNumberFormat="1" applyFont="1" applyFill="1" applyBorder="1" applyProtection="1"/>
    <xf numFmtId="5" fontId="4" fillId="0" borderId="4" xfId="3" applyNumberFormat="1" applyFont="1" applyFill="1" applyBorder="1" applyProtection="1">
      <protection locked="0"/>
    </xf>
    <xf numFmtId="5" fontId="3" fillId="0" borderId="0" xfId="4" applyNumberFormat="1" applyFont="1" applyFill="1"/>
    <xf numFmtId="168" fontId="3" fillId="0" borderId="0" xfId="1" applyNumberFormat="1" applyFont="1" applyFill="1"/>
    <xf numFmtId="0" fontId="3" fillId="0" borderId="0" xfId="4" applyFont="1" applyFill="1" applyAlignment="1">
      <alignment horizontal="right"/>
    </xf>
    <xf numFmtId="43" fontId="3" fillId="0" borderId="0" xfId="1" applyFont="1" applyFill="1"/>
    <xf numFmtId="10" fontId="3" fillId="0" borderId="0" xfId="3" applyNumberFormat="1" applyFont="1" applyFill="1"/>
    <xf numFmtId="169" fontId="12" fillId="0" borderId="0" xfId="2" applyNumberFormat="1" applyFont="1" applyFill="1"/>
    <xf numFmtId="164" fontId="12" fillId="0" borderId="0" xfId="3" applyNumberFormat="1" applyFont="1" applyFill="1" applyBorder="1" applyProtection="1">
      <protection locked="0"/>
    </xf>
    <xf numFmtId="1" fontId="3" fillId="0" borderId="0" xfId="4" applyNumberFormat="1" applyFill="1"/>
    <xf numFmtId="164" fontId="3" fillId="0" borderId="0" xfId="3" applyNumberFormat="1" applyFont="1" applyFill="1" applyBorder="1"/>
    <xf numFmtId="1" fontId="12" fillId="0" borderId="0" xfId="4" applyNumberFormat="1" applyFont="1" applyFill="1"/>
    <xf numFmtId="164" fontId="12" fillId="0" borderId="0" xfId="3" applyNumberFormat="1" applyFont="1" applyFill="1"/>
    <xf numFmtId="170" fontId="3" fillId="0" borderId="0" xfId="4" applyNumberFormat="1" applyFill="1"/>
    <xf numFmtId="164" fontId="13" fillId="0" borderId="0" xfId="3" applyNumberFormat="1" applyFont="1" applyFill="1"/>
    <xf numFmtId="0" fontId="9" fillId="0" borderId="0" xfId="16" applyFont="1" applyFill="1"/>
    <xf numFmtId="0" fontId="11" fillId="0" borderId="0" xfId="16" applyFont="1" applyFill="1"/>
    <xf numFmtId="0" fontId="11" fillId="0" borderId="0" xfId="16" applyFont="1" applyFill="1" applyAlignment="1">
      <alignment horizontal="centerContinuous"/>
    </xf>
    <xf numFmtId="0" fontId="16" fillId="0" borderId="0" xfId="16" applyFont="1" applyFill="1" applyBorder="1" applyAlignment="1">
      <alignment horizontal="centerContinuous"/>
    </xf>
    <xf numFmtId="0" fontId="16" fillId="0" borderId="0" xfId="16" applyFont="1" applyFill="1" applyAlignment="1">
      <alignment horizontal="centerContinuous"/>
    </xf>
    <xf numFmtId="0" fontId="9" fillId="0" borderId="0" xfId="16" applyFont="1" applyFill="1" applyAlignment="1">
      <alignment horizontal="centerContinuous"/>
    </xf>
    <xf numFmtId="0" fontId="9" fillId="0" borderId="1" xfId="16" applyFont="1" applyFill="1" applyBorder="1" applyAlignment="1">
      <alignment horizontal="centerContinuous"/>
    </xf>
    <xf numFmtId="0" fontId="9" fillId="0" borderId="1" xfId="16" applyFont="1" applyFill="1" applyBorder="1" applyAlignment="1"/>
    <xf numFmtId="0" fontId="9" fillId="0" borderId="0" xfId="16" applyFont="1" applyFill="1" applyBorder="1" applyAlignment="1"/>
    <xf numFmtId="0" fontId="9" fillId="0" borderId="0" xfId="16" applyFill="1"/>
    <xf numFmtId="0" fontId="9" fillId="0" borderId="0" xfId="16" applyFont="1" applyFill="1" applyBorder="1" applyAlignment="1">
      <alignment horizontal="center"/>
    </xf>
    <xf numFmtId="0" fontId="9" fillId="0" borderId="0" xfId="16" applyFont="1" applyFill="1" applyBorder="1" applyAlignment="1">
      <alignment horizontal="centerContinuous"/>
    </xf>
    <xf numFmtId="0" fontId="9" fillId="0" borderId="0" xfId="16" applyFont="1" applyFill="1" applyAlignment="1">
      <alignment horizontal="center"/>
    </xf>
    <xf numFmtId="0" fontId="18" fillId="0" borderId="5" xfId="16" applyFont="1" applyFill="1" applyBorder="1"/>
    <xf numFmtId="0" fontId="18" fillId="0" borderId="6" xfId="16" applyFont="1" applyFill="1" applyBorder="1"/>
    <xf numFmtId="0" fontId="9" fillId="0" borderId="1" xfId="16" applyFont="1" applyFill="1" applyBorder="1" applyAlignment="1">
      <alignment horizontal="center"/>
    </xf>
    <xf numFmtId="0" fontId="9" fillId="0" borderId="3" xfId="16" applyFont="1" applyFill="1" applyBorder="1" applyAlignment="1">
      <alignment horizontal="centerContinuous"/>
    </xf>
    <xf numFmtId="0" fontId="17" fillId="0" borderId="0" xfId="16" applyFont="1" applyFill="1"/>
    <xf numFmtId="0" fontId="18" fillId="0" borderId="7" xfId="16" applyFont="1" applyFill="1" applyBorder="1"/>
    <xf numFmtId="7" fontId="19" fillId="0" borderId="8" xfId="16" applyNumberFormat="1" applyFont="1" applyFill="1" applyBorder="1"/>
    <xf numFmtId="0" fontId="20" fillId="0" borderId="0" xfId="16" applyFont="1" applyFill="1"/>
    <xf numFmtId="173" fontId="19" fillId="0" borderId="8" xfId="16" applyNumberFormat="1" applyFont="1" applyFill="1" applyBorder="1"/>
    <xf numFmtId="165" fontId="19" fillId="0" borderId="8" xfId="1" applyNumberFormat="1" applyFont="1" applyFill="1" applyBorder="1" applyAlignment="1">
      <alignment horizontal="right"/>
    </xf>
    <xf numFmtId="43" fontId="9" fillId="0" borderId="0" xfId="16" applyNumberFormat="1" applyFont="1" applyFill="1"/>
    <xf numFmtId="37" fontId="9" fillId="0" borderId="0" xfId="16" applyNumberFormat="1" applyFont="1" applyFill="1" applyProtection="1"/>
    <xf numFmtId="7" fontId="9" fillId="0" borderId="0" xfId="16" applyNumberFormat="1" applyFill="1"/>
    <xf numFmtId="7" fontId="9" fillId="0" borderId="0" xfId="16" applyNumberFormat="1" applyFont="1" applyFill="1"/>
    <xf numFmtId="10" fontId="9" fillId="0" borderId="0" xfId="16" applyNumberFormat="1" applyFont="1" applyFill="1" applyProtection="1"/>
    <xf numFmtId="0" fontId="18" fillId="0" borderId="9" xfId="16" applyFont="1" applyFill="1" applyBorder="1"/>
    <xf numFmtId="173" fontId="19" fillId="0" borderId="10" xfId="16" applyNumberFormat="1" applyFont="1" applyFill="1" applyBorder="1"/>
    <xf numFmtId="0" fontId="18" fillId="0" borderId="0" xfId="16" applyFont="1" applyFill="1"/>
    <xf numFmtId="173" fontId="18" fillId="0" borderId="0" xfId="16" applyNumberFormat="1" applyFont="1" applyFill="1"/>
    <xf numFmtId="0" fontId="9" fillId="0" borderId="0" xfId="16" applyFont="1" applyFill="1" applyBorder="1"/>
    <xf numFmtId="7" fontId="9" fillId="0" borderId="0" xfId="16" applyNumberFormat="1" applyFont="1" applyFill="1" applyProtection="1"/>
    <xf numFmtId="164" fontId="18" fillId="0" borderId="0" xfId="16" applyNumberFormat="1" applyFont="1" applyFill="1"/>
    <xf numFmtId="0" fontId="9" fillId="0" borderId="0" xfId="16" applyFont="1" applyFill="1" applyAlignment="1">
      <alignment horizontal="right"/>
    </xf>
    <xf numFmtId="10" fontId="9" fillId="0" borderId="0" xfId="3" applyNumberFormat="1" applyFont="1" applyFill="1" applyAlignment="1">
      <alignment horizontal="center"/>
    </xf>
    <xf numFmtId="174" fontId="9" fillId="0" borderId="0" xfId="16" applyNumberFormat="1" applyFont="1" applyFill="1" applyProtection="1"/>
    <xf numFmtId="37" fontId="9" fillId="0" borderId="1" xfId="16" applyNumberFormat="1" applyFont="1" applyFill="1" applyBorder="1" applyProtection="1"/>
    <xf numFmtId="0" fontId="9" fillId="0" borderId="1" xfId="16" applyFont="1" applyFill="1" applyBorder="1"/>
    <xf numFmtId="7" fontId="9" fillId="0" borderId="1" xfId="16" applyNumberFormat="1" applyFont="1" applyFill="1" applyBorder="1" applyProtection="1"/>
    <xf numFmtId="174" fontId="9" fillId="0" borderId="1" xfId="16" applyNumberFormat="1" applyFont="1" applyFill="1" applyBorder="1" applyProtection="1"/>
    <xf numFmtId="0" fontId="21" fillId="0" borderId="0" xfId="16" applyFont="1" applyFill="1"/>
    <xf numFmtId="5" fontId="9" fillId="0" borderId="0" xfId="16" applyNumberFormat="1" applyFont="1" applyFill="1"/>
    <xf numFmtId="0" fontId="23" fillId="0" borderId="0" xfId="16" applyFont="1" applyFill="1" applyBorder="1" applyAlignment="1">
      <alignment horizontal="centerContinuous"/>
    </xf>
    <xf numFmtId="0" fontId="9" fillId="0" borderId="0" xfId="16" applyFont="1" applyFill="1" applyAlignment="1" applyProtection="1">
      <alignment horizontal="center"/>
    </xf>
    <xf numFmtId="0" fontId="9" fillId="0" borderId="5" xfId="16" applyFont="1" applyFill="1" applyBorder="1" applyAlignment="1">
      <alignment horizontal="center"/>
    </xf>
    <xf numFmtId="0" fontId="9" fillId="0" borderId="6" xfId="16" applyFont="1" applyFill="1" applyBorder="1"/>
    <xf numFmtId="0" fontId="9" fillId="0" borderId="11" xfId="16" applyFont="1" applyFill="1" applyBorder="1"/>
    <xf numFmtId="0" fontId="9" fillId="0" borderId="0" xfId="16" applyFont="1" applyFill="1" applyBorder="1" applyAlignment="1" applyProtection="1">
      <alignment horizontal="center"/>
    </xf>
    <xf numFmtId="0" fontId="9" fillId="0" borderId="1" xfId="16" applyFont="1" applyFill="1" applyBorder="1" applyAlignment="1" applyProtection="1">
      <alignment horizontal="center"/>
    </xf>
    <xf numFmtId="0" fontId="9" fillId="0" borderId="7" xfId="16" applyFont="1" applyFill="1" applyBorder="1"/>
    <xf numFmtId="0" fontId="19" fillId="0" borderId="0" xfId="16" applyFont="1" applyFill="1" applyBorder="1"/>
    <xf numFmtId="0" fontId="20" fillId="0" borderId="0" xfId="16" applyFont="1" applyFill="1" applyAlignment="1">
      <alignment horizontal="center"/>
    </xf>
    <xf numFmtId="0" fontId="18" fillId="0" borderId="8" xfId="16" applyFont="1" applyFill="1" applyBorder="1"/>
    <xf numFmtId="0" fontId="18" fillId="0" borderId="0" xfId="16" applyFont="1" applyFill="1" applyBorder="1"/>
    <xf numFmtId="0" fontId="9" fillId="0" borderId="12" xfId="16" applyFont="1" applyFill="1" applyBorder="1"/>
    <xf numFmtId="0" fontId="9" fillId="0" borderId="2" xfId="16" applyFont="1" applyFill="1" applyBorder="1"/>
    <xf numFmtId="0" fontId="9" fillId="0" borderId="13" xfId="16" applyFont="1" applyFill="1" applyBorder="1"/>
    <xf numFmtId="0" fontId="20" fillId="0" borderId="0" xfId="16" applyFont="1" applyFill="1" applyBorder="1"/>
    <xf numFmtId="0" fontId="9" fillId="0" borderId="14" xfId="16" applyFont="1" applyFill="1" applyBorder="1"/>
    <xf numFmtId="7" fontId="19" fillId="0" borderId="0" xfId="16" applyNumberFormat="1" applyFont="1" applyFill="1" applyBorder="1"/>
    <xf numFmtId="7" fontId="19" fillId="0" borderId="15" xfId="16" applyNumberFormat="1" applyFont="1" applyFill="1" applyBorder="1"/>
    <xf numFmtId="5" fontId="9" fillId="0" borderId="0" xfId="16" applyNumberFormat="1" applyFont="1" applyFill="1" applyProtection="1"/>
    <xf numFmtId="5" fontId="19" fillId="0" borderId="0" xfId="16" applyNumberFormat="1" applyFont="1" applyFill="1" applyBorder="1"/>
    <xf numFmtId="5" fontId="19" fillId="0" borderId="15" xfId="16" applyNumberFormat="1" applyFont="1" applyFill="1" applyBorder="1"/>
    <xf numFmtId="0" fontId="9" fillId="0" borderId="16" xfId="16" applyFont="1" applyFill="1" applyBorder="1"/>
    <xf numFmtId="5" fontId="19" fillId="0" borderId="1" xfId="16" applyNumberFormat="1" applyFont="1" applyFill="1" applyBorder="1"/>
    <xf numFmtId="0" fontId="19" fillId="0" borderId="1" xfId="16" applyFont="1" applyFill="1" applyBorder="1"/>
    <xf numFmtId="5" fontId="19" fillId="0" borderId="17" xfId="16" applyNumberFormat="1" applyFont="1" applyFill="1" applyBorder="1"/>
    <xf numFmtId="7" fontId="9" fillId="0" borderId="0" xfId="2" applyNumberFormat="1" applyFont="1" applyFill="1"/>
    <xf numFmtId="10" fontId="9" fillId="0" borderId="0" xfId="3" applyNumberFormat="1" applyFont="1" applyFill="1"/>
    <xf numFmtId="0" fontId="21" fillId="0" borderId="0" xfId="16" quotePrefix="1" applyFont="1" applyFill="1" applyBorder="1"/>
    <xf numFmtId="0" fontId="11" fillId="0" borderId="0" xfId="5" applyFont="1" applyFill="1" applyBorder="1" applyAlignment="1"/>
    <xf numFmtId="0" fontId="11" fillId="0" borderId="0" xfId="5" applyFont="1" applyFill="1" applyBorder="1" applyAlignment="1">
      <alignment horizontal="center"/>
    </xf>
    <xf numFmtId="0" fontId="9" fillId="0" borderId="0" xfId="5" applyFill="1"/>
    <xf numFmtId="0" fontId="11" fillId="0" borderId="0" xfId="5" applyFont="1" applyFill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3" xfId="5" quotePrefix="1" applyFont="1" applyFill="1" applyBorder="1" applyAlignment="1">
      <alignment horizontal="center"/>
    </xf>
    <xf numFmtId="5" fontId="9" fillId="0" borderId="0" xfId="5" applyNumberFormat="1" applyFont="1" applyFill="1" applyProtection="1"/>
    <xf numFmtId="164" fontId="9" fillId="0" borderId="0" xfId="3" applyNumberFormat="1" applyFont="1" applyFill="1"/>
    <xf numFmtId="0" fontId="0" fillId="0" borderId="0" xfId="4" applyFont="1" applyFill="1"/>
    <xf numFmtId="5" fontId="9" fillId="0" borderId="1" xfId="5" applyNumberFormat="1" applyFont="1" applyFill="1" applyBorder="1" applyProtection="1"/>
    <xf numFmtId="5" fontId="9" fillId="0" borderId="4" xfId="5" applyNumberFormat="1" applyFont="1" applyFill="1" applyBorder="1" applyProtection="1"/>
    <xf numFmtId="164" fontId="9" fillId="0" borderId="1" xfId="3" applyNumberFormat="1" applyFont="1" applyFill="1" applyBorder="1"/>
    <xf numFmtId="164" fontId="9" fillId="0" borderId="4" xfId="3" applyNumberFormat="1" applyFont="1" applyFill="1" applyBorder="1"/>
    <xf numFmtId="5" fontId="4" fillId="0" borderId="0" xfId="4" applyNumberFormat="1" applyFont="1" applyFill="1" applyBorder="1" applyProtection="1">
      <protection locked="0"/>
    </xf>
    <xf numFmtId="164" fontId="4" fillId="0" borderId="0" xfId="3" applyNumberFormat="1" applyFont="1" applyFill="1" applyBorder="1" applyProtection="1">
      <protection locked="0"/>
    </xf>
    <xf numFmtId="37" fontId="3" fillId="0" borderId="0" xfId="4" applyNumberFormat="1" applyFont="1" applyFill="1" applyBorder="1" applyProtection="1"/>
    <xf numFmtId="5" fontId="9" fillId="0" borderId="0" xfId="5" applyNumberFormat="1" applyFont="1" applyFill="1" applyBorder="1" applyProtection="1"/>
    <xf numFmtId="164" fontId="9" fillId="0" borderId="0" xfId="3" applyNumberFormat="1" applyFont="1" applyFill="1" applyBorder="1"/>
    <xf numFmtId="0" fontId="8" fillId="0" borderId="0" xfId="19" applyFont="1"/>
    <xf numFmtId="0" fontId="8" fillId="0" borderId="0" xfId="19"/>
    <xf numFmtId="0" fontId="8" fillId="0" borderId="0" xfId="19" applyFont="1" applyAlignment="1">
      <alignment horizontal="center"/>
    </xf>
    <xf numFmtId="0" fontId="8" fillId="0" borderId="0" xfId="19" applyAlignment="1">
      <alignment horizontal="left"/>
    </xf>
    <xf numFmtId="3" fontId="8" fillId="0" borderId="0" xfId="19" applyNumberFormat="1" applyFill="1"/>
    <xf numFmtId="0" fontId="8" fillId="0" borderId="4" xfId="19" applyFont="1" applyBorder="1" applyAlignment="1">
      <alignment horizontal="left"/>
    </xf>
    <xf numFmtId="175" fontId="8" fillId="0" borderId="0" xfId="19" applyNumberFormat="1"/>
    <xf numFmtId="0" fontId="24" fillId="0" borderId="18" xfId="19" applyFont="1" applyBorder="1"/>
    <xf numFmtId="176" fontId="24" fillId="0" borderId="19" xfId="19" applyNumberFormat="1" applyFont="1" applyBorder="1"/>
    <xf numFmtId="0" fontId="24" fillId="0" borderId="20" xfId="19" applyFont="1" applyBorder="1"/>
    <xf numFmtId="10" fontId="8" fillId="0" borderId="0" xfId="3" applyNumberFormat="1" applyFont="1"/>
    <xf numFmtId="37" fontId="8" fillId="0" borderId="4" xfId="19" applyNumberFormat="1" applyBorder="1"/>
    <xf numFmtId="0" fontId="10" fillId="0" borderId="0" xfId="4" applyFont="1" applyFill="1"/>
    <xf numFmtId="173" fontId="9" fillId="0" borderId="0" xfId="16" applyNumberFormat="1" applyFont="1" applyFill="1"/>
    <xf numFmtId="0" fontId="3" fillId="0" borderId="1" xfId="4" applyFont="1" applyFill="1" applyBorder="1" applyAlignment="1"/>
    <xf numFmtId="5" fontId="3" fillId="0" borderId="0" xfId="20" applyNumberFormat="1" applyBorder="1" applyAlignment="1">
      <alignment horizontal="center"/>
    </xf>
    <xf numFmtId="5" fontId="3" fillId="0" borderId="1" xfId="20" quotePrefix="1" applyNumberFormat="1" applyBorder="1" applyAlignment="1">
      <alignment horizontal="center"/>
    </xf>
    <xf numFmtId="164" fontId="3" fillId="0" borderId="1" xfId="3" applyNumberFormat="1" applyFont="1" applyFill="1" applyBorder="1"/>
    <xf numFmtId="0" fontId="3" fillId="0" borderId="0" xfId="30" applyFont="1" applyFill="1" applyBorder="1"/>
    <xf numFmtId="1" fontId="3" fillId="0" borderId="0" xfId="1" applyNumberFormat="1" applyFont="1" applyFill="1" applyBorder="1" applyAlignment="1">
      <alignment horizontal="right"/>
    </xf>
    <xf numFmtId="0" fontId="29" fillId="0" borderId="0" xfId="30" applyFont="1" applyFill="1" applyBorder="1"/>
    <xf numFmtId="168" fontId="3" fillId="0" borderId="0" xfId="1" applyNumberFormat="1" applyFont="1" applyFill="1" applyBorder="1"/>
    <xf numFmtId="169" fontId="28" fillId="0" borderId="0" xfId="2" applyNumberFormat="1" applyFont="1" applyFill="1" applyBorder="1" applyAlignment="1" applyProtection="1">
      <alignment horizontal="right" vertical="top"/>
      <protection locked="0"/>
    </xf>
    <xf numFmtId="180" fontId="9" fillId="0" borderId="0" xfId="5" applyNumberFormat="1" applyFill="1"/>
    <xf numFmtId="0" fontId="0" fillId="0" borderId="0" xfId="4" quotePrefix="1" applyFont="1" applyFill="1" applyAlignment="1">
      <alignment horizontal="center"/>
    </xf>
    <xf numFmtId="0" fontId="3" fillId="0" borderId="0" xfId="4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/>
    </xf>
    <xf numFmtId="0" fontId="11" fillId="0" borderId="1" xfId="5" applyFont="1" applyFill="1" applyBorder="1" applyAlignment="1">
      <alignment horizontal="center"/>
    </xf>
    <xf numFmtId="0" fontId="16" fillId="0" borderId="0" xfId="4" applyFont="1" applyFill="1"/>
    <xf numFmtId="0" fontId="32" fillId="0" borderId="0" xfId="4" applyFont="1" applyFill="1"/>
    <xf numFmtId="0" fontId="33" fillId="0" borderId="0" xfId="32" applyFill="1" applyBorder="1"/>
    <xf numFmtId="167" fontId="33" fillId="0" borderId="0" xfId="32" applyNumberFormat="1" applyFill="1" applyBorder="1" applyProtection="1"/>
    <xf numFmtId="167" fontId="3" fillId="0" borderId="0" xfId="32" applyNumberFormat="1" applyFont="1" applyFill="1" applyBorder="1" applyProtection="1"/>
    <xf numFmtId="167" fontId="33" fillId="0" borderId="4" xfId="32" applyNumberFormat="1" applyFill="1" applyBorder="1" applyProtection="1"/>
    <xf numFmtId="5" fontId="3" fillId="0" borderId="0" xfId="4" applyNumberFormat="1" applyFont="1" applyFill="1" applyBorder="1"/>
    <xf numFmtId="0" fontId="3" fillId="0" borderId="0" xfId="32" applyFont="1" applyFill="1"/>
    <xf numFmtId="0" fontId="3" fillId="0" borderId="0" xfId="32" applyFont="1" applyFill="1" applyAlignment="1">
      <alignment horizontal="right"/>
    </xf>
    <xf numFmtId="0" fontId="27" fillId="0" borderId="12" xfId="32" applyFont="1" applyFill="1" applyBorder="1" applyAlignment="1">
      <alignment horizontal="left"/>
    </xf>
    <xf numFmtId="0" fontId="3" fillId="0" borderId="2" xfId="32" applyFont="1" applyFill="1" applyBorder="1"/>
    <xf numFmtId="0" fontId="3" fillId="0" borderId="13" xfId="32" applyFont="1" applyFill="1" applyBorder="1"/>
    <xf numFmtId="0" fontId="3" fillId="0" borderId="14" xfId="32" applyFont="1" applyFill="1" applyBorder="1"/>
    <xf numFmtId="0" fontId="3" fillId="0" borderId="0" xfId="32" applyFont="1" applyFill="1" applyBorder="1"/>
    <xf numFmtId="1" fontId="3" fillId="0" borderId="0" xfId="32" applyNumberFormat="1" applyFont="1" applyFill="1" applyBorder="1" applyAlignment="1">
      <alignment horizontal="right"/>
    </xf>
    <xf numFmtId="0" fontId="28" fillId="0" borderId="0" xfId="32" applyFont="1" applyFill="1" applyBorder="1" applyAlignment="1" applyProtection="1">
      <alignment horizontal="left" vertical="top"/>
      <protection locked="0"/>
    </xf>
    <xf numFmtId="177" fontId="28" fillId="0" borderId="0" xfId="32" applyNumberFormat="1" applyFont="1" applyFill="1" applyBorder="1" applyAlignment="1" applyProtection="1">
      <alignment horizontal="right" vertical="top"/>
      <protection locked="0"/>
    </xf>
    <xf numFmtId="181" fontId="28" fillId="0" borderId="0" xfId="32" applyNumberFormat="1" applyFont="1" applyFill="1" applyBorder="1" applyAlignment="1" applyProtection="1">
      <alignment horizontal="right" vertical="top"/>
      <protection locked="0"/>
    </xf>
    <xf numFmtId="0" fontId="29" fillId="0" borderId="0" xfId="32" applyFont="1" applyFill="1"/>
    <xf numFmtId="177" fontId="29" fillId="0" borderId="0" xfId="32" applyNumberFormat="1" applyFont="1" applyFill="1"/>
    <xf numFmtId="178" fontId="29" fillId="0" borderId="0" xfId="32" applyNumberFormat="1" applyFont="1" applyFill="1"/>
    <xf numFmtId="3" fontId="27" fillId="0" borderId="0" xfId="32" applyNumberFormat="1" applyFont="1" applyFill="1" applyBorder="1"/>
    <xf numFmtId="3" fontId="3" fillId="0" borderId="0" xfId="32" applyNumberFormat="1" applyFont="1" applyFill="1" applyBorder="1"/>
    <xf numFmtId="8" fontId="3" fillId="0" borderId="0" xfId="32" applyNumberFormat="1" applyFont="1" applyFill="1" applyBorder="1"/>
    <xf numFmtId="0" fontId="3" fillId="0" borderId="0" xfId="32" applyFont="1" applyFill="1" applyBorder="1" applyAlignment="1">
      <alignment horizontal="right"/>
    </xf>
    <xf numFmtId="178" fontId="3" fillId="0" borderId="0" xfId="32" applyNumberFormat="1" applyFont="1" applyFill="1" applyBorder="1"/>
    <xf numFmtId="0" fontId="29" fillId="0" borderId="0" xfId="32" applyFont="1" applyFill="1" applyBorder="1"/>
    <xf numFmtId="3" fontId="29" fillId="0" borderId="0" xfId="32" applyNumberFormat="1" applyFont="1" applyFill="1" applyBorder="1"/>
    <xf numFmtId="6" fontId="29" fillId="0" borderId="0" xfId="32" applyNumberFormat="1" applyFont="1" applyFill="1" applyBorder="1"/>
    <xf numFmtId="177" fontId="3" fillId="0" borderId="0" xfId="32" applyNumberFormat="1" applyFont="1" applyFill="1"/>
    <xf numFmtId="181" fontId="3" fillId="0" borderId="0" xfId="32" applyNumberFormat="1" applyFont="1" applyFill="1"/>
    <xf numFmtId="177" fontId="3" fillId="0" borderId="0" xfId="32" applyNumberFormat="1" applyFont="1" applyFill="1" applyBorder="1"/>
    <xf numFmtId="181" fontId="3" fillId="0" borderId="0" xfId="32" applyNumberFormat="1" applyFont="1" applyFill="1" applyBorder="1"/>
    <xf numFmtId="8" fontId="30" fillId="0" borderId="0" xfId="32" applyNumberFormat="1" applyFont="1" applyFill="1" applyBorder="1"/>
    <xf numFmtId="0" fontId="30" fillId="0" borderId="0" xfId="32" applyFont="1" applyFill="1" applyBorder="1"/>
    <xf numFmtId="177" fontId="30" fillId="0" borderId="0" xfId="32" applyNumberFormat="1" applyFont="1" applyFill="1" applyBorder="1" applyAlignment="1" applyProtection="1">
      <alignment horizontal="right" vertical="top"/>
      <protection locked="0"/>
    </xf>
    <xf numFmtId="178" fontId="28" fillId="0" borderId="0" xfId="32" applyNumberFormat="1" applyFont="1" applyFill="1" applyBorder="1" applyAlignment="1" applyProtection="1">
      <alignment horizontal="right" vertical="top"/>
      <protection locked="0"/>
    </xf>
    <xf numFmtId="8" fontId="3" fillId="0" borderId="0" xfId="32" applyNumberFormat="1" applyFont="1" applyFill="1"/>
    <xf numFmtId="177" fontId="29" fillId="0" borderId="0" xfId="32" applyNumberFormat="1" applyFont="1" applyFill="1" applyBorder="1"/>
    <xf numFmtId="8" fontId="29" fillId="0" borderId="0" xfId="32" applyNumberFormat="1" applyFont="1" applyFill="1" applyBorder="1"/>
    <xf numFmtId="0" fontId="3" fillId="0" borderId="16" xfId="32" applyFont="1" applyFill="1" applyBorder="1"/>
    <xf numFmtId="0" fontId="3" fillId="0" borderId="1" xfId="32" applyFont="1" applyFill="1" applyBorder="1"/>
    <xf numFmtId="3" fontId="3" fillId="0" borderId="1" xfId="32" applyNumberFormat="1" applyFont="1" applyFill="1" applyBorder="1"/>
    <xf numFmtId="6" fontId="3" fillId="0" borderId="1" xfId="32" applyNumberFormat="1" applyFont="1" applyFill="1" applyBorder="1"/>
    <xf numFmtId="175" fontId="3" fillId="0" borderId="1" xfId="32" applyNumberFormat="1" applyFont="1" applyFill="1" applyBorder="1"/>
    <xf numFmtId="3" fontId="3" fillId="0" borderId="0" xfId="32" applyNumberFormat="1" applyFont="1" applyFill="1"/>
    <xf numFmtId="175" fontId="29" fillId="0" borderId="0" xfId="32" applyNumberFormat="1" applyFont="1" applyFill="1"/>
    <xf numFmtId="175" fontId="3" fillId="0" borderId="0" xfId="32" applyNumberFormat="1" applyFont="1" applyFill="1"/>
    <xf numFmtId="6" fontId="3" fillId="0" borderId="0" xfId="32" applyNumberFormat="1" applyFont="1" applyFill="1"/>
    <xf numFmtId="3" fontId="29" fillId="0" borderId="0" xfId="32" applyNumberFormat="1" applyFont="1" applyFill="1"/>
    <xf numFmtId="178" fontId="31" fillId="0" borderId="0" xfId="32" applyNumberFormat="1" applyFont="1" applyFill="1" applyBorder="1" applyAlignment="1" applyProtection="1">
      <alignment horizontal="right" vertical="top"/>
      <protection locked="0"/>
    </xf>
    <xf numFmtId="179" fontId="3" fillId="0" borderId="0" xfId="32" applyNumberFormat="1" applyFont="1" applyFill="1"/>
    <xf numFmtId="37" fontId="3" fillId="0" borderId="1" xfId="4" applyNumberFormat="1" applyFill="1" applyBorder="1" applyProtection="1"/>
    <xf numFmtId="6" fontId="78" fillId="0" borderId="14" xfId="2" applyNumberFormat="1" applyFont="1" applyFill="1" applyBorder="1" applyAlignment="1">
      <alignment vertical="center"/>
    </xf>
    <xf numFmtId="8" fontId="78" fillId="0" borderId="15" xfId="2" applyNumberFormat="1" applyFont="1" applyFill="1" applyBorder="1" applyAlignment="1">
      <alignment vertical="center"/>
    </xf>
    <xf numFmtId="6" fontId="78" fillId="0" borderId="0" xfId="2" applyNumberFormat="1" applyFont="1" applyFill="1" applyBorder="1" applyAlignment="1">
      <alignment vertical="center"/>
    </xf>
    <xf numFmtId="8" fontId="78" fillId="0" borderId="0" xfId="2" applyNumberFormat="1" applyFont="1" applyFill="1" applyBorder="1" applyAlignment="1">
      <alignment vertical="center"/>
    </xf>
    <xf numFmtId="6" fontId="78" fillId="0" borderId="15" xfId="2" applyNumberFormat="1" applyFont="1" applyFill="1" applyBorder="1" applyAlignment="1">
      <alignment vertical="center"/>
    </xf>
    <xf numFmtId="198" fontId="78" fillId="0" borderId="15" xfId="2" applyNumberFormat="1" applyFont="1" applyFill="1" applyBorder="1" applyAlignment="1">
      <alignment vertical="center"/>
    </xf>
    <xf numFmtId="6" fontId="78" fillId="48" borderId="41" xfId="2" applyNumberFormat="1" applyFont="1" applyFill="1" applyBorder="1" applyAlignment="1">
      <alignment vertical="center"/>
    </xf>
    <xf numFmtId="6" fontId="78" fillId="0" borderId="16" xfId="2" applyNumberFormat="1" applyFont="1" applyBorder="1" applyAlignment="1">
      <alignment vertical="center"/>
    </xf>
    <xf numFmtId="198" fontId="78" fillId="0" borderId="17" xfId="2" applyNumberFormat="1" applyFont="1" applyBorder="1" applyAlignment="1">
      <alignment vertical="center"/>
    </xf>
    <xf numFmtId="6" fontId="78" fillId="0" borderId="1" xfId="2" applyNumberFormat="1" applyFont="1" applyBorder="1" applyAlignment="1">
      <alignment vertical="center"/>
    </xf>
    <xf numFmtId="198" fontId="86" fillId="0" borderId="0" xfId="2" applyNumberFormat="1" applyFont="1" applyFill="1" applyBorder="1" applyAlignment="1">
      <alignment vertical="center"/>
    </xf>
    <xf numFmtId="164" fontId="86" fillId="0" borderId="40" xfId="3" applyNumberFormat="1" applyFont="1" applyBorder="1" applyAlignment="1">
      <alignment vertical="center"/>
    </xf>
    <xf numFmtId="164" fontId="86" fillId="0" borderId="35" xfId="3" applyNumberFormat="1" applyFont="1" applyBorder="1" applyAlignment="1">
      <alignment vertical="center"/>
    </xf>
    <xf numFmtId="164" fontId="86" fillId="0" borderId="33" xfId="3" applyNumberFormat="1" applyFont="1" applyBorder="1" applyAlignment="1">
      <alignment vertical="center"/>
    </xf>
    <xf numFmtId="0" fontId="76" fillId="0" borderId="0" xfId="540" applyFont="1" applyBorder="1" applyAlignment="1">
      <alignment horizontal="centerContinuous" vertical="center"/>
    </xf>
    <xf numFmtId="0" fontId="77" fillId="0" borderId="0" xfId="540" applyFont="1" applyBorder="1" applyAlignment="1">
      <alignment vertical="center"/>
    </xf>
    <xf numFmtId="0" fontId="77" fillId="0" borderId="0" xfId="540" applyFont="1" applyAlignment="1">
      <alignment vertical="center"/>
    </xf>
    <xf numFmtId="0" fontId="91" fillId="0" borderId="0" xfId="540" applyFont="1" applyBorder="1" applyAlignment="1">
      <alignment horizontal="centerContinuous" vertical="center"/>
    </xf>
    <xf numFmtId="0" fontId="78" fillId="0" borderId="0" xfId="540" applyFont="1" applyBorder="1" applyAlignment="1">
      <alignment vertical="center"/>
    </xf>
    <xf numFmtId="0" fontId="78" fillId="0" borderId="0" xfId="540" applyFont="1" applyAlignment="1">
      <alignment vertical="center"/>
    </xf>
    <xf numFmtId="0" fontId="76" fillId="0" borderId="0" xfId="540" applyFont="1" applyBorder="1" applyAlignment="1">
      <alignment horizontal="center" vertical="center"/>
    </xf>
    <xf numFmtId="0" fontId="92" fillId="0" borderId="0" xfId="540" applyFont="1" applyBorder="1" applyAlignment="1">
      <alignment vertical="center"/>
    </xf>
    <xf numFmtId="0" fontId="80" fillId="0" borderId="0" xfId="540" applyFont="1" applyBorder="1" applyAlignment="1">
      <alignment vertical="center"/>
    </xf>
    <xf numFmtId="6" fontId="80" fillId="0" borderId="0" xfId="540" applyNumberFormat="1" applyFont="1" applyBorder="1" applyAlignment="1">
      <alignment horizontal="centerContinuous" vertical="center"/>
    </xf>
    <xf numFmtId="0" fontId="80" fillId="0" borderId="0" xfId="540" applyFont="1" applyBorder="1" applyAlignment="1">
      <alignment horizontal="centerContinuous" vertical="center"/>
    </xf>
    <xf numFmtId="0" fontId="81" fillId="0" borderId="0" xfId="540" applyFont="1" applyBorder="1" applyAlignment="1">
      <alignment horizontal="center" vertical="center"/>
    </xf>
    <xf numFmtId="0" fontId="82" fillId="0" borderId="0" xfId="540" applyFont="1" applyBorder="1" applyAlignment="1">
      <alignment horizontal="left" vertical="center"/>
    </xf>
    <xf numFmtId="0" fontId="80" fillId="0" borderId="0" xfId="540" applyFont="1" applyAlignment="1">
      <alignment vertical="center"/>
    </xf>
    <xf numFmtId="0" fontId="82" fillId="0" borderId="0" xfId="540" applyFont="1" applyBorder="1" applyAlignment="1">
      <alignment vertical="center"/>
    </xf>
    <xf numFmtId="0" fontId="82" fillId="0" borderId="12" xfId="540" applyFont="1" applyBorder="1" applyAlignment="1">
      <alignment vertical="center"/>
    </xf>
    <xf numFmtId="0" fontId="93" fillId="0" borderId="40" xfId="540" applyFont="1" applyBorder="1" applyAlignment="1">
      <alignment horizontal="center" vertical="center"/>
    </xf>
    <xf numFmtId="0" fontId="82" fillId="0" borderId="12" xfId="540" applyFont="1" applyBorder="1" applyAlignment="1">
      <alignment horizontal="centerContinuous" vertical="center"/>
    </xf>
    <xf numFmtId="0" fontId="82" fillId="0" borderId="13" xfId="540" applyFont="1" applyFill="1" applyBorder="1" applyAlignment="1">
      <alignment horizontal="centerContinuous" vertical="center"/>
    </xf>
    <xf numFmtId="0" fontId="82" fillId="0" borderId="18" xfId="540" applyFont="1" applyBorder="1" applyAlignment="1">
      <alignment horizontal="centerContinuous" vertical="center"/>
    </xf>
    <xf numFmtId="0" fontId="82" fillId="0" borderId="19" xfId="540" applyFont="1" applyBorder="1" applyAlignment="1">
      <alignment horizontal="centerContinuous" vertical="center"/>
    </xf>
    <xf numFmtId="0" fontId="82" fillId="0" borderId="20" xfId="540" applyFont="1" applyBorder="1" applyAlignment="1">
      <alignment horizontal="centerContinuous" vertical="center"/>
    </xf>
    <xf numFmtId="0" fontId="82" fillId="49" borderId="0" xfId="540" applyFont="1" applyFill="1" applyBorder="1" applyAlignment="1">
      <alignment vertical="center"/>
    </xf>
    <xf numFmtId="0" fontId="78" fillId="49" borderId="0" xfId="540" applyFont="1" applyFill="1" applyBorder="1" applyAlignment="1">
      <alignment vertical="center"/>
    </xf>
    <xf numFmtId="0" fontId="82" fillId="0" borderId="0" xfId="540" applyFont="1" applyAlignment="1">
      <alignment vertical="center"/>
    </xf>
    <xf numFmtId="0" fontId="82" fillId="0" borderId="14" xfId="540" applyFont="1" applyBorder="1" applyAlignment="1">
      <alignment vertical="center"/>
    </xf>
    <xf numFmtId="0" fontId="82" fillId="0" borderId="35" xfId="540" applyFont="1" applyBorder="1" applyAlignment="1">
      <alignment horizontal="center" vertical="center"/>
    </xf>
    <xf numFmtId="0" fontId="82" fillId="0" borderId="12" xfId="540" applyFont="1" applyBorder="1" applyAlignment="1">
      <alignment horizontal="center" vertical="center"/>
    </xf>
    <xf numFmtId="0" fontId="82" fillId="0" borderId="13" xfId="540" applyFont="1" applyFill="1" applyBorder="1" applyAlignment="1">
      <alignment horizontal="center" vertical="center"/>
    </xf>
    <xf numFmtId="0" fontId="82" fillId="0" borderId="2" xfId="540" applyFont="1" applyBorder="1" applyAlignment="1">
      <alignment horizontal="center" vertical="center"/>
    </xf>
    <xf numFmtId="0" fontId="82" fillId="0" borderId="2" xfId="540" applyFont="1" applyFill="1" applyBorder="1" applyAlignment="1">
      <alignment horizontal="center" vertical="center"/>
    </xf>
    <xf numFmtId="0" fontId="82" fillId="0" borderId="14" xfId="540" applyFont="1" applyBorder="1" applyAlignment="1">
      <alignment horizontal="center" vertical="center"/>
    </xf>
    <xf numFmtId="0" fontId="93" fillId="0" borderId="15" xfId="540" applyFont="1" applyBorder="1" applyAlignment="1">
      <alignment horizontal="center" vertical="center"/>
    </xf>
    <xf numFmtId="0" fontId="84" fillId="0" borderId="14" xfId="540" applyFont="1" applyBorder="1" applyAlignment="1">
      <alignment horizontal="center" vertical="center"/>
    </xf>
    <xf numFmtId="0" fontId="82" fillId="0" borderId="33" xfId="540" applyFont="1" applyBorder="1" applyAlignment="1">
      <alignment horizontal="center" vertical="center"/>
    </xf>
    <xf numFmtId="6" fontId="82" fillId="0" borderId="16" xfId="540" quotePrefix="1" applyNumberFormat="1" applyFont="1" applyBorder="1" applyAlignment="1">
      <alignment horizontal="center" vertical="center"/>
    </xf>
    <xf numFmtId="0" fontId="82" fillId="0" borderId="17" xfId="540" applyFont="1" applyFill="1" applyBorder="1" applyAlignment="1">
      <alignment horizontal="center" vertical="center"/>
    </xf>
    <xf numFmtId="0" fontId="82" fillId="0" borderId="1" xfId="540" applyFont="1" applyBorder="1" applyAlignment="1">
      <alignment horizontal="center" vertical="center"/>
    </xf>
    <xf numFmtId="6" fontId="82" fillId="0" borderId="1" xfId="540" quotePrefix="1" applyNumberFormat="1" applyFont="1" applyBorder="1" applyAlignment="1">
      <alignment horizontal="center" vertical="center"/>
    </xf>
    <xf numFmtId="0" fontId="93" fillId="0" borderId="16" xfId="540" applyFont="1" applyBorder="1" applyAlignment="1">
      <alignment horizontal="center" vertical="center"/>
    </xf>
    <xf numFmtId="6" fontId="82" fillId="0" borderId="17" xfId="540" quotePrefix="1" applyNumberFormat="1" applyFont="1" applyBorder="1" applyAlignment="1">
      <alignment horizontal="center" vertical="center"/>
    </xf>
    <xf numFmtId="6" fontId="78" fillId="0" borderId="0" xfId="540" applyNumberFormat="1" applyFont="1" applyBorder="1" applyAlignment="1">
      <alignment vertical="center"/>
    </xf>
    <xf numFmtId="0" fontId="78" fillId="0" borderId="14" xfId="540" applyFont="1" applyBorder="1" applyAlignment="1">
      <alignment vertical="center"/>
    </xf>
    <xf numFmtId="37" fontId="78" fillId="0" borderId="35" xfId="540" applyNumberFormat="1" applyFont="1" applyBorder="1" applyAlignment="1">
      <alignment vertical="center"/>
    </xf>
    <xf numFmtId="8" fontId="78" fillId="0" borderId="0" xfId="540" applyNumberFormat="1" applyFont="1" applyBorder="1" applyAlignment="1">
      <alignment vertical="center"/>
    </xf>
    <xf numFmtId="0" fontId="82" fillId="0" borderId="14" xfId="540" applyFont="1" applyBorder="1" applyAlignment="1">
      <alignment horizontal="left" vertical="center"/>
    </xf>
    <xf numFmtId="5" fontId="78" fillId="0" borderId="0" xfId="2" applyNumberFormat="1" applyFont="1" applyFill="1" applyBorder="1" applyAlignment="1">
      <alignment vertical="center"/>
    </xf>
    <xf numFmtId="5" fontId="95" fillId="0" borderId="14" xfId="2" applyNumberFormat="1" applyFont="1" applyFill="1" applyBorder="1" applyAlignment="1">
      <alignment vertical="center"/>
    </xf>
    <xf numFmtId="198" fontId="78" fillId="0" borderId="0" xfId="540" applyNumberFormat="1" applyFont="1" applyBorder="1" applyAlignment="1">
      <alignment vertical="center"/>
    </xf>
    <xf numFmtId="0" fontId="82" fillId="0" borderId="16" xfId="540" applyFont="1" applyBorder="1" applyAlignment="1">
      <alignment horizontal="left" vertical="center"/>
    </xf>
    <xf numFmtId="37" fontId="78" fillId="0" borderId="33" xfId="540" applyNumberFormat="1" applyFont="1" applyBorder="1" applyAlignment="1">
      <alignment vertical="center"/>
    </xf>
    <xf numFmtId="6" fontId="95" fillId="0" borderId="16" xfId="2" applyNumberFormat="1" applyFont="1" applyBorder="1" applyAlignment="1">
      <alignment vertical="center"/>
    </xf>
    <xf numFmtId="5" fontId="95" fillId="0" borderId="1" xfId="2" applyNumberFormat="1" applyFont="1" applyBorder="1" applyAlignment="1">
      <alignment vertical="center"/>
    </xf>
    <xf numFmtId="0" fontId="86" fillId="0" borderId="0" xfId="540" applyFont="1" applyBorder="1" applyAlignment="1">
      <alignment horizontal="right" vertical="center"/>
    </xf>
    <xf numFmtId="0" fontId="86" fillId="0" borderId="0" xfId="540" applyFont="1" applyBorder="1" applyAlignment="1">
      <alignment horizontal="left" vertical="center"/>
    </xf>
    <xf numFmtId="6" fontId="86" fillId="0" borderId="0" xfId="540" applyNumberFormat="1" applyFont="1" applyBorder="1" applyAlignment="1">
      <alignment horizontal="left" vertical="center"/>
    </xf>
    <xf numFmtId="5" fontId="86" fillId="0" borderId="0" xfId="540" applyNumberFormat="1" applyFont="1" applyBorder="1" applyAlignment="1">
      <alignment horizontal="left" vertical="center"/>
    </xf>
    <xf numFmtId="5" fontId="81" fillId="0" borderId="0" xfId="540" applyNumberFormat="1" applyFont="1" applyBorder="1" applyAlignment="1">
      <alignment horizontal="center" vertical="center"/>
    </xf>
    <xf numFmtId="5" fontId="82" fillId="0" borderId="18" xfId="540" applyNumberFormat="1" applyFont="1" applyBorder="1" applyAlignment="1">
      <alignment horizontal="centerContinuous" vertical="center"/>
    </xf>
    <xf numFmtId="5" fontId="82" fillId="0" borderId="19" xfId="540" applyNumberFormat="1" applyFont="1" applyBorder="1" applyAlignment="1">
      <alignment horizontal="centerContinuous" vertical="center"/>
    </xf>
    <xf numFmtId="5" fontId="82" fillId="0" borderId="2" xfId="540" applyNumberFormat="1" applyFont="1" applyBorder="1" applyAlignment="1">
      <alignment horizontal="center" vertical="center"/>
    </xf>
    <xf numFmtId="5" fontId="82" fillId="0" borderId="1" xfId="540" applyNumberFormat="1" applyFont="1" applyBorder="1" applyAlignment="1">
      <alignment horizontal="center" vertical="center"/>
    </xf>
    <xf numFmtId="5" fontId="78" fillId="0" borderId="0" xfId="540" applyNumberFormat="1" applyFont="1" applyAlignment="1">
      <alignment vertical="center"/>
    </xf>
    <xf numFmtId="5" fontId="78" fillId="0" borderId="1" xfId="2" applyNumberFormat="1" applyFont="1" applyBorder="1" applyAlignment="1">
      <alignment vertical="center"/>
    </xf>
    <xf numFmtId="0" fontId="79" fillId="0" borderId="0" xfId="540" applyFont="1" applyBorder="1" applyAlignment="1">
      <alignment vertical="center"/>
    </xf>
    <xf numFmtId="0" fontId="87" fillId="0" borderId="12" xfId="540" applyFont="1" applyBorder="1" applyAlignment="1">
      <alignment horizontal="center" vertical="center"/>
    </xf>
    <xf numFmtId="0" fontId="82" fillId="0" borderId="40" xfId="540" applyFont="1" applyBorder="1" applyAlignment="1">
      <alignment horizontal="center" vertical="center"/>
    </xf>
    <xf numFmtId="0" fontId="88" fillId="0" borderId="0" xfId="540" applyFont="1" applyBorder="1" applyAlignment="1">
      <alignment horizontal="center" vertical="center"/>
    </xf>
    <xf numFmtId="0" fontId="82" fillId="0" borderId="14" xfId="540" applyFont="1" applyBorder="1" applyAlignment="1">
      <alignment horizontal="centerContinuous" vertical="center"/>
    </xf>
    <xf numFmtId="0" fontId="82" fillId="0" borderId="15" xfId="540" applyFont="1" applyBorder="1" applyAlignment="1">
      <alignment horizontal="centerContinuous" vertical="center"/>
    </xf>
    <xf numFmtId="0" fontId="88" fillId="0" borderId="0" xfId="540" applyFont="1" applyFill="1" applyBorder="1" applyAlignment="1">
      <alignment horizontal="center" vertical="center"/>
    </xf>
    <xf numFmtId="0" fontId="82" fillId="0" borderId="16" xfId="540" applyFont="1" applyBorder="1" applyAlignment="1">
      <alignment horizontal="center" vertical="center"/>
    </xf>
    <xf numFmtId="0" fontId="85" fillId="0" borderId="0" xfId="540" applyFont="1" applyFill="1" applyBorder="1" applyAlignment="1">
      <alignment horizontal="center" vertical="center"/>
    </xf>
    <xf numFmtId="0" fontId="78" fillId="0" borderId="35" xfId="540" applyFont="1" applyBorder="1" applyAlignment="1">
      <alignment horizontal="center" vertical="center"/>
    </xf>
    <xf numFmtId="0" fontId="82" fillId="0" borderId="15" xfId="540" applyFont="1" applyFill="1" applyBorder="1" applyAlignment="1">
      <alignment horizontal="center" vertical="center"/>
    </xf>
    <xf numFmtId="0" fontId="78" fillId="0" borderId="0" xfId="540" applyFont="1" applyBorder="1" applyAlignment="1">
      <alignment horizontal="center" vertical="center"/>
    </xf>
    <xf numFmtId="5" fontId="78" fillId="0" borderId="0" xfId="540" applyNumberFormat="1" applyFont="1" applyBorder="1" applyAlignment="1">
      <alignment horizontal="center" vertical="center"/>
    </xf>
    <xf numFmtId="0" fontId="82" fillId="0" borderId="0" xfId="540" applyFont="1" applyFill="1" applyBorder="1" applyAlignment="1">
      <alignment horizontal="center" vertical="center"/>
    </xf>
    <xf numFmtId="0" fontId="78" fillId="0" borderId="14" xfId="540" applyFont="1" applyBorder="1" applyAlignment="1">
      <alignment horizontal="center" vertical="center"/>
    </xf>
    <xf numFmtId="0" fontId="78" fillId="0" borderId="35" xfId="540" applyFont="1" applyBorder="1" applyAlignment="1">
      <alignment vertical="center"/>
    </xf>
    <xf numFmtId="0" fontId="86" fillId="0" borderId="0" xfId="540" applyFont="1" applyBorder="1" applyAlignment="1">
      <alignment vertical="center"/>
    </xf>
    <xf numFmtId="5" fontId="78" fillId="0" borderId="14" xfId="2" applyNumberFormat="1" applyFont="1" applyFill="1" applyBorder="1" applyAlignment="1">
      <alignment vertical="center"/>
    </xf>
    <xf numFmtId="6" fontId="78" fillId="0" borderId="17" xfId="540" applyNumberFormat="1" applyFont="1" applyBorder="1" applyAlignment="1">
      <alignment vertical="center"/>
    </xf>
    <xf numFmtId="0" fontId="86" fillId="0" borderId="1" xfId="540" applyFont="1" applyBorder="1" applyAlignment="1">
      <alignment vertical="center"/>
    </xf>
    <xf numFmtId="0" fontId="86" fillId="0" borderId="1" xfId="540" applyFont="1" applyBorder="1" applyAlignment="1">
      <alignment horizontal="right" vertical="center"/>
    </xf>
    <xf numFmtId="0" fontId="86" fillId="0" borderId="1" xfId="540" applyFont="1" applyBorder="1" applyAlignment="1">
      <alignment horizontal="left" vertical="center"/>
    </xf>
    <xf numFmtId="6" fontId="86" fillId="0" borderId="1" xfId="540" applyNumberFormat="1" applyFont="1" applyBorder="1" applyAlignment="1">
      <alignment horizontal="left" vertical="center"/>
    </xf>
    <xf numFmtId="0" fontId="88" fillId="0" borderId="0" xfId="540" applyFont="1" applyAlignment="1">
      <alignment horizontal="center" vertical="center"/>
    </xf>
    <xf numFmtId="0" fontId="86" fillId="0" borderId="0" xfId="540" applyFont="1" applyAlignment="1">
      <alignment vertical="center"/>
    </xf>
    <xf numFmtId="199" fontId="89" fillId="0" borderId="0" xfId="540" applyNumberFormat="1" applyFont="1" applyBorder="1" applyAlignment="1">
      <alignment vertical="center"/>
    </xf>
    <xf numFmtId="0" fontId="88" fillId="0" borderId="0" xfId="540" applyFont="1" applyBorder="1" applyAlignment="1">
      <alignment horizontal="left" vertical="center"/>
    </xf>
    <xf numFmtId="0" fontId="86" fillId="0" borderId="0" xfId="540" applyFont="1" applyAlignment="1">
      <alignment horizontal="left" vertical="center"/>
    </xf>
    <xf numFmtId="164" fontId="86" fillId="0" borderId="0" xfId="540" applyNumberFormat="1" applyFont="1" applyAlignment="1">
      <alignment vertical="center"/>
    </xf>
    <xf numFmtId="10" fontId="86" fillId="0" borderId="0" xfId="540" applyNumberFormat="1" applyFont="1" applyAlignment="1">
      <alignment vertical="center"/>
    </xf>
    <xf numFmtId="0" fontId="85" fillId="0" borderId="0" xfId="540" applyFont="1" applyAlignment="1">
      <alignment horizontal="center" vertical="center"/>
    </xf>
    <xf numFmtId="164" fontId="86" fillId="0" borderId="0" xfId="540" applyNumberFormat="1" applyFont="1" applyAlignment="1">
      <alignment horizontal="center" vertical="center"/>
    </xf>
    <xf numFmtId="0" fontId="88" fillId="0" borderId="0" xfId="540" applyFont="1" applyAlignment="1">
      <alignment horizontal="left" vertical="center"/>
    </xf>
    <xf numFmtId="200" fontId="86" fillId="0" borderId="0" xfId="540" applyNumberFormat="1" applyFont="1" applyBorder="1" applyAlignment="1">
      <alignment vertical="center"/>
    </xf>
    <xf numFmtId="173" fontId="86" fillId="0" borderId="0" xfId="540" applyNumberFormat="1" applyFont="1" applyBorder="1" applyAlignment="1">
      <alignment vertical="center"/>
    </xf>
    <xf numFmtId="6" fontId="86" fillId="0" borderId="0" xfId="540" applyNumberFormat="1" applyFont="1" applyBorder="1" applyAlignment="1">
      <alignment vertical="center"/>
    </xf>
    <xf numFmtId="10" fontId="86" fillId="0" borderId="0" xfId="3" applyNumberFormat="1" applyFont="1" applyBorder="1" applyAlignment="1">
      <alignment vertical="center"/>
    </xf>
    <xf numFmtId="0" fontId="94" fillId="0" borderId="0" xfId="540" applyFont="1" applyAlignment="1">
      <alignment horizontal="center" vertical="center"/>
    </xf>
    <xf numFmtId="0" fontId="88" fillId="0" borderId="12" xfId="540" applyFont="1" applyBorder="1" applyAlignment="1">
      <alignment horizontal="left" vertical="center"/>
    </xf>
    <xf numFmtId="37" fontId="96" fillId="0" borderId="40" xfId="540" applyNumberFormat="1" applyFont="1" applyBorder="1" applyAlignment="1">
      <alignment vertical="center"/>
    </xf>
    <xf numFmtId="37" fontId="86" fillId="0" borderId="40" xfId="540" applyNumberFormat="1" applyFont="1" applyBorder="1" applyAlignment="1">
      <alignment vertical="center"/>
    </xf>
    <xf numFmtId="0" fontId="88" fillId="0" borderId="14" xfId="540" applyFont="1" applyBorder="1" applyAlignment="1">
      <alignment horizontal="left" vertical="center" indent="2"/>
    </xf>
    <xf numFmtId="37" fontId="96" fillId="0" borderId="35" xfId="540" applyNumberFormat="1" applyFont="1" applyBorder="1" applyAlignment="1">
      <alignment vertical="center"/>
    </xf>
    <xf numFmtId="37" fontId="86" fillId="0" borderId="35" xfId="540" applyNumberFormat="1" applyFont="1" applyBorder="1" applyAlignment="1">
      <alignment vertical="center"/>
    </xf>
    <xf numFmtId="0" fontId="86" fillId="0" borderId="35" xfId="540" applyFont="1" applyBorder="1" applyAlignment="1">
      <alignment vertical="center"/>
    </xf>
    <xf numFmtId="37" fontId="86" fillId="0" borderId="0" xfId="540" applyNumberFormat="1" applyFont="1" applyAlignment="1">
      <alignment vertical="center"/>
    </xf>
    <xf numFmtId="0" fontId="88" fillId="0" borderId="14" xfId="540" applyFont="1" applyBorder="1" applyAlignment="1">
      <alignment horizontal="left" vertical="center"/>
    </xf>
    <xf numFmtId="0" fontId="88" fillId="0" borderId="16" xfId="540" applyFont="1" applyBorder="1" applyAlignment="1">
      <alignment horizontal="left" vertical="center" indent="1"/>
    </xf>
    <xf numFmtId="37" fontId="86" fillId="0" borderId="33" xfId="540" applyNumberFormat="1" applyFont="1" applyBorder="1" applyAlignment="1">
      <alignment vertical="center"/>
    </xf>
    <xf numFmtId="0" fontId="88" fillId="0" borderId="0" xfId="540" applyFont="1" applyAlignment="1">
      <alignment horizontal="left" vertical="center" indent="1"/>
    </xf>
    <xf numFmtId="0" fontId="88" fillId="0" borderId="0" xfId="540" applyFont="1" applyAlignment="1">
      <alignment vertical="center"/>
    </xf>
    <xf numFmtId="0" fontId="88" fillId="0" borderId="0" xfId="540" applyFont="1" applyAlignment="1">
      <alignment horizontal="center" vertical="center"/>
    </xf>
    <xf numFmtId="0" fontId="16" fillId="0" borderId="0" xfId="16" applyFont="1" applyFill="1" applyAlignment="1">
      <alignment horizontal="center"/>
    </xf>
    <xf numFmtId="0" fontId="9" fillId="0" borderId="1" xfId="16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/>
    </xf>
    <xf numFmtId="0" fontId="3" fillId="0" borderId="0" xfId="4" applyFont="1" applyFill="1" applyAlignment="1">
      <alignment horizontal="left"/>
    </xf>
    <xf numFmtId="0" fontId="3" fillId="0" borderId="0" xfId="4" quotePrefix="1" applyFont="1" applyFill="1" applyAlignment="1">
      <alignment horizontal="left"/>
    </xf>
    <xf numFmtId="0" fontId="11" fillId="0" borderId="1" xfId="5" applyFont="1" applyFill="1" applyBorder="1" applyAlignment="1">
      <alignment horizontal="center"/>
    </xf>
    <xf numFmtId="0" fontId="5" fillId="0" borderId="0" xfId="4" quotePrefix="1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21" fillId="0" borderId="0" xfId="16" quotePrefix="1" applyFont="1" applyFill="1" applyBorder="1" applyAlignment="1">
      <alignment horizontal="left" wrapText="1"/>
    </xf>
  </cellXfs>
  <cellStyles count="541">
    <cellStyle name="_x0013_" xfId="508"/>
    <cellStyle name="_Book1" xfId="509"/>
    <cellStyle name="_Book1 (2)" xfId="510"/>
    <cellStyle name="_Book2" xfId="511"/>
    <cellStyle name="_Chelan Debt Forecast 12.19.05" xfId="512"/>
    <cellStyle name="_Costs not in AURORA 06GRC" xfId="513"/>
    <cellStyle name="_Costs not in AURORA 2006GRC 6.15.06" xfId="514"/>
    <cellStyle name="_Costs not in AURORA 2007 Rate Case" xfId="515"/>
    <cellStyle name="_Costs not in KWI3000 '06Budget" xfId="516"/>
    <cellStyle name="_DEM-WP (C) Power Cost 2006GRC Order" xfId="517"/>
    <cellStyle name="_DEM-WP(C) Costs not in AURORA 2006GRC" xfId="518"/>
    <cellStyle name="_DEM-WP(C) Costs not in AURORA 2007GRC" xfId="519"/>
    <cellStyle name="_DEM-WP(C) Prod O&amp;M 2007GRC" xfId="520"/>
    <cellStyle name="_DEM-WP(C) Rate Year Sumas by Month Update Corrected" xfId="521"/>
    <cellStyle name="_Recon to Darrin's 5.11.05 proforma" xfId="522"/>
    <cellStyle name="_Tenaska Comparison" xfId="523"/>
    <cellStyle name="_VC 6.15.06 update on 06GRC power costs.xls Chart 1" xfId="524"/>
    <cellStyle name="_VC 6.15.06 update on 06GRC power costs.xls Chart 2" xfId="525"/>
    <cellStyle name="_VC 6.15.06 update on 06GRC power costs.xls Chart 3" xfId="526"/>
    <cellStyle name="0,0_x000d__x000a_NA_x000d__x000a_" xfId="527"/>
    <cellStyle name="20% - Accent1 2" xfId="39"/>
    <cellStyle name="20% - Accent1 3" xfId="40"/>
    <cellStyle name="20% - Accent1 4" xfId="41"/>
    <cellStyle name="20% - Accent1 5" xfId="42"/>
    <cellStyle name="20% - Accent1 6" xfId="43"/>
    <cellStyle name="20% - Accent2 2" xfId="44"/>
    <cellStyle name="20% - Accent2 3" xfId="45"/>
    <cellStyle name="20% - Accent2 4" xfId="46"/>
    <cellStyle name="20% - Accent2 5" xfId="47"/>
    <cellStyle name="20% - Accent2 6" xfId="48"/>
    <cellStyle name="20% - Accent3 2" xfId="49"/>
    <cellStyle name="20% - Accent3 3" xfId="50"/>
    <cellStyle name="20% - Accent3 4" xfId="51"/>
    <cellStyle name="20% - Accent3 5" xfId="52"/>
    <cellStyle name="20% - Accent3 6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6 2" xfId="64"/>
    <cellStyle name="20% - Accent6 3" xfId="65"/>
    <cellStyle name="20% - Accent6 4" xfId="66"/>
    <cellStyle name="20% - Accent6 5" xfId="67"/>
    <cellStyle name="20% - Accent6 6" xfId="68"/>
    <cellStyle name="40% - Accent1 2" xfId="69"/>
    <cellStyle name="40% - Accent1 3" xfId="70"/>
    <cellStyle name="40% - Accent1 4" xfId="71"/>
    <cellStyle name="40% - Accent1 5" xfId="72"/>
    <cellStyle name="40% - Accent1 6" xfId="73"/>
    <cellStyle name="40% - Accent2 2" xfId="74"/>
    <cellStyle name="40% - Accent2 3" xfId="75"/>
    <cellStyle name="40% - Accent2 4" xfId="76"/>
    <cellStyle name="40% - Accent2 5" xfId="77"/>
    <cellStyle name="40% - Accent2 6" xfId="78"/>
    <cellStyle name="40% - Accent3 2" xfId="79"/>
    <cellStyle name="40% - Accent3 3" xfId="80"/>
    <cellStyle name="40% - Accent3 4" xfId="81"/>
    <cellStyle name="40% - Accent3 5" xfId="82"/>
    <cellStyle name="40% - Accent3 6" xfId="83"/>
    <cellStyle name="40% - Accent4 2" xfId="84"/>
    <cellStyle name="40% - Accent4 3" xfId="85"/>
    <cellStyle name="40% - Accent4 4" xfId="86"/>
    <cellStyle name="40% - Accent4 5" xfId="87"/>
    <cellStyle name="40% - Accent4 6" xfId="88"/>
    <cellStyle name="40% - Accent5 2" xfId="89"/>
    <cellStyle name="40% - Accent5 3" xfId="90"/>
    <cellStyle name="40% - Accent5 4" xfId="91"/>
    <cellStyle name="40% - Accent5 5" xfId="92"/>
    <cellStyle name="40% - Accent5 6" xfId="93"/>
    <cellStyle name="40% - Accent6 2" xfId="94"/>
    <cellStyle name="40% - Accent6 3" xfId="95"/>
    <cellStyle name="40% - Accent6 4" xfId="96"/>
    <cellStyle name="40% - Accent6 5" xfId="97"/>
    <cellStyle name="40% - Accent6 6" xfId="98"/>
    <cellStyle name="60% - Accent1 2" xfId="99"/>
    <cellStyle name="60% - Accent1 3" xfId="100"/>
    <cellStyle name="60% - Accent1 4" xfId="101"/>
    <cellStyle name="60% - Accent1 5" xfId="102"/>
    <cellStyle name="60% - Accent1 6" xfId="103"/>
    <cellStyle name="60% - Accent2 2" xfId="104"/>
    <cellStyle name="60% - Accent2 3" xfId="105"/>
    <cellStyle name="60% - Accent2 4" xfId="106"/>
    <cellStyle name="60% - Accent2 5" xfId="107"/>
    <cellStyle name="60% - Accent2 6" xfId="108"/>
    <cellStyle name="60% - Accent3 2" xfId="109"/>
    <cellStyle name="60% - Accent3 3" xfId="110"/>
    <cellStyle name="60% - Accent3 4" xfId="111"/>
    <cellStyle name="60% - Accent3 5" xfId="112"/>
    <cellStyle name="60% - Accent3 6" xfId="113"/>
    <cellStyle name="60% - Accent4 2" xfId="114"/>
    <cellStyle name="60% - Accent4 3" xfId="115"/>
    <cellStyle name="60% - Accent4 4" xfId="116"/>
    <cellStyle name="60% - Accent4 5" xfId="117"/>
    <cellStyle name="60% - Accent4 6" xfId="118"/>
    <cellStyle name="60% - Accent5 2" xfId="119"/>
    <cellStyle name="60% - Accent5 3" xfId="120"/>
    <cellStyle name="60% - Accent5 4" xfId="121"/>
    <cellStyle name="60% - Accent5 5" xfId="122"/>
    <cellStyle name="60% - Accent5 6" xfId="123"/>
    <cellStyle name="60% - Accent6 2" xfId="124"/>
    <cellStyle name="60% - Accent6 3" xfId="125"/>
    <cellStyle name="60% - Accent6 4" xfId="126"/>
    <cellStyle name="60% - Accent6 5" xfId="127"/>
    <cellStyle name="60% - Accent6 6" xfId="128"/>
    <cellStyle name="Accent1 2" xfId="129"/>
    <cellStyle name="Accent1 3" xfId="130"/>
    <cellStyle name="Accent1 4" xfId="131"/>
    <cellStyle name="Accent1 5" xfId="132"/>
    <cellStyle name="Accent1 6" xfId="133"/>
    <cellStyle name="Accent2 2" xfId="134"/>
    <cellStyle name="Accent2 3" xfId="135"/>
    <cellStyle name="Accent2 4" xfId="136"/>
    <cellStyle name="Accent2 5" xfId="137"/>
    <cellStyle name="Accent2 6" xfId="138"/>
    <cellStyle name="Accent3 2" xfId="139"/>
    <cellStyle name="Accent3 3" xfId="140"/>
    <cellStyle name="Accent3 4" xfId="141"/>
    <cellStyle name="Accent3 5" xfId="142"/>
    <cellStyle name="Accent3 6" xfId="143"/>
    <cellStyle name="Accent4 2" xfId="144"/>
    <cellStyle name="Accent4 3" xfId="145"/>
    <cellStyle name="Accent4 4" xfId="146"/>
    <cellStyle name="Accent4 5" xfId="147"/>
    <cellStyle name="Accent4 6" xfId="148"/>
    <cellStyle name="Accent5 2" xfId="149"/>
    <cellStyle name="Accent5 3" xfId="150"/>
    <cellStyle name="Accent5 4" xfId="151"/>
    <cellStyle name="Accent5 5" xfId="152"/>
    <cellStyle name="Accent5 6" xfId="153"/>
    <cellStyle name="Accent6 2" xfId="154"/>
    <cellStyle name="Accent6 3" xfId="155"/>
    <cellStyle name="Accent6 4" xfId="156"/>
    <cellStyle name="Accent6 5" xfId="157"/>
    <cellStyle name="Accent6 6" xfId="158"/>
    <cellStyle name="ArrayHeading" xfId="159"/>
    <cellStyle name="Bad 2" xfId="160"/>
    <cellStyle name="Bad 3" xfId="161"/>
    <cellStyle name="Bad 4" xfId="162"/>
    <cellStyle name="Bad 5" xfId="163"/>
    <cellStyle name="Bad 6" xfId="164"/>
    <cellStyle name="BetweenMacros" xfId="165"/>
    <cellStyle name="Calculation 2" xfId="166"/>
    <cellStyle name="Calculation 3" xfId="167"/>
    <cellStyle name="Calculation 4" xfId="168"/>
    <cellStyle name="Calculation 5" xfId="169"/>
    <cellStyle name="Calculation 6" xfId="170"/>
    <cellStyle name="Check Cell 2" xfId="171"/>
    <cellStyle name="Check Cell 3" xfId="172"/>
    <cellStyle name="Check Cell 4" xfId="173"/>
    <cellStyle name="Check Cell 5" xfId="174"/>
    <cellStyle name="Check Cell 6" xfId="175"/>
    <cellStyle name="Column total in dollars" xfId="176"/>
    <cellStyle name="Comma" xfId="1" builtinId="3"/>
    <cellStyle name="Comma  - Style1" xfId="177"/>
    <cellStyle name="Comma  - Style1 2" xfId="178"/>
    <cellStyle name="Comma  - Style1 3" xfId="179"/>
    <cellStyle name="Comma  - Style2" xfId="180"/>
    <cellStyle name="Comma  - Style2 2" xfId="181"/>
    <cellStyle name="Comma  - Style2 3" xfId="182"/>
    <cellStyle name="Comma  - Style3" xfId="183"/>
    <cellStyle name="Comma  - Style3 2" xfId="184"/>
    <cellStyle name="Comma  - Style3 3" xfId="185"/>
    <cellStyle name="Comma  - Style4" xfId="186"/>
    <cellStyle name="Comma  - Style4 2" xfId="187"/>
    <cellStyle name="Comma  - Style4 3" xfId="188"/>
    <cellStyle name="Comma  - Style5" xfId="189"/>
    <cellStyle name="Comma  - Style5 2" xfId="190"/>
    <cellStyle name="Comma  - Style5 3" xfId="191"/>
    <cellStyle name="Comma  - Style6" xfId="192"/>
    <cellStyle name="Comma  - Style6 2" xfId="193"/>
    <cellStyle name="Comma  - Style6 3" xfId="194"/>
    <cellStyle name="Comma  - Style7" xfId="195"/>
    <cellStyle name="Comma  - Style7 2" xfId="196"/>
    <cellStyle name="Comma  - Style7 3" xfId="197"/>
    <cellStyle name="Comma  - Style8" xfId="198"/>
    <cellStyle name="Comma  - Style8 2" xfId="199"/>
    <cellStyle name="Comma  - Style8 3" xfId="200"/>
    <cellStyle name="Comma (0)" xfId="201"/>
    <cellStyle name="Comma [0] 2" xfId="202"/>
    <cellStyle name="Comma 10" xfId="203"/>
    <cellStyle name="Comma 2" xfId="6"/>
    <cellStyle name="Comma 2 2" xfId="7"/>
    <cellStyle name="Comma 2 2 2" xfId="204"/>
    <cellStyle name="Comma 2 3" xfId="205"/>
    <cellStyle name="Comma 2 4" xfId="206"/>
    <cellStyle name="Comma 2 5" xfId="207"/>
    <cellStyle name="Comma 2 6" xfId="208"/>
    <cellStyle name="Comma 3" xfId="22"/>
    <cellStyle name="Comma 3 2" xfId="209"/>
    <cellStyle name="Comma 4" xfId="23"/>
    <cellStyle name="Comma 4 2" xfId="210"/>
    <cellStyle name="Comma 5" xfId="211"/>
    <cellStyle name="Comma 6" xfId="212"/>
    <cellStyle name="Comma 6 2" xfId="213"/>
    <cellStyle name="Comma 7" xfId="214"/>
    <cellStyle name="Comma 8" xfId="215"/>
    <cellStyle name="Comma 9" xfId="216"/>
    <cellStyle name="Comma0" xfId="217"/>
    <cellStyle name="Comma0 - Style1" xfId="218"/>
    <cellStyle name="Comma0 - Style2" xfId="219"/>
    <cellStyle name="Comma0 - Style3" xfId="220"/>
    <cellStyle name="Comma0 - Style4" xfId="221"/>
    <cellStyle name="Comma0_1st Qtr 2009 Global Insight Factors" xfId="222"/>
    <cellStyle name="Comma1 - Style1" xfId="223"/>
    <cellStyle name="Curren - Style1" xfId="528"/>
    <cellStyle name="Curren - Style2" xfId="224"/>
    <cellStyle name="Curren - Style3" xfId="225"/>
    <cellStyle name="Curren - Style5" xfId="529"/>
    <cellStyle name="Currency" xfId="2" builtinId="4"/>
    <cellStyle name="Currency 2" xfId="24"/>
    <cellStyle name="Currency 2 2" xfId="226"/>
    <cellStyle name="Currency 2 2 2" xfId="227"/>
    <cellStyle name="Currency 3" xfId="33"/>
    <cellStyle name="Currency 3 2" xfId="228"/>
    <cellStyle name="Currency 4" xfId="229"/>
    <cellStyle name="Currency 5" xfId="230"/>
    <cellStyle name="Currency 6" xfId="231"/>
    <cellStyle name="Currency 7" xfId="232"/>
    <cellStyle name="Currency 8" xfId="233"/>
    <cellStyle name="Currency No Comma" xfId="234"/>
    <cellStyle name="Currency(0)" xfId="235"/>
    <cellStyle name="Currency0" xfId="236"/>
    <cellStyle name="Date" xfId="237"/>
    <cellStyle name="Date - Style1" xfId="238"/>
    <cellStyle name="Date - Style3" xfId="239"/>
    <cellStyle name="Date_1st Qtr 2009 Global Insight Factors" xfId="240"/>
    <cellStyle name="Entered" xfId="530"/>
    <cellStyle name="Explanatory Text 2" xfId="241"/>
    <cellStyle name="Explanatory Text 3" xfId="242"/>
    <cellStyle name="Explanatory Text 4" xfId="243"/>
    <cellStyle name="Explanatory Text 5" xfId="244"/>
    <cellStyle name="Explanatory Text 6" xfId="245"/>
    <cellStyle name="Fixed" xfId="246"/>
    <cellStyle name="Fixed2 - Style2" xfId="247"/>
    <cellStyle name="Fixed3 - Style3" xfId="531"/>
    <cellStyle name="General" xfId="8"/>
    <cellStyle name="Good 2" xfId="248"/>
    <cellStyle name="Good 3" xfId="249"/>
    <cellStyle name="Good 4" xfId="250"/>
    <cellStyle name="Good 5" xfId="251"/>
    <cellStyle name="Good 6" xfId="252"/>
    <cellStyle name="Grey" xfId="253"/>
    <cellStyle name="Grey 2" xfId="254"/>
    <cellStyle name="Grey 3" xfId="255"/>
    <cellStyle name="header" xfId="256"/>
    <cellStyle name="Header1" xfId="257"/>
    <cellStyle name="Header2" xfId="258"/>
    <cellStyle name="Heading 3 2" xfId="259"/>
    <cellStyle name="Heading 3 3" xfId="260"/>
    <cellStyle name="Heading 3 4" xfId="261"/>
    <cellStyle name="Heading 3 5" xfId="262"/>
    <cellStyle name="Heading 3 6" xfId="263"/>
    <cellStyle name="Heading 4 2" xfId="264"/>
    <cellStyle name="Heading 4 3" xfId="265"/>
    <cellStyle name="Heading 4 4" xfId="266"/>
    <cellStyle name="Heading 4 5" xfId="267"/>
    <cellStyle name="Heading 4 6" xfId="268"/>
    <cellStyle name="Heading1" xfId="269"/>
    <cellStyle name="Heading2" xfId="270"/>
    <cellStyle name="Hyperlink 2" xfId="271"/>
    <cellStyle name="Hyperlink 2 2" xfId="272"/>
    <cellStyle name="Hyperlink 2 3" xfId="273"/>
    <cellStyle name="Hyperlink 3" xfId="274"/>
    <cellStyle name="Hyperlink 4" xfId="275"/>
    <cellStyle name="Input [yellow]" xfId="276"/>
    <cellStyle name="Input [yellow] 2" xfId="277"/>
    <cellStyle name="Input [yellow] 3" xfId="278"/>
    <cellStyle name="Inst. Sections" xfId="279"/>
    <cellStyle name="Inst. Subheading" xfId="280"/>
    <cellStyle name="Linked Cell 2" xfId="281"/>
    <cellStyle name="Linked Cell 3" xfId="282"/>
    <cellStyle name="Linked Cell 4" xfId="283"/>
    <cellStyle name="Linked Cell 5" xfId="284"/>
    <cellStyle name="Linked Cell 6" xfId="285"/>
    <cellStyle name="Macro" xfId="286"/>
    <cellStyle name="macro descr" xfId="287"/>
    <cellStyle name="Macro_Comments" xfId="288"/>
    <cellStyle name="MacroText" xfId="289"/>
    <cellStyle name="Marathon" xfId="9"/>
    <cellStyle name="MCP" xfId="290"/>
    <cellStyle name="modified border" xfId="532"/>
    <cellStyle name="modified border1" xfId="533"/>
    <cellStyle name="Neutral 2" xfId="291"/>
    <cellStyle name="Neutral 3" xfId="292"/>
    <cellStyle name="Neutral 4" xfId="293"/>
    <cellStyle name="Neutral 5" xfId="294"/>
    <cellStyle name="Neutral 6" xfId="295"/>
    <cellStyle name="nONE" xfId="10"/>
    <cellStyle name="noninput" xfId="296"/>
    <cellStyle name="noninput 2" xfId="297"/>
    <cellStyle name="noninput 3" xfId="298"/>
    <cellStyle name="Normal" xfId="0" builtinId="0"/>
    <cellStyle name="Normal - Style1" xfId="299"/>
    <cellStyle name="Normal - Style1 2" xfId="300"/>
    <cellStyle name="Normal - Style1 3" xfId="301"/>
    <cellStyle name="Normal 10" xfId="32"/>
    <cellStyle name="Normal 11" xfId="34"/>
    <cellStyle name="Normal 117" xfId="302"/>
    <cellStyle name="Normal 12" xfId="35"/>
    <cellStyle name="Normal 122" xfId="303"/>
    <cellStyle name="Normal 13" xfId="36"/>
    <cellStyle name="Normal 14" xfId="37"/>
    <cellStyle name="Normal 15" xfId="304"/>
    <cellStyle name="Normal 16" xfId="305"/>
    <cellStyle name="Normal 17" xfId="540"/>
    <cellStyle name="Normal 2" xfId="11"/>
    <cellStyle name="Normal 2 2" xfId="25"/>
    <cellStyle name="Normal 2 2 2" xfId="306"/>
    <cellStyle name="Normal 2 2 2 10" xfId="307"/>
    <cellStyle name="Normal 2 3" xfId="308"/>
    <cellStyle name="Normal 2 3 2" xfId="309"/>
    <cellStyle name="Normal 2 3 2 2" xfId="310"/>
    <cellStyle name="Normal 2 3 3" xfId="311"/>
    <cellStyle name="Normal 2 3 4" xfId="312"/>
    <cellStyle name="Normal 2 3 5" xfId="313"/>
    <cellStyle name="Normal 2 3 6" xfId="314"/>
    <cellStyle name="Normal 2 4" xfId="315"/>
    <cellStyle name="Normal 2 5" xfId="316"/>
    <cellStyle name="Normal 2 5 2" xfId="317"/>
    <cellStyle name="Normal 2 6" xfId="318"/>
    <cellStyle name="Normal 2 7" xfId="319"/>
    <cellStyle name="Normal 2 8" xfId="320"/>
    <cellStyle name="Normal 2_Base Expense Data" xfId="534"/>
    <cellStyle name="Normal 3" xfId="12"/>
    <cellStyle name="Normal 3 2" xfId="26"/>
    <cellStyle name="Normal 3 2 2" xfId="321"/>
    <cellStyle name="Normal 3 2 2 2" xfId="322"/>
    <cellStyle name="Normal 3 2 3" xfId="323"/>
    <cellStyle name="Normal 3 2 4" xfId="324"/>
    <cellStyle name="Normal 3 2 5" xfId="325"/>
    <cellStyle name="Normal 3 2 6" xfId="326"/>
    <cellStyle name="Normal 3 3" xfId="327"/>
    <cellStyle name="Normal 3 4" xfId="328"/>
    <cellStyle name="Normal 3 5" xfId="329"/>
    <cellStyle name="Normal 3 5 2" xfId="330"/>
    <cellStyle name="Normal 3 6" xfId="331"/>
    <cellStyle name="Normal 3 7" xfId="332"/>
    <cellStyle name="Normal 3 8" xfId="333"/>
    <cellStyle name="Normal 4" xfId="13"/>
    <cellStyle name="Normal 4 2" xfId="27"/>
    <cellStyle name="Normal 4 3" xfId="334"/>
    <cellStyle name="Normal 4 4" xfId="335"/>
    <cellStyle name="Normal 4 5" xfId="336"/>
    <cellStyle name="Normal 4 6" xfId="337"/>
    <cellStyle name="Normal 4 7" xfId="338"/>
    <cellStyle name="Normal 5" xfId="14"/>
    <cellStyle name="Normal 5 2" xfId="339"/>
    <cellStyle name="Normal 6" xfId="15"/>
    <cellStyle name="Normal 6 2" xfId="340"/>
    <cellStyle name="Normal 6 3" xfId="341"/>
    <cellStyle name="Normal 7" xfId="21"/>
    <cellStyle name="Normal 7 2" xfId="342"/>
    <cellStyle name="Normal 7 2 2" xfId="343"/>
    <cellStyle name="Normal 8" xfId="28"/>
    <cellStyle name="Normal 8 2" xfId="344"/>
    <cellStyle name="Normal 8 3" xfId="345"/>
    <cellStyle name="Normal 9" xfId="29"/>
    <cellStyle name="Normal(0)" xfId="346"/>
    <cellStyle name="Normal_2007-2013 BPA Eligible kWh - calculation of estimated 2009 bpa rate under 4 scenarios" xfId="19"/>
    <cellStyle name="Normal_EAST Blocking 901 2" xfId="20"/>
    <cellStyle name="Normal_OR Blocking 04" xfId="5"/>
    <cellStyle name="Normal_OR Blocking 98 No Forecast" xfId="16"/>
    <cellStyle name="Normal_WA98" xfId="4"/>
    <cellStyle name="Normal_WAMar06 Blocking" xfId="30"/>
    <cellStyle name="Note 2" xfId="347"/>
    <cellStyle name="Note 3" xfId="348"/>
    <cellStyle name="Note 4" xfId="349"/>
    <cellStyle name="Note 5" xfId="350"/>
    <cellStyle name="Note 6" xfId="351"/>
    <cellStyle name="Number" xfId="352"/>
    <cellStyle name="Number 10" xfId="353"/>
    <cellStyle name="Number 11" xfId="354"/>
    <cellStyle name="Number 12" xfId="355"/>
    <cellStyle name="Number 13" xfId="356"/>
    <cellStyle name="Number 14" xfId="357"/>
    <cellStyle name="Number 2" xfId="358"/>
    <cellStyle name="Number 3" xfId="359"/>
    <cellStyle name="Number 4" xfId="360"/>
    <cellStyle name="Number 5" xfId="361"/>
    <cellStyle name="Number 6" xfId="362"/>
    <cellStyle name="Number 7" xfId="363"/>
    <cellStyle name="Number 8" xfId="364"/>
    <cellStyle name="Number 9" xfId="365"/>
    <cellStyle name="Output 2" xfId="366"/>
    <cellStyle name="Output 3" xfId="367"/>
    <cellStyle name="Output 4" xfId="368"/>
    <cellStyle name="Output 5" xfId="369"/>
    <cellStyle name="Output 6" xfId="370"/>
    <cellStyle name="Password" xfId="371"/>
    <cellStyle name="Percen - Style1" xfId="372"/>
    <cellStyle name="Percen - Style2" xfId="373"/>
    <cellStyle name="Percent" xfId="3" builtinId="5"/>
    <cellStyle name="Percent [2]" xfId="374"/>
    <cellStyle name="Percent [2] 2" xfId="375"/>
    <cellStyle name="Percent [2] 3" xfId="376"/>
    <cellStyle name="Percent 2" xfId="17"/>
    <cellStyle name="Percent 2 2" xfId="377"/>
    <cellStyle name="Percent 2 2 2" xfId="378"/>
    <cellStyle name="Percent 2 3" xfId="379"/>
    <cellStyle name="Percent 3" xfId="31"/>
    <cellStyle name="Percent 3 2" xfId="38"/>
    <cellStyle name="Percent 4" xfId="380"/>
    <cellStyle name="Percent 4 2" xfId="381"/>
    <cellStyle name="Percent 5" xfId="382"/>
    <cellStyle name="Percent 6" xfId="383"/>
    <cellStyle name="Percent 7" xfId="384"/>
    <cellStyle name="Percent 8" xfId="385"/>
    <cellStyle name="Percent(0)" xfId="386"/>
    <cellStyle name="Reports" xfId="535"/>
    <cellStyle name="round100" xfId="536"/>
    <cellStyle name="SAPBEXaggData" xfId="387"/>
    <cellStyle name="SAPBEXaggDataEmph" xfId="388"/>
    <cellStyle name="SAPBEXaggItem" xfId="389"/>
    <cellStyle name="SAPBEXaggItemX" xfId="390"/>
    <cellStyle name="SAPBEXchaText" xfId="391"/>
    <cellStyle name="SAPBEXexcBad7" xfId="392"/>
    <cellStyle name="SAPBEXexcBad8" xfId="393"/>
    <cellStyle name="SAPBEXexcBad9" xfId="394"/>
    <cellStyle name="SAPBEXexcCritical4" xfId="395"/>
    <cellStyle name="SAPBEXexcCritical5" xfId="396"/>
    <cellStyle name="SAPBEXexcCritical6" xfId="397"/>
    <cellStyle name="SAPBEXexcGood1" xfId="398"/>
    <cellStyle name="SAPBEXexcGood2" xfId="399"/>
    <cellStyle name="SAPBEXexcGood3" xfId="400"/>
    <cellStyle name="SAPBEXfilterDrill" xfId="401"/>
    <cellStyle name="SAPBEXfilterItem" xfId="402"/>
    <cellStyle name="SAPBEXfilterText" xfId="403"/>
    <cellStyle name="SAPBEXfilterText 2" xfId="404"/>
    <cellStyle name="SAPBEXfilterText 3" xfId="405"/>
    <cellStyle name="SAPBEXformats" xfId="406"/>
    <cellStyle name="SAPBEXheaderItem" xfId="407"/>
    <cellStyle name="SAPBEXheaderItem 2" xfId="408"/>
    <cellStyle name="SAPBEXheaderItem 3" xfId="409"/>
    <cellStyle name="SAPBEXheaderItem 4" xfId="410"/>
    <cellStyle name="SAPBEXheaderText" xfId="411"/>
    <cellStyle name="SAPBEXheaderText 2" xfId="412"/>
    <cellStyle name="SAPBEXheaderText 3" xfId="413"/>
    <cellStyle name="SAPBEXheaderText 4" xfId="414"/>
    <cellStyle name="SAPBEXHLevel0" xfId="415"/>
    <cellStyle name="SAPBEXHLevel0 2" xfId="416"/>
    <cellStyle name="SAPBEXHLevel0 3" xfId="417"/>
    <cellStyle name="SAPBEXHLevel0 4" xfId="418"/>
    <cellStyle name="SAPBEXHLevel0 5" xfId="419"/>
    <cellStyle name="SAPBEXHLevel0 6" xfId="420"/>
    <cellStyle name="SAPBEXHLevel0X" xfId="421"/>
    <cellStyle name="SAPBEXHLevel0X 2" xfId="422"/>
    <cellStyle name="SAPBEXHLevel0X 3" xfId="423"/>
    <cellStyle name="SAPBEXHLevel0X 4" xfId="424"/>
    <cellStyle name="SAPBEXHLevel0X 5" xfId="425"/>
    <cellStyle name="SAPBEXHLevel0X 6" xfId="426"/>
    <cellStyle name="SAPBEXHLevel1" xfId="427"/>
    <cellStyle name="SAPBEXHLevel1 2" xfId="428"/>
    <cellStyle name="SAPBEXHLevel1 3" xfId="429"/>
    <cellStyle name="SAPBEXHLevel1 4" xfId="430"/>
    <cellStyle name="SAPBEXHLevel1 5" xfId="431"/>
    <cellStyle name="SAPBEXHLevel1 6" xfId="432"/>
    <cellStyle name="SAPBEXHLevel1X" xfId="433"/>
    <cellStyle name="SAPBEXHLevel1X 2" xfId="434"/>
    <cellStyle name="SAPBEXHLevel1X 3" xfId="435"/>
    <cellStyle name="SAPBEXHLevel1X 4" xfId="436"/>
    <cellStyle name="SAPBEXHLevel1X 5" xfId="437"/>
    <cellStyle name="SAPBEXHLevel1X 6" xfId="438"/>
    <cellStyle name="SAPBEXHLevel2" xfId="439"/>
    <cellStyle name="SAPBEXHLevel2 2" xfId="440"/>
    <cellStyle name="SAPBEXHLevel2 3" xfId="441"/>
    <cellStyle name="SAPBEXHLevel2 4" xfId="442"/>
    <cellStyle name="SAPBEXHLevel2 5" xfId="443"/>
    <cellStyle name="SAPBEXHLevel2 6" xfId="444"/>
    <cellStyle name="SAPBEXHLevel2X" xfId="445"/>
    <cellStyle name="SAPBEXHLevel2X 2" xfId="446"/>
    <cellStyle name="SAPBEXHLevel2X 3" xfId="447"/>
    <cellStyle name="SAPBEXHLevel2X 4" xfId="448"/>
    <cellStyle name="SAPBEXHLevel2X 5" xfId="449"/>
    <cellStyle name="SAPBEXHLevel2X 6" xfId="450"/>
    <cellStyle name="SAPBEXHLevel3" xfId="451"/>
    <cellStyle name="SAPBEXHLevel3 2" xfId="452"/>
    <cellStyle name="SAPBEXHLevel3 3" xfId="453"/>
    <cellStyle name="SAPBEXHLevel3 4" xfId="454"/>
    <cellStyle name="SAPBEXHLevel3 5" xfId="455"/>
    <cellStyle name="SAPBEXHLevel3 6" xfId="456"/>
    <cellStyle name="SAPBEXHLevel3X" xfId="457"/>
    <cellStyle name="SAPBEXHLevel3X 2" xfId="458"/>
    <cellStyle name="SAPBEXHLevel3X 3" xfId="459"/>
    <cellStyle name="SAPBEXHLevel3X 4" xfId="460"/>
    <cellStyle name="SAPBEXHLevel3X 5" xfId="461"/>
    <cellStyle name="SAPBEXHLevel3X 6" xfId="462"/>
    <cellStyle name="SAPBEXresData" xfId="463"/>
    <cellStyle name="SAPBEXresDataEmph" xfId="464"/>
    <cellStyle name="SAPBEXresItem" xfId="465"/>
    <cellStyle name="SAPBEXresItemX" xfId="466"/>
    <cellStyle name="SAPBEXstdData" xfId="467"/>
    <cellStyle name="SAPBEXstdDataEmph" xfId="468"/>
    <cellStyle name="SAPBEXstdItem" xfId="469"/>
    <cellStyle name="SAPBEXstdItemX" xfId="470"/>
    <cellStyle name="SAPBEXtitle" xfId="471"/>
    <cellStyle name="SAPBEXtitle 2" xfId="472"/>
    <cellStyle name="SAPBEXtitle 3" xfId="473"/>
    <cellStyle name="SAPBEXtitle 4" xfId="474"/>
    <cellStyle name="SAPBEXundefined" xfId="475"/>
    <cellStyle name="Shade" xfId="476"/>
    <cellStyle name="Special" xfId="477"/>
    <cellStyle name="Special 2" xfId="478"/>
    <cellStyle name="Special 3" xfId="479"/>
    <cellStyle name="StmtTtl1" xfId="537"/>
    <cellStyle name="StmtTtl2" xfId="538"/>
    <cellStyle name="STYL1 - Style1" xfId="539"/>
    <cellStyle name="Style 1" xfId="480"/>
    <cellStyle name="Style 27" xfId="481"/>
    <cellStyle name="Style 35" xfId="482"/>
    <cellStyle name="Style 36" xfId="483"/>
    <cellStyle name="Text" xfId="484"/>
    <cellStyle name="Title 2" xfId="485"/>
    <cellStyle name="Title 3" xfId="486"/>
    <cellStyle name="Title 4" xfId="487"/>
    <cellStyle name="Title 5" xfId="488"/>
    <cellStyle name="Title 6" xfId="489"/>
    <cellStyle name="Titles" xfId="490"/>
    <cellStyle name="Total2 - Style2" xfId="491"/>
    <cellStyle name="TRANSMISSION RELIABILITY PORTION OF PROJECT" xfId="18"/>
    <cellStyle name="Underl - Style4" xfId="492"/>
    <cellStyle name="UNLocked" xfId="493"/>
    <cellStyle name="Unprot" xfId="494"/>
    <cellStyle name="Unprot 2" xfId="495"/>
    <cellStyle name="Unprot 3" xfId="496"/>
    <cellStyle name="Unprot$" xfId="497"/>
    <cellStyle name="Unprot$ 2" xfId="498"/>
    <cellStyle name="Unprot$ 3" xfId="499"/>
    <cellStyle name="Unprot$ 4" xfId="500"/>
    <cellStyle name="Unprot_CA PTAM New Wind Sept-09 - Estimated Preview" xfId="501"/>
    <cellStyle name="Unprotect" xfId="502"/>
    <cellStyle name="Warning Text 2" xfId="503"/>
    <cellStyle name="Warning Text 3" xfId="504"/>
    <cellStyle name="Warning Text 4" xfId="505"/>
    <cellStyle name="Warning Text 5" xfId="506"/>
    <cellStyle name="Warning Text 6" xfId="5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9" Type="http://schemas.openxmlformats.org/officeDocument/2006/relationships/externalLink" Target="externalLinks/externalLink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10%20(2009%20GRC)\COS\WY%20COS%20FTY%20Dec%202010_0826HYBRID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03-31-2013%20(2011%20GRC)\COS\WY%20COS%20FTY%20March%202013_NS_run%20for%20mike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22-05%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pa.gov/Documents%20and%20Settings/p88760/Local%20Settings/Temporary%20Internet%20Files/OLK15/PacifiCorp/PacifiCorp_FY-09%20Expedited%20ASC%20Filing_030308%20wmm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Idaho%2003/305FRevenue%20by%20Rate%20Schedule_ID200303_v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CM\_2010-2011%20ASC%20Reports\_FY%202010-2011%20Final%20Reports\Final%20PAC%2010\PacifiCorp_Forecast_Model_FY2010-11_rev02%20repor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97%20B.xlw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%20West%20Rate%20Migratio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88760\LOCALS~1\Temp\Temporary%20Directory%201%20for%20December%2007%20Year%20end%20B%20Tab%20(3).zip\Depreciation%20Reserve%20Dec%202007%20Y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1382\Local%20Settings\Temporary%20Internet%20Files\OLK1DE\JAM%20CY06%20OR%20PARTIAL%20SETTLEMENT-Upda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Rebuttal\WY%20COS%20FTY%20June%202009%20Rebuttal%20Fili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Local%20Settings\Temporary%20Internet%20Files\Content.Outlook\1VOS77IL\Attachment%20WIEC%2035.1_no%20sit%20fix_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CASES\Wyoming98\EAST97%20B.xlw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COS\WY%20COS%20FTY%20Dec%202009%20Draft%2006-17-0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Application%20Data\Microsoft\Excel\Rate%20Spread%20-%20RMM\WY%20COS%20FTY%20Dec%202011%20Rebuttal%20-%20RMM.xlsm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4">
          <cell r="C4" t="str">
            <v>State of Wyoming</v>
          </cell>
        </row>
        <row r="5">
          <cell r="C5" t="str">
            <v>12 Months Ending December 31, 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1724573805.7033823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0.74495515661281908</v>
          </cell>
        </row>
      </sheetData>
      <sheetData sheetId="23"/>
      <sheetData sheetId="24">
        <row r="251">
          <cell r="AG251" t="str">
            <v>DIS</v>
          </cell>
        </row>
        <row r="275">
          <cell r="H275">
            <v>0</v>
          </cell>
        </row>
        <row r="276">
          <cell r="H276">
            <v>0</v>
          </cell>
          <cell r="AG276">
            <v>0</v>
          </cell>
        </row>
        <row r="287">
          <cell r="AG287">
            <v>0</v>
          </cell>
        </row>
        <row r="288">
          <cell r="H288">
            <v>115938437.37436633</v>
          </cell>
        </row>
        <row r="325">
          <cell r="AG325">
            <v>0</v>
          </cell>
        </row>
        <row r="326">
          <cell r="AG326">
            <v>0</v>
          </cell>
        </row>
        <row r="608">
          <cell r="AG608">
            <v>0</v>
          </cell>
        </row>
        <row r="631">
          <cell r="AG631">
            <v>0</v>
          </cell>
        </row>
        <row r="732">
          <cell r="H732">
            <v>25091221.66910474</v>
          </cell>
        </row>
        <row r="827">
          <cell r="H827">
            <v>98238.50889699017</v>
          </cell>
        </row>
        <row r="828">
          <cell r="H828">
            <v>652910.76721132139</v>
          </cell>
        </row>
        <row r="982">
          <cell r="AG982">
            <v>0</v>
          </cell>
        </row>
        <row r="1076">
          <cell r="AG1076">
            <v>0</v>
          </cell>
        </row>
        <row r="1091">
          <cell r="AG1091">
            <v>0</v>
          </cell>
        </row>
        <row r="1092">
          <cell r="AG1092">
            <v>0</v>
          </cell>
        </row>
        <row r="1093">
          <cell r="AG1093">
            <v>0</v>
          </cell>
        </row>
        <row r="1097">
          <cell r="AG1097">
            <v>0</v>
          </cell>
        </row>
        <row r="1098">
          <cell r="AG1098">
            <v>0</v>
          </cell>
        </row>
        <row r="1123">
          <cell r="AG1123">
            <v>872.16970535431574</v>
          </cell>
        </row>
        <row r="1125">
          <cell r="AG1125">
            <v>0</v>
          </cell>
        </row>
        <row r="1127">
          <cell r="AG1127">
            <v>10294.054225680906</v>
          </cell>
        </row>
        <row r="1132">
          <cell r="AG1132">
            <v>0</v>
          </cell>
        </row>
        <row r="1141">
          <cell r="AG1141">
            <v>0</v>
          </cell>
        </row>
        <row r="1142">
          <cell r="AG1142">
            <v>0</v>
          </cell>
        </row>
        <row r="1143">
          <cell r="AG1143">
            <v>0</v>
          </cell>
        </row>
        <row r="1779">
          <cell r="AG1779">
            <v>0</v>
          </cell>
        </row>
        <row r="1782">
          <cell r="AG1782">
            <v>0</v>
          </cell>
        </row>
        <row r="1794">
          <cell r="AG1794">
            <v>0</v>
          </cell>
        </row>
        <row r="1814">
          <cell r="AG1814">
            <v>0</v>
          </cell>
        </row>
        <row r="1825">
          <cell r="AG1825">
            <v>0</v>
          </cell>
        </row>
        <row r="1850">
          <cell r="AG1850">
            <v>1676.148392889191</v>
          </cell>
        </row>
        <row r="1851">
          <cell r="AG1851">
            <v>-26.194269122424597</v>
          </cell>
        </row>
        <row r="1937">
          <cell r="AG1937">
            <v>0</v>
          </cell>
        </row>
        <row r="2000">
          <cell r="AG2000">
            <v>0</v>
          </cell>
        </row>
        <row r="2002">
          <cell r="AG2002">
            <v>0</v>
          </cell>
        </row>
        <row r="2034">
          <cell r="H2034">
            <v>128921.22893744383</v>
          </cell>
        </row>
        <row r="2035">
          <cell r="AG2035">
            <v>0</v>
          </cell>
        </row>
        <row r="2067">
          <cell r="AG2067">
            <v>0</v>
          </cell>
        </row>
        <row r="2151">
          <cell r="H2151">
            <v>-3.4157553211878022E-2</v>
          </cell>
        </row>
        <row r="2152">
          <cell r="AG2152">
            <v>-2.3196400239771436E-4</v>
          </cell>
        </row>
        <row r="2155">
          <cell r="H2155">
            <v>0</v>
          </cell>
        </row>
        <row r="2156">
          <cell r="AG2156">
            <v>0</v>
          </cell>
        </row>
        <row r="2171">
          <cell r="AG2171">
            <v>0</v>
          </cell>
        </row>
        <row r="2183">
          <cell r="AG2183">
            <v>0</v>
          </cell>
        </row>
        <row r="2219">
          <cell r="AG2219">
            <v>864.02560103648705</v>
          </cell>
        </row>
        <row r="2389">
          <cell r="AG2389">
            <v>0</v>
          </cell>
        </row>
        <row r="2390">
          <cell r="AG2390">
            <v>0</v>
          </cell>
        </row>
        <row r="2403">
          <cell r="AG2403">
            <v>0</v>
          </cell>
        </row>
        <row r="2410">
          <cell r="AG2410">
            <v>0</v>
          </cell>
        </row>
        <row r="2411">
          <cell r="AG2411">
            <v>0</v>
          </cell>
        </row>
        <row r="2471">
          <cell r="AG2471">
            <v>-8728.8933272206759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  <sheetName val="Sheet1"/>
    </sheetNames>
    <sheetDataSet>
      <sheetData sheetId="0">
        <row r="3">
          <cell r="C3" t="str">
            <v>Rocky Mountain Power</v>
          </cell>
        </row>
        <row r="19">
          <cell r="K19">
            <v>67875230.453694463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1935861328.0220451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0.81307706711145988</v>
          </cell>
        </row>
      </sheetData>
      <sheetData sheetId="23"/>
      <sheetData sheetId="24">
        <row r="251">
          <cell r="AG251" t="str">
            <v>DIS</v>
          </cell>
        </row>
        <row r="328">
          <cell r="AG328">
            <v>0</v>
          </cell>
        </row>
        <row r="409">
          <cell r="AG409">
            <v>0</v>
          </cell>
        </row>
        <row r="559">
          <cell r="AG559">
            <v>0</v>
          </cell>
        </row>
        <row r="583">
          <cell r="AG583">
            <v>0</v>
          </cell>
        </row>
        <row r="991">
          <cell r="AG991">
            <v>0</v>
          </cell>
        </row>
        <row r="1354">
          <cell r="AG1354">
            <v>0</v>
          </cell>
        </row>
        <row r="1359">
          <cell r="AG1359">
            <v>0</v>
          </cell>
        </row>
        <row r="1518">
          <cell r="I1518">
            <v>970663.84981162648</v>
          </cell>
        </row>
        <row r="1795">
          <cell r="AG1795">
            <v>6925.8930178870532</v>
          </cell>
        </row>
        <row r="1855">
          <cell r="AG1855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Allocation Factors"/>
      <sheetName val="Public Benefits"/>
      <sheetName val="Sch 1- Rate Base (2)"/>
      <sheetName val="Sch 1A - Cash Working Capital"/>
      <sheetName val="Sch 2 -Weighted Cost of Capital"/>
      <sheetName val="Sch 3 - Expenses"/>
      <sheetName val="Sch 3A - Taxes"/>
      <sheetName val="Sch 3B - Other Items "/>
      <sheetName val="Ratios"/>
      <sheetName val="Average System Cost"/>
      <sheetName val="TOTAL WMM"/>
      <sheetName val="Tax Detail Total"/>
      <sheetName val="Other Def Credits &amp; Reg Liab"/>
      <sheetName val="Other Reg Asst &amp; Misc Def Debit"/>
      <sheetName val="110-111 Bal Sht Assets &amp; Debits"/>
      <sheetName val="112-113 Bal Sht Liablts &amp; Crdts"/>
      <sheetName val="114-117 Statement of Income"/>
      <sheetName val="200 Utly Plnt Dep, Amort, Depl"/>
      <sheetName val="205-207 Elect Plnt-In-Service"/>
      <sheetName val="219 Accum Prov for Depr of E Pl"/>
      <sheetName val="232 Other Reg Assets"/>
      <sheetName val="233 Misc Deferred Debit"/>
      <sheetName val="257 Long-Term Debt"/>
      <sheetName val="262 Taxes"/>
      <sheetName val="269 Other Deferred Credits"/>
      <sheetName val="278 Other Reg Liabilities"/>
      <sheetName val="300-301 Elect Oper Revenues"/>
      <sheetName val="Wheeling"/>
      <sheetName val="310-311 Sales for Resale"/>
      <sheetName val="320-323 Electric O&amp;M"/>
      <sheetName val="Purch Power"/>
      <sheetName val="336 Elec Plnt Depr &amp; Amort"/>
      <sheetName val="Retail Sales"/>
      <sheetName val="Salaries"/>
      <sheetName val="354 Labor"/>
      <sheetName val="Allocation Factors (2)"/>
      <sheetName val="Tax detail States"/>
      <sheetName val="Pacific Total "/>
    </sheetNames>
    <sheetDataSet>
      <sheetData sheetId="0"/>
      <sheetData sheetId="1">
        <row r="9">
          <cell r="A9" t="str">
            <v>BADDEBT</v>
          </cell>
          <cell r="B9">
            <v>0.35141439395553692</v>
          </cell>
          <cell r="C9">
            <v>0.11484572755151312</v>
          </cell>
          <cell r="D9">
            <v>3.2883034197675104E-2</v>
          </cell>
        </row>
        <row r="10">
          <cell r="A10" t="str">
            <v>CIAC</v>
          </cell>
          <cell r="B10">
            <v>0.30624652604495922</v>
          </cell>
          <cell r="C10">
            <v>7.0800777882893337E-2</v>
          </cell>
          <cell r="D10">
            <v>4.5163203238062999E-2</v>
          </cell>
        </row>
        <row r="11">
          <cell r="A11" t="str">
            <v>CN</v>
          </cell>
          <cell r="B11">
            <v>0.32667535775829776</v>
          </cell>
          <cell r="C11">
            <v>7.4395144976399194E-2</v>
          </cell>
          <cell r="D11">
            <v>4.0345845508353941E-2</v>
          </cell>
        </row>
        <row r="12">
          <cell r="A12" t="str">
            <v>CNP</v>
          </cell>
          <cell r="B12">
            <v>0.69581908757344169</v>
          </cell>
          <cell r="C12">
            <v>0.15846178987174347</v>
          </cell>
          <cell r="D12">
            <v>0</v>
          </cell>
        </row>
        <row r="13">
          <cell r="A13" t="str">
            <v>CNU</v>
          </cell>
          <cell r="B13">
            <v>0</v>
          </cell>
          <cell r="C13">
            <v>0</v>
          </cell>
          <cell r="D13">
            <v>8.0088712479237753E-2</v>
          </cell>
        </row>
        <row r="14">
          <cell r="A14" t="str">
            <v>DEP</v>
          </cell>
          <cell r="B14">
            <v>0.53467729444624135</v>
          </cell>
          <cell r="C14">
            <v>0.15951260012332932</v>
          </cell>
          <cell r="D14">
            <v>0</v>
          </cell>
        </row>
        <row r="15">
          <cell r="A15" t="str">
            <v>DEU</v>
          </cell>
          <cell r="B15">
            <v>0</v>
          </cell>
          <cell r="C15">
            <v>0</v>
          </cell>
          <cell r="D15">
            <v>0.13440828536836275</v>
          </cell>
        </row>
        <row r="16">
          <cell r="A16" t="str">
            <v>DEUH</v>
          </cell>
          <cell r="B16">
            <v>0</v>
          </cell>
          <cell r="C16">
            <v>0</v>
          </cell>
          <cell r="D16">
            <v>0.13440828536836275</v>
          </cell>
        </row>
        <row r="17">
          <cell r="A17" t="str">
            <v>DGP</v>
          </cell>
          <cell r="B17">
            <v>0.55774534365141204</v>
          </cell>
          <cell r="C17">
            <v>0.16131555650408205</v>
          </cell>
          <cell r="D17">
            <v>0</v>
          </cell>
        </row>
        <row r="18">
          <cell r="A18" t="str">
            <v>DGU</v>
          </cell>
          <cell r="B18">
            <v>0</v>
          </cell>
          <cell r="C18">
            <v>0</v>
          </cell>
          <cell r="D18">
            <v>0.12942927026274684</v>
          </cell>
        </row>
        <row r="19">
          <cell r="A19" t="str">
            <v>DGUH</v>
          </cell>
          <cell r="B19">
            <v>0</v>
          </cell>
          <cell r="C19">
            <v>0</v>
          </cell>
          <cell r="D19">
            <v>0.12942927026274684</v>
          </cell>
        </row>
        <row r="20">
          <cell r="A20" t="str">
            <v>DITBAL</v>
          </cell>
          <cell r="B20">
            <v>0.27428482654037295</v>
          </cell>
          <cell r="C20">
            <v>6.9203065307797712E-2</v>
          </cell>
          <cell r="D20">
            <v>6.5593176671185624E-2</v>
          </cell>
        </row>
        <row r="21">
          <cell r="A21" t="str">
            <v>DITEXP</v>
          </cell>
          <cell r="B21">
            <v>0.3452290807307869</v>
          </cell>
          <cell r="C21">
            <v>7.7351684311256164E-2</v>
          </cell>
          <cell r="D21">
            <v>4.2384904806221244E-2</v>
          </cell>
        </row>
        <row r="22">
          <cell r="A22" t="str">
            <v>DNPGMP</v>
          </cell>
          <cell r="B22">
            <v>0</v>
          </cell>
          <cell r="C22">
            <v>0</v>
          </cell>
          <cell r="D22">
            <v>0</v>
          </cell>
        </row>
        <row r="23">
          <cell r="A23" t="str">
            <v>DNPGMU</v>
          </cell>
          <cell r="B23">
            <v>0.27285827953685193</v>
          </cell>
          <cell r="C23">
            <v>8.1402995949508353E-2</v>
          </cell>
          <cell r="D23">
            <v>6.5816606084332333E-2</v>
          </cell>
        </row>
        <row r="24">
          <cell r="A24" t="str">
            <v>DNPIP</v>
          </cell>
          <cell r="B24">
            <v>0</v>
          </cell>
          <cell r="C24">
            <v>0</v>
          </cell>
          <cell r="D24">
            <v>0</v>
          </cell>
        </row>
        <row r="25">
          <cell r="A25" t="str">
            <v>DNPIU</v>
          </cell>
          <cell r="B25">
            <v>0</v>
          </cell>
          <cell r="C25">
            <v>0</v>
          </cell>
          <cell r="D25">
            <v>0</v>
          </cell>
        </row>
        <row r="26">
          <cell r="A26" t="str">
            <v>DNPPHP</v>
          </cell>
          <cell r="B26">
            <v>0</v>
          </cell>
          <cell r="C26">
            <v>0</v>
          </cell>
          <cell r="D26">
            <v>0</v>
          </cell>
        </row>
        <row r="27">
          <cell r="A27" t="str">
            <v>DNPPHU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DNPPSP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DNPPSU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DONOTUSE</v>
          </cell>
          <cell r="B30">
            <v>0</v>
          </cell>
          <cell r="C30">
            <v>0</v>
          </cell>
          <cell r="D30">
            <v>0</v>
          </cell>
        </row>
        <row r="31">
          <cell r="A31" t="str">
            <v>DONOTUSE</v>
          </cell>
          <cell r="B31">
            <v>0</v>
          </cell>
          <cell r="C31">
            <v>0</v>
          </cell>
          <cell r="D31">
            <v>0</v>
          </cell>
        </row>
        <row r="32">
          <cell r="A32" t="str">
            <v>DONOTUSE</v>
          </cell>
          <cell r="B32">
            <v>0</v>
          </cell>
          <cell r="C32">
            <v>0</v>
          </cell>
          <cell r="D32">
            <v>0</v>
          </cell>
        </row>
        <row r="33">
          <cell r="A33" t="str">
            <v>DONOTUSE</v>
          </cell>
          <cell r="B33">
            <v>0</v>
          </cell>
          <cell r="C33">
            <v>0</v>
          </cell>
          <cell r="D33">
            <v>0</v>
          </cell>
        </row>
        <row r="34">
          <cell r="A34" t="str">
            <v>DONOTUSE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DONOTUSE</v>
          </cell>
          <cell r="B35">
            <v>0</v>
          </cell>
          <cell r="C35">
            <v>0</v>
          </cell>
          <cell r="D35">
            <v>0</v>
          </cell>
        </row>
        <row r="36">
          <cell r="A36" t="str">
            <v>DOP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DOU</v>
          </cell>
          <cell r="B37">
            <v>0</v>
          </cell>
          <cell r="C37">
            <v>0</v>
          </cell>
          <cell r="D37">
            <v>0</v>
          </cell>
        </row>
        <row r="38">
          <cell r="A38" t="str">
            <v>EXCTAX</v>
          </cell>
          <cell r="B38">
            <v>0.42290748680235485</v>
          </cell>
          <cell r="C38">
            <v>8.7753815778953248E-2</v>
          </cell>
          <cell r="D38">
            <v>2.1853622934589867E-2</v>
          </cell>
        </row>
        <row r="39">
          <cell r="A39" t="str">
            <v>GPS</v>
          </cell>
          <cell r="B39">
            <v>0.29861165374396953</v>
          </cell>
          <cell r="C39">
            <v>8.0550373122060467E-2</v>
          </cell>
          <cell r="D39">
            <v>5.8734926793188202E-2</v>
          </cell>
        </row>
        <row r="40">
          <cell r="A40" t="str">
            <v>IBT</v>
          </cell>
          <cell r="B40">
            <v>0.42282495592392177</v>
          </cell>
          <cell r="C40">
            <v>8.7320036096678905E-2</v>
          </cell>
          <cell r="D40">
            <v>2.2090755419769632E-2</v>
          </cell>
        </row>
        <row r="41">
          <cell r="A41" t="str">
            <v>IDSIT</v>
          </cell>
          <cell r="B41">
            <v>0</v>
          </cell>
          <cell r="C41">
            <v>0</v>
          </cell>
          <cell r="D41">
            <v>1</v>
          </cell>
        </row>
        <row r="42">
          <cell r="A42" t="str">
            <v>INT</v>
          </cell>
          <cell r="B42">
            <v>0.29380632043695454</v>
          </cell>
          <cell r="C42">
            <v>7.895010834108844E-2</v>
          </cell>
          <cell r="D42">
            <v>5.7129682322204854E-2</v>
          </cell>
        </row>
        <row r="43">
          <cell r="A43" t="str">
            <v>ITC84</v>
          </cell>
          <cell r="B43">
            <v>0.70975999999999995</v>
          </cell>
          <cell r="C43">
            <v>0.14180000000000001</v>
          </cell>
          <cell r="D43">
            <v>0</v>
          </cell>
        </row>
        <row r="44">
          <cell r="A44" t="str">
            <v>ITC85</v>
          </cell>
          <cell r="B44">
            <v>0.67689999999999995</v>
          </cell>
          <cell r="C44">
            <v>0.1336</v>
          </cell>
          <cell r="D44">
            <v>0</v>
          </cell>
        </row>
        <row r="45">
          <cell r="A45" t="str">
            <v>ITC86</v>
          </cell>
          <cell r="B45">
            <v>0.64607999999999999</v>
          </cell>
          <cell r="C45">
            <v>0.13125999999999999</v>
          </cell>
          <cell r="D45">
            <v>0</v>
          </cell>
        </row>
        <row r="46">
          <cell r="A46" t="str">
            <v>ITC88</v>
          </cell>
          <cell r="B46">
            <v>0.61199999999999999</v>
          </cell>
          <cell r="C46">
            <v>0.14960000000000001</v>
          </cell>
          <cell r="D46">
            <v>0</v>
          </cell>
        </row>
        <row r="47">
          <cell r="A47" t="str">
            <v>ITC89</v>
          </cell>
          <cell r="B47">
            <v>0.563558</v>
          </cell>
          <cell r="C47">
            <v>0.15268799999999999</v>
          </cell>
          <cell r="D47">
            <v>0</v>
          </cell>
        </row>
        <row r="48">
          <cell r="A48" t="str">
            <v>ITC90</v>
          </cell>
          <cell r="B48">
            <v>0.159356</v>
          </cell>
          <cell r="C48">
            <v>3.9132E-2</v>
          </cell>
          <cell r="D48">
            <v>0.13981499999999999</v>
          </cell>
        </row>
        <row r="49">
          <cell r="A49" t="str">
            <v>MC</v>
          </cell>
          <cell r="B49">
            <v>0.71497865636912872</v>
          </cell>
          <cell r="C49">
            <v>0.1032375509225131</v>
          </cell>
          <cell r="D49">
            <v>1.8159459280526591E-2</v>
          </cell>
        </row>
        <row r="50">
          <cell r="A50" t="str">
            <v>NUTIL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OPRV-ID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OPRVWY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OTHER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SC</v>
          </cell>
          <cell r="B54">
            <v>0.29035869106401047</v>
          </cell>
          <cell r="C54">
            <v>8.3151606940437092E-2</v>
          </cell>
          <cell r="D54">
            <v>6.2147118087711326E-2</v>
          </cell>
        </row>
        <row r="55">
          <cell r="A55" t="str">
            <v>SCHMAEXP</v>
          </cell>
          <cell r="B55">
            <v>0.26929706664104008</v>
          </cell>
          <cell r="C55">
            <v>7.0739761934206044E-2</v>
          </cell>
          <cell r="D55">
            <v>5.0915109018580186E-2</v>
          </cell>
        </row>
        <row r="56">
          <cell r="A56" t="str">
            <v>SCHMDEXP</v>
          </cell>
          <cell r="B56">
            <v>0.30583135944598916</v>
          </cell>
          <cell r="C56">
            <v>8.3010078293539152E-2</v>
          </cell>
          <cell r="D56">
            <v>5.8550166140093549E-2</v>
          </cell>
        </row>
        <row r="57">
          <cell r="A57" t="str">
            <v>SE</v>
          </cell>
          <cell r="B57">
            <v>0.27285827953685193</v>
          </cell>
          <cell r="C57">
            <v>8.1402995949508367E-2</v>
          </cell>
          <cell r="D57">
            <v>6.5816606084332333E-2</v>
          </cell>
        </row>
        <row r="58">
          <cell r="A58" t="str">
            <v>SE-P</v>
          </cell>
          <cell r="B58">
            <v>0.27285827953685193</v>
          </cell>
          <cell r="C58">
            <v>8.1402995949508367E-2</v>
          </cell>
          <cell r="D58">
            <v>6.5816606084332333E-2</v>
          </cell>
        </row>
        <row r="59">
          <cell r="A59" t="str">
            <v>SE-U</v>
          </cell>
          <cell r="B59">
            <v>0.27285827953685193</v>
          </cell>
          <cell r="C59">
            <v>8.1402995949508367E-2</v>
          </cell>
          <cell r="D59">
            <v>6.5816606084332333E-2</v>
          </cell>
        </row>
        <row r="60">
          <cell r="A60" t="str">
            <v>SG</v>
          </cell>
          <cell r="B60">
            <v>0.2859835881822208</v>
          </cell>
          <cell r="C60">
            <v>8.27144541927049E-2</v>
          </cell>
          <cell r="D60">
            <v>6.306449008686657E-2</v>
          </cell>
        </row>
        <row r="61">
          <cell r="A61" t="str">
            <v>SGCT</v>
          </cell>
          <cell r="B61">
            <v>0.28711190622629268</v>
          </cell>
          <cell r="C61">
            <v>8.3040795336140449E-2</v>
          </cell>
          <cell r="D61">
            <v>6.3313304372180954E-2</v>
          </cell>
        </row>
        <row r="62">
          <cell r="A62" t="str">
            <v>SG-P</v>
          </cell>
          <cell r="B62">
            <v>0.2859835881822208</v>
          </cell>
          <cell r="C62">
            <v>8.27144541927049E-2</v>
          </cell>
          <cell r="D62">
            <v>6.306449008686657E-2</v>
          </cell>
        </row>
        <row r="63">
          <cell r="A63" t="str">
            <v>SGPP</v>
          </cell>
          <cell r="B63">
            <v>0</v>
          </cell>
          <cell r="C63">
            <v>0</v>
          </cell>
          <cell r="D63">
            <v>0</v>
          </cell>
        </row>
        <row r="64">
          <cell r="A64" t="str">
            <v>SGPU</v>
          </cell>
          <cell r="B64">
            <v>0</v>
          </cell>
          <cell r="C64">
            <v>0</v>
          </cell>
          <cell r="D64">
            <v>0</v>
          </cell>
        </row>
        <row r="65">
          <cell r="A65" t="str">
            <v>SG-U</v>
          </cell>
          <cell r="B65">
            <v>0.2859835881822208</v>
          </cell>
          <cell r="C65">
            <v>8.27144541927049E-2</v>
          </cell>
          <cell r="D65">
            <v>6.306449008686657E-2</v>
          </cell>
        </row>
        <row r="66">
          <cell r="A66" t="str">
            <v>SNP</v>
          </cell>
          <cell r="B66">
            <v>0.29380632043695454</v>
          </cell>
          <cell r="C66">
            <v>7.895010834108844E-2</v>
          </cell>
          <cell r="D66">
            <v>5.7129682322204854E-2</v>
          </cell>
        </row>
        <row r="67">
          <cell r="A67" t="str">
            <v>SNPD</v>
          </cell>
          <cell r="B67">
            <v>0.30624652604495922</v>
          </cell>
          <cell r="C67">
            <v>7.0800777882893337E-2</v>
          </cell>
          <cell r="D67">
            <v>4.5163203238062999E-2</v>
          </cell>
        </row>
        <row r="68">
          <cell r="A68" t="str">
            <v>SNPG</v>
          </cell>
          <cell r="B68">
            <v>0.30042424823219444</v>
          </cell>
          <cell r="C68">
            <v>8.6851089518894448E-2</v>
          </cell>
          <cell r="D68">
            <v>6.3593059763587589E-2</v>
          </cell>
        </row>
        <row r="69">
          <cell r="A69" t="str">
            <v>SNPI</v>
          </cell>
          <cell r="B69">
            <v>0.29576811465760816</v>
          </cell>
          <cell r="C69">
            <v>8.0055655096684553E-2</v>
          </cell>
          <cell r="D69">
            <v>6.0236183083205302E-2</v>
          </cell>
        </row>
        <row r="70">
          <cell r="A70" t="str">
            <v>SNPP</v>
          </cell>
          <cell r="B70">
            <v>0.2859137864796093</v>
          </cell>
          <cell r="C70">
            <v>8.2729870920776397E-2</v>
          </cell>
          <cell r="D70">
            <v>6.3106251952743081E-2</v>
          </cell>
        </row>
        <row r="71">
          <cell r="A71" t="str">
            <v>SNPPH</v>
          </cell>
          <cell r="B71">
            <v>0.28598358818222103</v>
          </cell>
          <cell r="C71">
            <v>8.2714454192704928E-2</v>
          </cell>
          <cell r="D71">
            <v>6.3064490086866598E-2</v>
          </cell>
        </row>
        <row r="72">
          <cell r="A72" t="str">
            <v>SNPPH-P</v>
          </cell>
          <cell r="B72">
            <v>0.28598358818222103</v>
          </cell>
          <cell r="C72">
            <v>8.2714454192704928E-2</v>
          </cell>
          <cell r="D72">
            <v>6.3064490086866598E-2</v>
          </cell>
        </row>
        <row r="73">
          <cell r="A73" t="str">
            <v>SNPPH-U</v>
          </cell>
          <cell r="B73">
            <v>0.28598358818222103</v>
          </cell>
          <cell r="C73">
            <v>8.2714454192704928E-2</v>
          </cell>
          <cell r="D73">
            <v>6.3064490086866598E-2</v>
          </cell>
        </row>
        <row r="74">
          <cell r="A74" t="str">
            <v>SNPPN</v>
          </cell>
          <cell r="B74">
            <v>0.2859835881822208</v>
          </cell>
          <cell r="C74">
            <v>8.27144541927049E-2</v>
          </cell>
          <cell r="D74">
            <v>6.3064490086866556E-2</v>
          </cell>
        </row>
        <row r="75">
          <cell r="A75" t="str">
            <v>SNPPO</v>
          </cell>
          <cell r="B75">
            <v>0.28335272839776071</v>
          </cell>
          <cell r="C75">
            <v>8.2280110665311504E-2</v>
          </cell>
          <cell r="D75">
            <v>6.4693047353028194E-2</v>
          </cell>
        </row>
        <row r="76">
          <cell r="A76" t="str">
            <v>SNPPS</v>
          </cell>
          <cell r="B76">
            <v>0.28653733773461293</v>
          </cell>
          <cell r="C76">
            <v>8.2842984711251705E-2</v>
          </cell>
          <cell r="D76">
            <v>6.2719714593831535E-2</v>
          </cell>
        </row>
        <row r="77">
          <cell r="A77" t="str">
            <v>SNPT</v>
          </cell>
          <cell r="B77">
            <v>0.2859835881822208</v>
          </cell>
          <cell r="C77">
            <v>8.2714454192704914E-2</v>
          </cell>
          <cell r="D77">
            <v>6.3064490086866598E-2</v>
          </cell>
        </row>
        <row r="78">
          <cell r="A78" t="str">
            <v>SO</v>
          </cell>
          <cell r="B78">
            <v>0.29861165374396953</v>
          </cell>
          <cell r="C78">
            <v>8.0550373122060467E-2</v>
          </cell>
          <cell r="D78">
            <v>5.8734926793188209E-2</v>
          </cell>
        </row>
        <row r="79">
          <cell r="A79" t="str">
            <v>SO-P</v>
          </cell>
          <cell r="B79">
            <v>0.29861165374396953</v>
          </cell>
          <cell r="C79">
            <v>8.0550373122060467E-2</v>
          </cell>
          <cell r="D79">
            <v>5.8734926793188209E-2</v>
          </cell>
        </row>
        <row r="80">
          <cell r="A80" t="str">
            <v>SO-U</v>
          </cell>
          <cell r="B80">
            <v>0.29861165374396953</v>
          </cell>
          <cell r="C80">
            <v>8.0550373122060467E-2</v>
          </cell>
          <cell r="D80">
            <v>5.8734926793188209E-2</v>
          </cell>
        </row>
        <row r="81">
          <cell r="A81" t="str">
            <v>SSCCH</v>
          </cell>
          <cell r="B81">
            <v>0.29839826297906136</v>
          </cell>
          <cell r="C81">
            <v>8.4840163724139772E-2</v>
          </cell>
          <cell r="D81">
            <v>5.7429621760424925E-2</v>
          </cell>
        </row>
        <row r="82">
          <cell r="A82" t="str">
            <v>SSCCT</v>
          </cell>
          <cell r="B82">
            <v>0.26816133527730995</v>
          </cell>
          <cell r="C82">
            <v>7.9972983458246286E-2</v>
          </cell>
          <cell r="D82">
            <v>7.4652760445047067E-2</v>
          </cell>
        </row>
        <row r="83">
          <cell r="A83" t="str">
            <v>SSCP</v>
          </cell>
          <cell r="B83">
            <v>0.26456035856696852</v>
          </cell>
          <cell r="C83">
            <v>8.0220138380570558E-2</v>
          </cell>
          <cell r="D83">
            <v>7.1732040034333561E-2</v>
          </cell>
        </row>
        <row r="84">
          <cell r="A84" t="str">
            <v>SSECH</v>
          </cell>
          <cell r="B84">
            <v>0.27912490257653538</v>
          </cell>
          <cell r="C84">
            <v>8.3390050667640464E-2</v>
          </cell>
          <cell r="D84">
            <v>6.1050578355300263E-2</v>
          </cell>
        </row>
        <row r="85">
          <cell r="A85" t="str">
            <v>SSECT</v>
          </cell>
          <cell r="B85">
            <v>0.25075183369878429</v>
          </cell>
          <cell r="C85">
            <v>7.6295126990200912E-2</v>
          </cell>
          <cell r="D85">
            <v>8.3205914996410904E-2</v>
          </cell>
        </row>
        <row r="86">
          <cell r="A86" t="str">
            <v>SSEP</v>
          </cell>
          <cell r="B86">
            <v>0.25482291554073899</v>
          </cell>
          <cell r="C86">
            <v>7.7187417938853878E-2</v>
          </cell>
          <cell r="D86">
            <v>7.8762440909442441E-2</v>
          </cell>
        </row>
        <row r="87">
          <cell r="A87" t="str">
            <v>SSGC</v>
          </cell>
          <cell r="B87">
            <v>0.26212599781041113</v>
          </cell>
          <cell r="C87">
            <v>7.9461958270141381E-2</v>
          </cell>
          <cell r="D87">
            <v>7.3489640253110777E-2</v>
          </cell>
        </row>
        <row r="88">
          <cell r="A88" t="str">
            <v>SSGCH</v>
          </cell>
          <cell r="B88">
            <v>0.29357992287842988</v>
          </cell>
          <cell r="C88">
            <v>8.4477635460014938E-2</v>
          </cell>
          <cell r="D88">
            <v>5.8334860909143756E-2</v>
          </cell>
        </row>
        <row r="89">
          <cell r="A89" t="str">
            <v>SSGCT</v>
          </cell>
          <cell r="B89">
            <v>0.2638089598826785</v>
          </cell>
          <cell r="C89">
            <v>7.9053519341234946E-2</v>
          </cell>
          <cell r="D89">
            <v>7.679104908288803E-2</v>
          </cell>
        </row>
        <row r="90">
          <cell r="A90" t="str">
            <v>TAXDEPR</v>
          </cell>
          <cell r="B90">
            <v>0.30583135944598916</v>
          </cell>
          <cell r="C90">
            <v>8.3010078293539152E-2</v>
          </cell>
          <cell r="D90">
            <v>5.8550166140093549E-2</v>
          </cell>
        </row>
        <row r="91">
          <cell r="A91" t="str">
            <v>TROJD</v>
          </cell>
          <cell r="B91">
            <v>0.28363760182231784</v>
          </cell>
          <cell r="C91">
            <v>8.2480047274494497E-2</v>
          </cell>
          <cell r="D91">
            <v>6.3556396735721152E-2</v>
          </cell>
        </row>
        <row r="92">
          <cell r="A92" t="str">
            <v>TROJP</v>
          </cell>
          <cell r="B92">
            <v>0.28398975334932469</v>
          </cell>
          <cell r="C92">
            <v>8.2515233648805794E-2</v>
          </cell>
          <cell r="D92">
            <v>6.3482557569177089E-2</v>
          </cell>
        </row>
        <row r="93">
          <cell r="A93" t="str">
            <v>WBTAX</v>
          </cell>
          <cell r="B93">
            <v>0</v>
          </cell>
          <cell r="C93">
            <v>1</v>
          </cell>
          <cell r="D93">
            <v>0</v>
          </cell>
        </row>
        <row r="94">
          <cell r="A94" t="str">
            <v>Outr</v>
          </cell>
          <cell r="B94">
            <v>0</v>
          </cell>
          <cell r="C94">
            <v>0</v>
          </cell>
          <cell r="D94">
            <v>0</v>
          </cell>
        </row>
        <row r="95">
          <cell r="A95" t="str">
            <v>xIDA</v>
          </cell>
          <cell r="B95">
            <v>0</v>
          </cell>
          <cell r="C95">
            <v>0</v>
          </cell>
          <cell r="D95">
            <v>1</v>
          </cell>
        </row>
        <row r="96">
          <cell r="A96" t="str">
            <v>xORE</v>
          </cell>
          <cell r="B96">
            <v>1</v>
          </cell>
          <cell r="C96">
            <v>0</v>
          </cell>
          <cell r="D96">
            <v>0</v>
          </cell>
        </row>
        <row r="97">
          <cell r="A97" t="str">
            <v>xWash</v>
          </cell>
          <cell r="B97">
            <v>0</v>
          </cell>
          <cell r="C97">
            <v>1</v>
          </cell>
          <cell r="D9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SL_Base"/>
      <sheetName val="NLSL_Essc"/>
      <sheetName val="Base Data"/>
      <sheetName val="Total &amp; Functionalization"/>
      <sheetName val="Rate Period Total &amp; Funct"/>
      <sheetName val="Prod + Trans"/>
      <sheetName val="Rate Period"/>
      <sheetName val="Load Forecast"/>
      <sheetName val="Inputs"/>
      <sheetName val="Inputs Monthly"/>
      <sheetName val="OSS &amp; PurPwr Forecast"/>
      <sheetName val="New Resources"/>
      <sheetName val="AS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1">
          <cell r="F31">
            <v>40452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Unadj Data for RAM"/>
      <sheetName val="CWC"/>
      <sheetName val="Inputs"/>
      <sheetName val="Adjustments"/>
      <sheetName val="Adj Summary"/>
      <sheetName val="UIEC Summary"/>
      <sheetName val="UAE Summary"/>
      <sheetName val="AARP Summary"/>
      <sheetName val="Revised(2) DPU Summary"/>
      <sheetName val="Revised DPU Summary"/>
      <sheetName val="DPU Summary"/>
      <sheetName val="Revised Inputs"/>
      <sheetName val="Variables"/>
      <sheetName val="Factors"/>
      <sheetName val="Embedded Cost"/>
      <sheetName val="Check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Page3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8">
          <cell r="G8">
            <v>0.61779709495561286</v>
          </cell>
        </row>
        <row r="24">
          <cell r="N2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1814329680.1926062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0.81318732477822031</v>
          </cell>
        </row>
      </sheetData>
      <sheetData sheetId="23"/>
      <sheetData sheetId="24">
        <row r="251">
          <cell r="AG251" t="str">
            <v>DIS</v>
          </cell>
        </row>
        <row r="689">
          <cell r="AG689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29">
          <cell r="N2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30">
          <cell r="G30">
            <v>8.2617300454857379E-2</v>
          </cell>
        </row>
      </sheetData>
      <sheetData sheetId="1" refreshError="1"/>
      <sheetData sheetId="2" refreshError="1"/>
      <sheetData sheetId="3" refreshError="1"/>
      <sheetData sheetId="4">
        <row r="16">
          <cell r="D16">
            <v>7696713.2449887665</v>
          </cell>
        </row>
      </sheetData>
      <sheetData sheetId="5" refreshError="1"/>
      <sheetData sheetId="6" refreshError="1"/>
      <sheetData sheetId="7" refreshError="1"/>
      <sheetData sheetId="8">
        <row r="71">
          <cell r="E71">
            <v>-489685.98169817787</v>
          </cell>
        </row>
      </sheetData>
      <sheetData sheetId="9">
        <row r="136">
          <cell r="E136">
            <v>57715011.020101152</v>
          </cell>
        </row>
      </sheetData>
      <sheetData sheetId="10">
        <row r="136">
          <cell r="E136">
            <v>14389918.281402655</v>
          </cell>
        </row>
      </sheetData>
      <sheetData sheetId="11">
        <row r="68">
          <cell r="E68">
            <v>7664070.6445309613</v>
          </cell>
        </row>
      </sheetData>
      <sheetData sheetId="12">
        <row r="68">
          <cell r="E68">
            <v>3802158.1253485414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view="pageBreakPreview" zoomScale="60" zoomScaleNormal="100" workbookViewId="0">
      <selection activeCell="B1" sqref="B1"/>
    </sheetView>
  </sheetViews>
  <sheetFormatPr defaultRowHeight="12.75"/>
  <cols>
    <col min="1" max="1" width="1.75" style="274" customWidth="1"/>
    <col min="2" max="2" width="19" style="274" customWidth="1"/>
    <col min="3" max="3" width="12.125" style="274" customWidth="1"/>
    <col min="4" max="11" width="10.25" style="274" customWidth="1"/>
    <col min="12" max="12" width="9.625" style="274" customWidth="1"/>
    <col min="13" max="13" width="1.875" style="274" customWidth="1"/>
    <col min="14" max="14" width="13" style="274" hidden="1" customWidth="1"/>
    <col min="15" max="15" width="2" style="274" hidden="1" customWidth="1"/>
    <col min="16" max="19" width="9.375" style="274" hidden="1" customWidth="1"/>
    <col min="20" max="20" width="5" style="274" hidden="1" customWidth="1"/>
    <col min="21" max="24" width="8.5" style="274" customWidth="1"/>
    <col min="25" max="25" width="9" style="274" bestFit="1" customWidth="1"/>
    <col min="26" max="16384" width="9" style="274"/>
  </cols>
  <sheetData>
    <row r="1" spans="1:25" s="271" customFormat="1" ht="12.75" customHeight="1">
      <c r="A1" s="269" t="s">
        <v>278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70"/>
      <c r="M1" s="270"/>
      <c r="N1" s="270"/>
      <c r="O1" s="270"/>
      <c r="P1" s="270"/>
      <c r="Q1" s="270"/>
      <c r="R1" s="270"/>
      <c r="S1" s="270"/>
      <c r="T1" s="270"/>
    </row>
    <row r="2" spans="1:25" ht="12.75" customHeight="1">
      <c r="A2" s="272" t="s">
        <v>314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70"/>
      <c r="M2" s="270"/>
      <c r="N2" s="270"/>
      <c r="O2" s="270"/>
      <c r="P2" s="273"/>
      <c r="Q2" s="273"/>
      <c r="R2" s="273"/>
      <c r="S2" s="273"/>
      <c r="T2" s="273"/>
    </row>
    <row r="3" spans="1:25" ht="12.75" customHeight="1">
      <c r="A3" s="269" t="s">
        <v>279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70"/>
      <c r="M3" s="270"/>
      <c r="N3" s="270"/>
      <c r="O3" s="270"/>
      <c r="P3" s="273"/>
      <c r="Q3" s="273"/>
      <c r="R3" s="273"/>
      <c r="S3" s="273"/>
      <c r="T3" s="273"/>
    </row>
    <row r="4" spans="1:25" ht="12.75" customHeight="1">
      <c r="A4" s="275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0"/>
      <c r="M4" s="270"/>
      <c r="N4" s="270"/>
      <c r="O4" s="270"/>
      <c r="P4" s="273"/>
      <c r="Q4" s="273"/>
      <c r="R4" s="273"/>
      <c r="S4" s="273"/>
      <c r="T4" s="273"/>
    </row>
    <row r="5" spans="1:25" s="282" customFormat="1" ht="12.75" customHeight="1">
      <c r="A5" s="276" t="s">
        <v>315</v>
      </c>
      <c r="B5" s="277"/>
      <c r="C5" s="278"/>
      <c r="D5" s="279"/>
      <c r="E5" s="279"/>
      <c r="F5" s="280"/>
      <c r="G5" s="280"/>
      <c r="H5" s="279"/>
      <c r="I5" s="277"/>
      <c r="J5" s="281"/>
      <c r="K5" s="279"/>
      <c r="L5" s="270"/>
      <c r="M5" s="270"/>
      <c r="N5" s="270"/>
      <c r="O5" s="270"/>
      <c r="P5" s="273"/>
      <c r="Q5" s="273"/>
      <c r="R5" s="273"/>
      <c r="S5" s="273"/>
      <c r="T5" s="273"/>
      <c r="U5" s="274"/>
      <c r="V5" s="274"/>
      <c r="W5" s="274"/>
    </row>
    <row r="6" spans="1:25" s="293" customFormat="1" ht="12.75" customHeight="1">
      <c r="A6" s="283"/>
      <c r="B6" s="284"/>
      <c r="C6" s="285"/>
      <c r="D6" s="286" t="s">
        <v>280</v>
      </c>
      <c r="E6" s="287"/>
      <c r="F6" s="288" t="s">
        <v>281</v>
      </c>
      <c r="G6" s="289"/>
      <c r="H6" s="289"/>
      <c r="I6" s="289"/>
      <c r="J6" s="288" t="s">
        <v>282</v>
      </c>
      <c r="K6" s="290"/>
      <c r="L6" s="270"/>
      <c r="M6" s="270"/>
      <c r="N6" s="270"/>
      <c r="O6" s="270"/>
      <c r="P6" s="291" t="s">
        <v>316</v>
      </c>
      <c r="Q6" s="292"/>
      <c r="R6" s="292"/>
      <c r="S6" s="292"/>
      <c r="T6" s="273"/>
      <c r="U6" s="274"/>
      <c r="V6" s="274"/>
      <c r="W6" s="274"/>
    </row>
    <row r="7" spans="1:25" s="293" customFormat="1" ht="12.75" customHeight="1">
      <c r="A7" s="283"/>
      <c r="B7" s="294"/>
      <c r="C7" s="295" t="s">
        <v>283</v>
      </c>
      <c r="D7" s="296" t="s">
        <v>284</v>
      </c>
      <c r="E7" s="297" t="s">
        <v>285</v>
      </c>
      <c r="F7" s="298" t="s">
        <v>286</v>
      </c>
      <c r="G7" s="298" t="s">
        <v>317</v>
      </c>
      <c r="H7" s="298" t="s">
        <v>287</v>
      </c>
      <c r="I7" s="299" t="s">
        <v>285</v>
      </c>
      <c r="J7" s="300" t="s">
        <v>115</v>
      </c>
      <c r="K7" s="301" t="s">
        <v>318</v>
      </c>
      <c r="L7" s="270"/>
      <c r="M7" s="270"/>
      <c r="N7" s="270"/>
      <c r="O7" s="270"/>
      <c r="P7" s="273" t="s">
        <v>287</v>
      </c>
      <c r="Q7" s="273" t="s">
        <v>285</v>
      </c>
      <c r="R7" s="273" t="s">
        <v>115</v>
      </c>
      <c r="S7" s="273" t="s">
        <v>288</v>
      </c>
      <c r="T7" s="273"/>
      <c r="U7" s="274"/>
      <c r="V7" s="274"/>
      <c r="W7" s="274"/>
    </row>
    <row r="8" spans="1:25" s="293" customFormat="1" ht="12.75" customHeight="1">
      <c r="A8" s="283"/>
      <c r="B8" s="302" t="s">
        <v>289</v>
      </c>
      <c r="C8" s="303" t="s">
        <v>319</v>
      </c>
      <c r="D8" s="304" t="s">
        <v>320</v>
      </c>
      <c r="E8" s="305" t="s">
        <v>290</v>
      </c>
      <c r="F8" s="306" t="s">
        <v>321</v>
      </c>
      <c r="G8" s="306" t="s">
        <v>291</v>
      </c>
      <c r="H8" s="307" t="s">
        <v>292</v>
      </c>
      <c r="I8" s="305" t="s">
        <v>290</v>
      </c>
      <c r="J8" s="308" t="s">
        <v>322</v>
      </c>
      <c r="K8" s="309" t="s">
        <v>292</v>
      </c>
      <c r="L8" s="270"/>
      <c r="M8" s="270"/>
      <c r="N8" s="270"/>
      <c r="O8" s="270"/>
      <c r="P8" s="310" t="s">
        <v>292</v>
      </c>
      <c r="Q8" s="273" t="s">
        <v>290</v>
      </c>
      <c r="R8" s="273" t="s">
        <v>323</v>
      </c>
      <c r="S8" s="310" t="s">
        <v>292</v>
      </c>
      <c r="T8" s="273"/>
      <c r="U8" s="274"/>
      <c r="V8" s="274"/>
      <c r="W8" s="274"/>
    </row>
    <row r="9" spans="1:25" ht="12.75" customHeight="1" thickBot="1">
      <c r="B9" s="311"/>
      <c r="C9" s="312"/>
      <c r="D9" s="255"/>
      <c r="E9" s="256"/>
      <c r="F9" s="273"/>
      <c r="G9" s="257"/>
      <c r="H9" s="257"/>
      <c r="I9" s="258"/>
      <c r="J9" s="255"/>
      <c r="K9" s="259"/>
      <c r="L9" s="270"/>
      <c r="M9" s="270"/>
      <c r="N9" s="270"/>
      <c r="O9" s="270"/>
      <c r="P9" s="310"/>
      <c r="Q9" s="313"/>
      <c r="R9" s="310"/>
      <c r="S9" s="310"/>
      <c r="T9" s="273"/>
      <c r="X9" s="293"/>
      <c r="Y9" s="293"/>
    </row>
    <row r="10" spans="1:25" ht="12.75" customHeight="1" thickBot="1">
      <c r="B10" s="314" t="s">
        <v>293</v>
      </c>
      <c r="C10" s="312">
        <f>F57</f>
        <v>6022615.6429639999</v>
      </c>
      <c r="D10" s="255">
        <f>C10/$C$16*$D$16</f>
        <v>46724151.712060034</v>
      </c>
      <c r="E10" s="260">
        <f>D10/C10/10</f>
        <v>0.77581161545060806</v>
      </c>
      <c r="F10" s="315">
        <f>F$16*F$50</f>
        <v>-4584549</v>
      </c>
      <c r="G10" s="315">
        <f>C10/$C$16*$G$16</f>
        <v>2371383.7804283062</v>
      </c>
      <c r="H10" s="257">
        <f>D10+F10+G10</f>
        <v>44510986.49248834</v>
      </c>
      <c r="I10" s="260">
        <f>H10/C10/10</f>
        <v>0.73906404013161431</v>
      </c>
      <c r="J10" s="316">
        <v>-1863432.0624331411</v>
      </c>
      <c r="K10" s="261">
        <f>H10+J10</f>
        <v>42647554.430055201</v>
      </c>
      <c r="L10" s="270"/>
      <c r="M10" s="270"/>
      <c r="N10" s="310">
        <f>+H10-P10</f>
        <v>20519999.526889022</v>
      </c>
      <c r="O10" s="270"/>
      <c r="P10" s="310">
        <v>23990986.965599317</v>
      </c>
      <c r="Q10" s="317">
        <v>0.39258164788671801</v>
      </c>
      <c r="R10" s="310">
        <v>1447172.3175668605</v>
      </c>
      <c r="S10" s="310">
        <v>25438159.283166178</v>
      </c>
      <c r="T10" s="273"/>
      <c r="X10" s="293"/>
      <c r="Y10" s="293"/>
    </row>
    <row r="11" spans="1:25" ht="12.75" customHeight="1" thickBot="1">
      <c r="B11" s="314"/>
      <c r="C11" s="312"/>
      <c r="D11" s="255"/>
      <c r="E11" s="260"/>
      <c r="F11" s="315"/>
      <c r="G11" s="315"/>
      <c r="H11" s="257"/>
      <c r="I11" s="260"/>
      <c r="J11" s="316"/>
      <c r="K11" s="259"/>
      <c r="L11" s="270"/>
      <c r="M11" s="270"/>
      <c r="N11" s="270"/>
      <c r="O11" s="270"/>
      <c r="P11" s="310"/>
      <c r="Q11" s="317"/>
      <c r="R11" s="310"/>
      <c r="S11" s="310"/>
      <c r="T11" s="273"/>
      <c r="X11" s="293"/>
      <c r="Y11" s="293"/>
    </row>
    <row r="12" spans="1:25" ht="12.75" customHeight="1" thickBot="1">
      <c r="B12" s="314" t="s">
        <v>294</v>
      </c>
      <c r="C12" s="312">
        <f>F59</f>
        <v>1909648.05385595</v>
      </c>
      <c r="D12" s="255">
        <f>C12/$C$16*$D$16</f>
        <v>14815271.416040946</v>
      </c>
      <c r="E12" s="260">
        <f>D12/C12/10</f>
        <v>0.77581161545060817</v>
      </c>
      <c r="F12" s="315">
        <f>F$16*F$51</f>
        <v>-1452196</v>
      </c>
      <c r="G12" s="315">
        <f>C12/$C$16*$G$16</f>
        <v>751917.22163624538</v>
      </c>
      <c r="H12" s="257">
        <f>D12+F12+G12</f>
        <v>14114992.637677191</v>
      </c>
      <c r="I12" s="260">
        <f>H12/C12/10</f>
        <v>0.73914104796306745</v>
      </c>
      <c r="J12" s="316">
        <v>-396783.99000000447</v>
      </c>
      <c r="K12" s="261">
        <f>H12+J12</f>
        <v>13718208.647677187</v>
      </c>
      <c r="L12" s="270"/>
      <c r="M12" s="270"/>
      <c r="N12" s="310">
        <f>+H12-P12</f>
        <v>6553010.1960940342</v>
      </c>
      <c r="O12" s="270"/>
      <c r="P12" s="310">
        <v>7561982.4415831566</v>
      </c>
      <c r="Q12" s="317">
        <v>0.39227062716802991</v>
      </c>
      <c r="R12" s="310">
        <v>671571.35999999451</v>
      </c>
      <c r="S12" s="310">
        <v>8233553.8015831513</v>
      </c>
      <c r="T12" s="273"/>
      <c r="X12" s="293"/>
      <c r="Y12" s="293"/>
    </row>
    <row r="13" spans="1:25" ht="12.75" customHeight="1" thickBot="1">
      <c r="B13" s="314"/>
      <c r="C13" s="312"/>
      <c r="D13" s="255"/>
      <c r="E13" s="260"/>
      <c r="F13" s="315"/>
      <c r="G13" s="315"/>
      <c r="H13" s="257"/>
      <c r="I13" s="260"/>
      <c r="J13" s="316"/>
      <c r="K13" s="259"/>
      <c r="L13" s="270"/>
      <c r="M13" s="270"/>
      <c r="N13" s="270"/>
      <c r="O13" s="270"/>
      <c r="P13" s="310"/>
      <c r="Q13" s="317"/>
      <c r="R13" s="310"/>
      <c r="S13" s="310"/>
      <c r="T13" s="273"/>
      <c r="X13" s="293"/>
      <c r="Y13" s="293"/>
    </row>
    <row r="14" spans="1:25" ht="12.75" customHeight="1" thickBot="1">
      <c r="B14" s="314" t="s">
        <v>295</v>
      </c>
      <c r="C14" s="312">
        <f>F61</f>
        <v>1073530.829654</v>
      </c>
      <c r="D14" s="255">
        <f>C14/$C$16*$D$16</f>
        <v>8328576.8718990134</v>
      </c>
      <c r="E14" s="260">
        <f>D14/C14/10</f>
        <v>0.77581161545060806</v>
      </c>
      <c r="F14" s="315">
        <f>F$16*F$52</f>
        <v>-2406255</v>
      </c>
      <c r="G14" s="315">
        <f>C14/$C$16*$G$16</f>
        <v>422698.99793544831</v>
      </c>
      <c r="H14" s="257">
        <f>D14+F14+G14</f>
        <v>6345020.8698344622</v>
      </c>
      <c r="I14" s="260">
        <f>H14/C14/10</f>
        <v>0.59104225929677945</v>
      </c>
      <c r="J14" s="316">
        <v>3071331.3609825778</v>
      </c>
      <c r="K14" s="261">
        <f>H14+J14</f>
        <v>9416352.2308170404</v>
      </c>
      <c r="L14" s="270"/>
      <c r="M14" s="270"/>
      <c r="N14" s="310">
        <f>+H14-P14</f>
        <v>3157231.5971771581</v>
      </c>
      <c r="O14" s="270"/>
      <c r="P14" s="310">
        <v>3187789.2726573041</v>
      </c>
      <c r="Q14" s="317">
        <v>0.26646797365545261</v>
      </c>
      <c r="R14" s="310">
        <v>168414.85</v>
      </c>
      <c r="S14" s="310">
        <v>3356204.1226573042</v>
      </c>
      <c r="T14" s="273"/>
      <c r="X14" s="293"/>
      <c r="Y14" s="293"/>
    </row>
    <row r="15" spans="1:25" ht="12.75" customHeight="1" thickBot="1">
      <c r="B15" s="314"/>
      <c r="C15" s="312"/>
      <c r="D15" s="255"/>
      <c r="E15" s="260"/>
      <c r="F15" s="315"/>
      <c r="G15" s="315"/>
      <c r="H15" s="257"/>
      <c r="I15" s="260"/>
      <c r="J15" s="255"/>
      <c r="K15" s="259"/>
      <c r="L15" s="270"/>
      <c r="M15" s="270"/>
      <c r="N15" s="270"/>
      <c r="O15" s="270"/>
      <c r="P15" s="310"/>
      <c r="Q15" s="317"/>
      <c r="R15" s="310"/>
      <c r="S15" s="310"/>
      <c r="T15" s="273"/>
      <c r="X15" s="293"/>
      <c r="Y15" s="293"/>
    </row>
    <row r="16" spans="1:25" ht="12.75" customHeight="1" thickBot="1">
      <c r="B16" s="318" t="s">
        <v>296</v>
      </c>
      <c r="C16" s="319">
        <f>C10+C12+C14</f>
        <v>9005794.5264739506</v>
      </c>
      <c r="D16" s="320">
        <v>69868000</v>
      </c>
      <c r="E16" s="263">
        <f>D16/C16/10</f>
        <v>0.77581161545060806</v>
      </c>
      <c r="F16" s="321">
        <v>-8443000</v>
      </c>
      <c r="G16" s="321">
        <v>3546000</v>
      </c>
      <c r="H16" s="264">
        <f>D16+F16+G16</f>
        <v>64971000</v>
      </c>
      <c r="I16" s="263">
        <f>H16/C16/10</f>
        <v>0.7214355136463253</v>
      </c>
      <c r="J16" s="262">
        <f>SUM(J10:J14)</f>
        <v>811115.30854943208</v>
      </c>
      <c r="K16" s="261">
        <f>SUM(K10:K14)</f>
        <v>65782115.308549426</v>
      </c>
      <c r="L16" s="270"/>
      <c r="M16" s="270"/>
      <c r="N16" s="310">
        <f>+H16-P16</f>
        <v>30230241.320160225</v>
      </c>
      <c r="O16" s="270"/>
      <c r="P16" s="310">
        <v>34740758.679839775</v>
      </c>
      <c r="Q16" s="317">
        <v>0.37618006630563461</v>
      </c>
      <c r="R16" s="310">
        <v>2287158.5275668553</v>
      </c>
      <c r="S16" s="310">
        <v>37027917.207406633</v>
      </c>
      <c r="T16" s="273"/>
      <c r="X16" s="293"/>
      <c r="Y16" s="293"/>
    </row>
    <row r="17" spans="1:25" ht="12.75" customHeight="1">
      <c r="A17" s="273"/>
      <c r="B17" s="322" t="s">
        <v>147</v>
      </c>
      <c r="C17" s="323"/>
      <c r="D17" s="324">
        <f>SUM(D10:D14)</f>
        <v>69867999.999999985</v>
      </c>
      <c r="E17" s="324"/>
      <c r="F17" s="325">
        <f>SUM(F10:F14)</f>
        <v>-8443000</v>
      </c>
      <c r="G17" s="325">
        <f>SUM(G10:G14)</f>
        <v>3546000</v>
      </c>
      <c r="H17" s="324">
        <f>SUM(H10:H14)</f>
        <v>64970999.999999993</v>
      </c>
      <c r="I17" s="324"/>
      <c r="J17" s="324"/>
      <c r="K17" s="324"/>
      <c r="L17" s="270"/>
      <c r="M17" s="270"/>
      <c r="N17" s="270"/>
      <c r="O17" s="270"/>
      <c r="P17" s="273"/>
      <c r="Q17" s="273"/>
      <c r="R17" s="273"/>
      <c r="S17" s="273"/>
      <c r="T17" s="273"/>
      <c r="X17" s="293"/>
      <c r="Y17" s="293"/>
    </row>
    <row r="18" spans="1:25" ht="12.75" customHeight="1">
      <c r="A18" s="273"/>
      <c r="B18" s="322"/>
      <c r="C18" s="323"/>
      <c r="D18" s="324"/>
      <c r="E18" s="324"/>
      <c r="F18" s="325"/>
      <c r="G18" s="325"/>
      <c r="H18" s="324"/>
      <c r="I18" s="324"/>
      <c r="J18" s="324"/>
      <c r="K18" s="324"/>
      <c r="L18" s="270"/>
      <c r="M18" s="270"/>
      <c r="N18" s="270"/>
      <c r="O18" s="270"/>
      <c r="P18" s="273"/>
      <c r="Q18" s="273"/>
      <c r="R18" s="273"/>
      <c r="S18" s="273"/>
      <c r="T18" s="273"/>
      <c r="X18" s="293"/>
      <c r="Y18" s="293"/>
    </row>
    <row r="19" spans="1:25" s="282" customFormat="1" ht="12.75" customHeight="1">
      <c r="A19" s="276" t="s">
        <v>324</v>
      </c>
      <c r="B19" s="277"/>
      <c r="C19" s="278"/>
      <c r="D19" s="279"/>
      <c r="E19" s="279"/>
      <c r="F19" s="326"/>
      <c r="G19" s="326"/>
      <c r="H19" s="279"/>
      <c r="I19" s="277"/>
      <c r="J19" s="281"/>
      <c r="K19" s="279"/>
      <c r="L19" s="273"/>
      <c r="M19" s="273"/>
      <c r="N19" s="273"/>
      <c r="O19" s="257"/>
      <c r="P19" s="273"/>
      <c r="Q19" s="273"/>
      <c r="R19" s="273"/>
      <c r="S19" s="273"/>
      <c r="T19" s="273"/>
      <c r="U19" s="274"/>
      <c r="V19" s="274"/>
      <c r="W19" s="274"/>
      <c r="X19" s="293"/>
      <c r="Y19" s="293"/>
    </row>
    <row r="20" spans="1:25" ht="12.75" customHeight="1">
      <c r="A20" s="283"/>
      <c r="B20" s="284"/>
      <c r="C20" s="285"/>
      <c r="D20" s="286" t="s">
        <v>280</v>
      </c>
      <c r="E20" s="287"/>
      <c r="F20" s="327" t="s">
        <v>281</v>
      </c>
      <c r="G20" s="328"/>
      <c r="H20" s="289"/>
      <c r="I20" s="289"/>
      <c r="J20" s="288" t="s">
        <v>282</v>
      </c>
      <c r="K20" s="290"/>
      <c r="L20" s="273"/>
      <c r="M20" s="273"/>
      <c r="N20" s="273"/>
      <c r="O20" s="257"/>
      <c r="P20" s="273"/>
      <c r="Q20" s="273"/>
      <c r="R20" s="273"/>
      <c r="S20" s="273"/>
      <c r="T20" s="273"/>
      <c r="X20" s="293"/>
      <c r="Y20" s="293"/>
    </row>
    <row r="21" spans="1:25" ht="12.75" customHeight="1">
      <c r="A21" s="283"/>
      <c r="B21" s="294"/>
      <c r="C21" s="295" t="s">
        <v>283</v>
      </c>
      <c r="D21" s="296" t="s">
        <v>297</v>
      </c>
      <c r="E21" s="297" t="s">
        <v>285</v>
      </c>
      <c r="F21" s="329" t="s">
        <v>286</v>
      </c>
      <c r="G21" s="298" t="s">
        <v>317</v>
      </c>
      <c r="H21" s="298" t="s">
        <v>297</v>
      </c>
      <c r="I21" s="299" t="s">
        <v>285</v>
      </c>
      <c r="J21" s="300" t="s">
        <v>115</v>
      </c>
      <c r="K21" s="301" t="s">
        <v>325</v>
      </c>
      <c r="L21" s="273"/>
      <c r="M21" s="273"/>
      <c r="N21" s="273"/>
      <c r="O21" s="273"/>
      <c r="P21" s="273"/>
      <c r="Q21" s="273"/>
      <c r="R21" s="273"/>
      <c r="S21" s="273"/>
      <c r="T21" s="273"/>
      <c r="X21" s="293"/>
      <c r="Y21" s="293"/>
    </row>
    <row r="22" spans="1:25" ht="12.75" customHeight="1">
      <c r="A22" s="283"/>
      <c r="B22" s="302" t="s">
        <v>289</v>
      </c>
      <c r="C22" s="303" t="s">
        <v>319</v>
      </c>
      <c r="D22" s="304" t="s">
        <v>320</v>
      </c>
      <c r="E22" s="305" t="s">
        <v>290</v>
      </c>
      <c r="F22" s="330" t="s">
        <v>321</v>
      </c>
      <c r="G22" s="330" t="s">
        <v>291</v>
      </c>
      <c r="H22" s="307" t="s">
        <v>292</v>
      </c>
      <c r="I22" s="305" t="s">
        <v>290</v>
      </c>
      <c r="J22" s="308" t="s">
        <v>326</v>
      </c>
      <c r="K22" s="309" t="s">
        <v>292</v>
      </c>
      <c r="L22" s="273"/>
      <c r="M22" s="273"/>
      <c r="N22" s="273"/>
      <c r="O22" s="273"/>
      <c r="P22" s="273"/>
      <c r="Q22" s="273"/>
      <c r="R22" s="273"/>
      <c r="S22" s="273"/>
      <c r="T22" s="273"/>
    </row>
    <row r="23" spans="1:25" ht="12.75" customHeight="1" thickBot="1">
      <c r="B23" s="314"/>
      <c r="C23" s="312"/>
      <c r="D23" s="255"/>
      <c r="E23" s="256"/>
      <c r="F23" s="331"/>
      <c r="G23" s="315"/>
      <c r="H23" s="257"/>
      <c r="I23" s="258"/>
      <c r="J23" s="255"/>
      <c r="K23" s="259"/>
      <c r="L23" s="273"/>
      <c r="N23" s="273"/>
      <c r="O23" s="273"/>
      <c r="P23" s="273"/>
      <c r="Q23" s="273"/>
      <c r="R23" s="273"/>
      <c r="S23" s="273"/>
      <c r="T23" s="273"/>
    </row>
    <row r="24" spans="1:25" ht="12.75" customHeight="1" thickBot="1">
      <c r="B24" s="314" t="s">
        <v>293</v>
      </c>
      <c r="C24" s="312">
        <f>F57</f>
        <v>6022615.6429639999</v>
      </c>
      <c r="D24" s="255">
        <f>C24/$C$30*$D$30</f>
        <v>46724151.712060034</v>
      </c>
      <c r="E24" s="260">
        <f>D24/C24/10</f>
        <v>0.77581161545060806</v>
      </c>
      <c r="F24" s="315">
        <f>F$30*F$50</f>
        <v>-4584549</v>
      </c>
      <c r="G24" s="315">
        <f>C24/$C$30*$G$30</f>
        <v>2371383.7804283062</v>
      </c>
      <c r="H24" s="257">
        <f>D24+F24+G24</f>
        <v>44510986.49248834</v>
      </c>
      <c r="I24" s="260">
        <f>H24/C24/10</f>
        <v>0.73906404013161431</v>
      </c>
      <c r="J24" s="255">
        <v>0</v>
      </c>
      <c r="K24" s="261">
        <f>H24+J24</f>
        <v>44510986.49248834</v>
      </c>
      <c r="L24" s="273"/>
      <c r="N24" s="273"/>
      <c r="O24" s="273"/>
      <c r="P24" s="273"/>
      <c r="Q24" s="273"/>
      <c r="R24" s="273"/>
      <c r="S24" s="273"/>
      <c r="T24" s="273"/>
    </row>
    <row r="25" spans="1:25" ht="12.75" customHeight="1" thickBot="1">
      <c r="B25" s="314"/>
      <c r="C25" s="312"/>
      <c r="D25" s="255"/>
      <c r="E25" s="260"/>
      <c r="F25" s="315"/>
      <c r="G25" s="315"/>
      <c r="H25" s="257"/>
      <c r="I25" s="260"/>
      <c r="J25" s="255"/>
      <c r="K25" s="259"/>
      <c r="L25" s="273"/>
      <c r="N25" s="273"/>
      <c r="O25" s="273"/>
      <c r="P25" s="273"/>
      <c r="Q25" s="273"/>
      <c r="R25" s="273"/>
      <c r="S25" s="273"/>
      <c r="T25" s="273"/>
    </row>
    <row r="26" spans="1:25" ht="12.75" customHeight="1" thickBot="1">
      <c r="B26" s="314" t="s">
        <v>294</v>
      </c>
      <c r="C26" s="312">
        <f>F59</f>
        <v>1909648.05385595</v>
      </c>
      <c r="D26" s="255">
        <f>C26/$C$30*$D$30</f>
        <v>14815271.416040946</v>
      </c>
      <c r="E26" s="260">
        <f>D26/C26/10</f>
        <v>0.77581161545060817</v>
      </c>
      <c r="F26" s="315">
        <f>F$30*F$51</f>
        <v>-1452196</v>
      </c>
      <c r="G26" s="315">
        <f>C26/$C$30*$G$30</f>
        <v>751917.22163624538</v>
      </c>
      <c r="H26" s="257">
        <f>D26+F26+G26</f>
        <v>14114992.637677191</v>
      </c>
      <c r="I26" s="260">
        <f>H26/C26/10</f>
        <v>0.73914104796306745</v>
      </c>
      <c r="J26" s="255">
        <v>0</v>
      </c>
      <c r="K26" s="261">
        <f>H26+J26</f>
        <v>14114992.637677191</v>
      </c>
      <c r="L26" s="273"/>
      <c r="N26" s="273"/>
      <c r="O26" s="273"/>
      <c r="P26" s="273"/>
      <c r="Q26" s="273"/>
      <c r="R26" s="273"/>
      <c r="S26" s="273"/>
      <c r="T26" s="273"/>
    </row>
    <row r="27" spans="1:25" ht="12.75" customHeight="1" thickBot="1">
      <c r="B27" s="314"/>
      <c r="C27" s="312"/>
      <c r="D27" s="255"/>
      <c r="E27" s="260"/>
      <c r="F27" s="315"/>
      <c r="G27" s="315"/>
      <c r="H27" s="257"/>
      <c r="I27" s="260"/>
      <c r="J27" s="255"/>
      <c r="K27" s="259"/>
      <c r="L27" s="273"/>
      <c r="N27" s="273"/>
      <c r="O27" s="273"/>
      <c r="P27" s="273"/>
      <c r="Q27" s="273"/>
      <c r="R27" s="273"/>
      <c r="S27" s="273"/>
      <c r="T27" s="273"/>
    </row>
    <row r="28" spans="1:25" ht="12.75" customHeight="1" thickBot="1">
      <c r="B28" s="314" t="s">
        <v>295</v>
      </c>
      <c r="C28" s="312">
        <f>F61</f>
        <v>1073530.829654</v>
      </c>
      <c r="D28" s="255">
        <f>C28/$C$30*$D$30</f>
        <v>8328576.8718990134</v>
      </c>
      <c r="E28" s="260">
        <f>D28/C28/10</f>
        <v>0.77581161545060806</v>
      </c>
      <c r="F28" s="315">
        <f>F$30*F$52</f>
        <v>-2406255</v>
      </c>
      <c r="G28" s="315">
        <f>C28/$C$30*$G$30</f>
        <v>422698.99793544831</v>
      </c>
      <c r="H28" s="257">
        <f>D28+F28+G28</f>
        <v>6345020.8698344622</v>
      </c>
      <c r="I28" s="260">
        <f>H28/C28/10</f>
        <v>0.59104225929677945</v>
      </c>
      <c r="J28" s="255">
        <v>0</v>
      </c>
      <c r="K28" s="261">
        <f>H28+J28</f>
        <v>6345020.8698344622</v>
      </c>
      <c r="L28" s="273"/>
      <c r="N28" s="273"/>
      <c r="O28" s="273"/>
      <c r="P28" s="273"/>
      <c r="Q28" s="273"/>
      <c r="R28" s="273"/>
      <c r="S28" s="273"/>
      <c r="T28" s="273"/>
    </row>
    <row r="29" spans="1:25" ht="12.75" customHeight="1" thickBot="1">
      <c r="B29" s="314"/>
      <c r="C29" s="312"/>
      <c r="D29" s="255"/>
      <c r="E29" s="260"/>
      <c r="F29" s="315"/>
      <c r="G29" s="315"/>
      <c r="H29" s="257"/>
      <c r="I29" s="260"/>
      <c r="J29" s="255"/>
      <c r="K29" s="259"/>
      <c r="L29" s="273"/>
      <c r="N29" s="273"/>
      <c r="O29" s="273"/>
      <c r="P29" s="273"/>
      <c r="Q29" s="273"/>
      <c r="R29" s="273"/>
      <c r="S29" s="273"/>
      <c r="T29" s="273"/>
    </row>
    <row r="30" spans="1:25" ht="12.75" customHeight="1" thickBot="1">
      <c r="B30" s="318" t="s">
        <v>296</v>
      </c>
      <c r="C30" s="319">
        <f>C24+C26+C28</f>
        <v>9005794.5264739506</v>
      </c>
      <c r="D30" s="262">
        <f>D16</f>
        <v>69868000</v>
      </c>
      <c r="E30" s="263">
        <f>D30/C30/10</f>
        <v>0.77581161545060806</v>
      </c>
      <c r="F30" s="332">
        <f>F16</f>
        <v>-8443000</v>
      </c>
      <c r="G30" s="332">
        <f>G16</f>
        <v>3546000</v>
      </c>
      <c r="H30" s="264">
        <f>D30+F30+G30</f>
        <v>64971000</v>
      </c>
      <c r="I30" s="263">
        <f>H30/C30/10</f>
        <v>0.7214355136463253</v>
      </c>
      <c r="J30" s="262">
        <f>SUM(J24:J28)</f>
        <v>0</v>
      </c>
      <c r="K30" s="261">
        <f>SUM(K24:K28)</f>
        <v>64970999.999999993</v>
      </c>
      <c r="L30" s="273"/>
      <c r="N30" s="273"/>
      <c r="O30" s="273"/>
      <c r="P30" s="273"/>
      <c r="Q30" s="273"/>
      <c r="R30" s="273"/>
      <c r="S30" s="273"/>
      <c r="T30" s="273"/>
    </row>
    <row r="31" spans="1:25" ht="12.75" customHeight="1">
      <c r="A31" s="273"/>
      <c r="B31" s="322" t="s">
        <v>147</v>
      </c>
      <c r="C31" s="323"/>
      <c r="D31" s="324">
        <f>SUM(D24:D28)</f>
        <v>69867999.999999985</v>
      </c>
      <c r="E31" s="324"/>
      <c r="F31" s="325">
        <f>SUM(F24:F28)</f>
        <v>-8443000</v>
      </c>
      <c r="G31" s="325">
        <f>SUM(G24:G28)</f>
        <v>3546000</v>
      </c>
      <c r="H31" s="324">
        <f>SUM(H24:H28)</f>
        <v>64970999.999999993</v>
      </c>
      <c r="I31" s="324"/>
      <c r="J31" s="324"/>
      <c r="K31" s="324"/>
      <c r="L31" s="273"/>
      <c r="M31" s="273"/>
      <c r="N31" s="273"/>
      <c r="O31" s="273"/>
      <c r="P31" s="273"/>
      <c r="Q31" s="273"/>
      <c r="R31" s="273"/>
      <c r="S31" s="273"/>
      <c r="T31" s="273"/>
    </row>
    <row r="32" spans="1:25" ht="12.75" customHeight="1">
      <c r="A32" s="273"/>
      <c r="B32" s="322"/>
      <c r="C32" s="323"/>
      <c r="D32" s="324"/>
      <c r="E32" s="324"/>
      <c r="F32" s="324"/>
      <c r="G32" s="325"/>
      <c r="H32" s="324"/>
      <c r="I32" s="324"/>
      <c r="J32" s="324"/>
      <c r="K32" s="324"/>
      <c r="L32" s="273"/>
      <c r="M32" s="273"/>
      <c r="N32" s="273"/>
      <c r="O32" s="273"/>
      <c r="P32" s="273"/>
      <c r="Q32" s="273"/>
      <c r="R32" s="273"/>
      <c r="S32" s="273"/>
      <c r="T32" s="273"/>
    </row>
    <row r="33" spans="1:23" s="282" customFormat="1" ht="12.75" customHeight="1">
      <c r="A33" s="333" t="s">
        <v>327</v>
      </c>
      <c r="B33" s="277"/>
      <c r="C33" s="278"/>
      <c r="D33" s="279"/>
      <c r="E33" s="279"/>
      <c r="F33" s="280"/>
      <c r="G33" s="326"/>
      <c r="H33" s="279"/>
      <c r="I33" s="277"/>
      <c r="J33" s="281"/>
      <c r="K33" s="279"/>
      <c r="L33" s="273"/>
      <c r="M33" s="273"/>
      <c r="N33" s="273"/>
      <c r="O33" s="273"/>
      <c r="P33" s="273"/>
      <c r="Q33" s="273"/>
      <c r="R33" s="273"/>
      <c r="S33" s="273"/>
      <c r="T33" s="273"/>
      <c r="U33" s="274"/>
      <c r="V33" s="274"/>
      <c r="W33" s="274"/>
    </row>
    <row r="34" spans="1:23" ht="12.75" customHeight="1">
      <c r="A34" s="283"/>
      <c r="B34" s="334" t="s">
        <v>298</v>
      </c>
      <c r="C34" s="285"/>
      <c r="D34" s="286" t="s">
        <v>280</v>
      </c>
      <c r="E34" s="287"/>
      <c r="F34" s="327" t="s">
        <v>281</v>
      </c>
      <c r="G34" s="328"/>
      <c r="H34" s="289"/>
      <c r="I34" s="289"/>
      <c r="J34" s="288" t="s">
        <v>282</v>
      </c>
      <c r="K34" s="290"/>
      <c r="L34" s="335" t="s">
        <v>299</v>
      </c>
      <c r="M34" s="273"/>
      <c r="N34" s="336" t="s">
        <v>300</v>
      </c>
      <c r="O34" s="273"/>
      <c r="P34" s="273"/>
      <c r="Q34" s="273"/>
      <c r="R34" s="273"/>
      <c r="S34" s="273"/>
      <c r="T34" s="273"/>
    </row>
    <row r="35" spans="1:23" ht="12.75" customHeight="1">
      <c r="A35" s="283"/>
      <c r="B35" s="294"/>
      <c r="C35" s="295" t="s">
        <v>283</v>
      </c>
      <c r="D35" s="296" t="s">
        <v>297</v>
      </c>
      <c r="E35" s="297" t="s">
        <v>285</v>
      </c>
      <c r="F35" s="329" t="s">
        <v>286</v>
      </c>
      <c r="G35" s="298" t="s">
        <v>317</v>
      </c>
      <c r="H35" s="298" t="s">
        <v>297</v>
      </c>
      <c r="I35" s="299" t="s">
        <v>285</v>
      </c>
      <c r="J35" s="337" t="s">
        <v>301</v>
      </c>
      <c r="K35" s="338"/>
      <c r="L35" s="295" t="s">
        <v>302</v>
      </c>
      <c r="M35" s="273"/>
      <c r="N35" s="339" t="s">
        <v>285</v>
      </c>
      <c r="O35" s="273"/>
      <c r="P35" s="273"/>
      <c r="Q35" s="273"/>
      <c r="R35" s="273"/>
      <c r="S35" s="273"/>
      <c r="T35" s="273"/>
    </row>
    <row r="36" spans="1:23" ht="12.75" customHeight="1">
      <c r="A36" s="283"/>
      <c r="B36" s="302" t="s">
        <v>289</v>
      </c>
      <c r="C36" s="303" t="s">
        <v>319</v>
      </c>
      <c r="D36" s="304" t="s">
        <v>320</v>
      </c>
      <c r="E36" s="305" t="s">
        <v>290</v>
      </c>
      <c r="F36" s="330" t="s">
        <v>321</v>
      </c>
      <c r="G36" s="330" t="s">
        <v>291</v>
      </c>
      <c r="H36" s="307" t="s">
        <v>292</v>
      </c>
      <c r="I36" s="305" t="s">
        <v>290</v>
      </c>
      <c r="J36" s="340" t="str">
        <f>+J8</f>
        <v>Balance 8-1-15</v>
      </c>
      <c r="K36" s="309" t="s">
        <v>292</v>
      </c>
      <c r="L36" s="303" t="s">
        <v>303</v>
      </c>
      <c r="M36" s="273"/>
      <c r="N36" s="341" t="s">
        <v>290</v>
      </c>
      <c r="O36" s="273"/>
      <c r="P36" s="273"/>
      <c r="Q36" s="273"/>
      <c r="R36" s="273"/>
      <c r="S36" s="273"/>
      <c r="T36" s="273"/>
    </row>
    <row r="37" spans="1:23" ht="12.75" customHeight="1" thickBot="1">
      <c r="A37" s="273"/>
      <c r="B37" s="311"/>
      <c r="C37" s="342"/>
      <c r="D37" s="300"/>
      <c r="E37" s="343"/>
      <c r="F37" s="344"/>
      <c r="G37" s="345"/>
      <c r="H37" s="346"/>
      <c r="I37" s="346"/>
      <c r="J37" s="347"/>
      <c r="K37" s="344"/>
      <c r="L37" s="348"/>
      <c r="M37" s="273"/>
      <c r="N37" s="349"/>
      <c r="O37" s="273"/>
      <c r="P37" s="273"/>
      <c r="Q37" s="273"/>
      <c r="R37" s="273"/>
      <c r="S37" s="273"/>
      <c r="T37" s="273"/>
    </row>
    <row r="38" spans="1:23" ht="12.75" customHeight="1" thickBot="1">
      <c r="A38" s="273"/>
      <c r="B38" s="314" t="s">
        <v>293</v>
      </c>
      <c r="C38" s="312">
        <f>(C10+C24)</f>
        <v>12045231.285928</v>
      </c>
      <c r="D38" s="255">
        <f>C38/$C$44*$D$44</f>
        <v>93448303.424120069</v>
      </c>
      <c r="E38" s="260">
        <f>D38/C38/10</f>
        <v>0.77581161545060806</v>
      </c>
      <c r="F38" s="315">
        <f>F$44*F$50</f>
        <v>-9169098</v>
      </c>
      <c r="G38" s="315">
        <f>C38/$C$44*$G$44</f>
        <v>4742767.5608566124</v>
      </c>
      <c r="H38" s="257">
        <f>D38+F38+G38</f>
        <v>89021972.984976679</v>
      </c>
      <c r="I38" s="260">
        <f>H38/C38/10</f>
        <v>0.73906404013161431</v>
      </c>
      <c r="J38" s="350">
        <f>J10+J24</f>
        <v>-1863432.0624331411</v>
      </c>
      <c r="K38" s="261">
        <f>H38+J38</f>
        <v>87158540.922543541</v>
      </c>
      <c r="L38" s="259">
        <f>K38/2</f>
        <v>43579270.46127177</v>
      </c>
      <c r="M38" s="273"/>
      <c r="N38" s="265">
        <f>K38/C38/10</f>
        <v>0.72359375136588411</v>
      </c>
      <c r="O38" s="273"/>
      <c r="P38" s="257"/>
      <c r="Q38" s="257"/>
      <c r="R38" s="273"/>
      <c r="S38" s="273"/>
      <c r="T38" s="273"/>
    </row>
    <row r="39" spans="1:23" ht="12.75" customHeight="1" thickBot="1">
      <c r="B39" s="314"/>
      <c r="C39" s="312"/>
      <c r="D39" s="255"/>
      <c r="E39" s="260"/>
      <c r="F39" s="315"/>
      <c r="G39" s="315"/>
      <c r="H39" s="257"/>
      <c r="I39" s="260"/>
      <c r="J39" s="350"/>
      <c r="K39" s="257"/>
      <c r="L39" s="348"/>
      <c r="M39" s="273"/>
      <c r="N39" s="349"/>
      <c r="O39" s="273"/>
      <c r="P39" s="273"/>
      <c r="Q39" s="273"/>
      <c r="R39" s="273"/>
      <c r="S39" s="273"/>
      <c r="T39" s="273"/>
    </row>
    <row r="40" spans="1:23" ht="12.75" customHeight="1" thickBot="1">
      <c r="B40" s="314" t="s">
        <v>294</v>
      </c>
      <c r="C40" s="312">
        <f>(C12+C26)</f>
        <v>3819296.1077119</v>
      </c>
      <c r="D40" s="255">
        <f>C40/$C$44*$D$44</f>
        <v>29630542.832081892</v>
      </c>
      <c r="E40" s="260">
        <f>D40/C40/10</f>
        <v>0.77581161545060817</v>
      </c>
      <c r="F40" s="315">
        <f>F$44*F$51</f>
        <v>-2904392</v>
      </c>
      <c r="G40" s="315">
        <f>C40/$C$44*$G$44</f>
        <v>1503834.4432724908</v>
      </c>
      <c r="H40" s="257">
        <f>D40+F40+G40</f>
        <v>28229985.275354382</v>
      </c>
      <c r="I40" s="260">
        <f>H40/C40/10</f>
        <v>0.73914104796306745</v>
      </c>
      <c r="J40" s="350">
        <f>J12+J26</f>
        <v>-396783.99000000447</v>
      </c>
      <c r="K40" s="261">
        <f>H40+J40</f>
        <v>27833201.285354376</v>
      </c>
      <c r="L40" s="259">
        <f>K40/2</f>
        <v>13916600.642677188</v>
      </c>
      <c r="M40" s="273"/>
      <c r="N40" s="265">
        <f>K40/C40/10</f>
        <v>0.72875211820193098</v>
      </c>
      <c r="O40" s="273"/>
      <c r="P40" s="257"/>
      <c r="Q40" s="257"/>
      <c r="R40" s="273"/>
      <c r="S40" s="273"/>
      <c r="T40" s="273"/>
    </row>
    <row r="41" spans="1:23" ht="12.75" customHeight="1" thickBot="1">
      <c r="B41" s="314"/>
      <c r="C41" s="312"/>
      <c r="D41" s="255"/>
      <c r="E41" s="260"/>
      <c r="F41" s="315"/>
      <c r="G41" s="315"/>
      <c r="H41" s="257"/>
      <c r="I41" s="260"/>
      <c r="J41" s="350"/>
      <c r="K41" s="257"/>
      <c r="L41" s="348"/>
      <c r="M41" s="273"/>
      <c r="N41" s="349"/>
      <c r="O41" s="273"/>
      <c r="P41" s="273"/>
      <c r="Q41" s="273"/>
      <c r="R41" s="273"/>
      <c r="S41" s="273"/>
      <c r="T41" s="273"/>
    </row>
    <row r="42" spans="1:23" ht="12.75" customHeight="1" thickBot="1">
      <c r="B42" s="314" t="s">
        <v>295</v>
      </c>
      <c r="C42" s="312">
        <f>(C14+C28)</f>
        <v>2147061.659308</v>
      </c>
      <c r="D42" s="255">
        <f>C42/$C$44*$D$44</f>
        <v>16657153.743798027</v>
      </c>
      <c r="E42" s="260">
        <f>D42/C42/10</f>
        <v>0.77581161545060806</v>
      </c>
      <c r="F42" s="315">
        <f>F$44*F$52</f>
        <v>-4812510</v>
      </c>
      <c r="G42" s="315">
        <f>C42/$C$44*$G$44</f>
        <v>845397.99587089662</v>
      </c>
      <c r="H42" s="257">
        <f>D42+F42+G42</f>
        <v>12690041.739668924</v>
      </c>
      <c r="I42" s="260">
        <f>H42/C42/10</f>
        <v>0.59104225929677945</v>
      </c>
      <c r="J42" s="350">
        <f>J14+J28</f>
        <v>3071331.3609825778</v>
      </c>
      <c r="K42" s="261">
        <f>H42+J42</f>
        <v>15761373.100651503</v>
      </c>
      <c r="L42" s="259">
        <f>K42/2</f>
        <v>7880686.5503257513</v>
      </c>
      <c r="M42" s="273"/>
      <c r="N42" s="265">
        <f>K42/C42/10</f>
        <v>0.73409038032617135</v>
      </c>
      <c r="O42" s="273"/>
      <c r="P42" s="257"/>
      <c r="Q42" s="257"/>
      <c r="R42" s="273"/>
      <c r="S42" s="273"/>
      <c r="T42" s="273"/>
    </row>
    <row r="43" spans="1:23" ht="12.75" customHeight="1" thickBot="1">
      <c r="B43" s="314"/>
      <c r="C43" s="312"/>
      <c r="D43" s="255"/>
      <c r="E43" s="260"/>
      <c r="F43" s="315"/>
      <c r="G43" s="315"/>
      <c r="H43" s="257"/>
      <c r="I43" s="260"/>
      <c r="J43" s="255"/>
      <c r="K43" s="257"/>
      <c r="L43" s="348"/>
      <c r="M43" s="273"/>
      <c r="N43" s="349"/>
      <c r="O43" s="273"/>
      <c r="P43" s="273"/>
      <c r="Q43" s="273"/>
      <c r="R43" s="273"/>
      <c r="S43" s="273"/>
      <c r="T43" s="273"/>
    </row>
    <row r="44" spans="1:23" ht="12.75" customHeight="1" thickBot="1">
      <c r="B44" s="318" t="s">
        <v>296</v>
      </c>
      <c r="C44" s="319">
        <f>C38+C40+C42</f>
        <v>18011589.052947901</v>
      </c>
      <c r="D44" s="262">
        <f>D30*2</f>
        <v>139736000</v>
      </c>
      <c r="E44" s="263">
        <f>D44/C44/10</f>
        <v>0.77581161545060806</v>
      </c>
      <c r="F44" s="332">
        <f>F30*2</f>
        <v>-16886000</v>
      </c>
      <c r="G44" s="332">
        <f>G30*2</f>
        <v>7092000</v>
      </c>
      <c r="H44" s="264">
        <f>D44+F44+G44</f>
        <v>129942000</v>
      </c>
      <c r="I44" s="263">
        <f>H44/C44/10</f>
        <v>0.7214355136463253</v>
      </c>
      <c r="J44" s="262">
        <f>SUM(J38:J42)</f>
        <v>811115.30854943208</v>
      </c>
      <c r="K44" s="261">
        <f>SUM(K38:K42)</f>
        <v>130753115.30854942</v>
      </c>
      <c r="L44" s="351">
        <f>SUM(L38:L42)</f>
        <v>65376557.65427471</v>
      </c>
      <c r="M44" s="273"/>
      <c r="N44" s="265">
        <f>K44/C44/10</f>
        <v>0.72593881041911434</v>
      </c>
      <c r="O44" s="273"/>
      <c r="P44" s="336"/>
      <c r="Q44" s="336"/>
      <c r="R44" s="273"/>
      <c r="S44" s="273"/>
      <c r="T44" s="273"/>
    </row>
    <row r="45" spans="1:23" ht="12.75" customHeight="1">
      <c r="A45" s="273"/>
      <c r="B45" s="322" t="s">
        <v>147</v>
      </c>
      <c r="C45" s="323"/>
      <c r="D45" s="324">
        <f>SUM(D38:D42)</f>
        <v>139735999.99999997</v>
      </c>
      <c r="E45" s="324"/>
      <c r="F45" s="325">
        <f>SUM(F38:F42)</f>
        <v>-16886000</v>
      </c>
      <c r="G45" s="325">
        <f>SUM(G38:G42)</f>
        <v>7092000</v>
      </c>
      <c r="H45" s="324">
        <f>SUM(H38:H42)</f>
        <v>129941999.99999999</v>
      </c>
      <c r="I45" s="324"/>
      <c r="J45" s="324"/>
      <c r="K45" s="324"/>
      <c r="L45" s="273"/>
      <c r="M45" s="273"/>
      <c r="N45" s="273"/>
      <c r="O45" s="273"/>
      <c r="P45" s="336"/>
      <c r="Q45" s="336"/>
      <c r="R45" s="273"/>
      <c r="S45" s="273"/>
      <c r="T45" s="273"/>
    </row>
    <row r="46" spans="1:23" s="357" customFormat="1" ht="12.75" customHeight="1">
      <c r="A46" s="352"/>
      <c r="B46" s="353"/>
      <c r="C46" s="354"/>
      <c r="D46" s="355"/>
      <c r="E46" s="324"/>
      <c r="F46" s="356"/>
      <c r="G46" s="324"/>
      <c r="H46" s="324"/>
      <c r="I46" s="324"/>
      <c r="J46" s="324"/>
      <c r="K46" s="324"/>
      <c r="L46" s="349"/>
      <c r="M46" s="273"/>
      <c r="N46" s="349"/>
      <c r="O46" s="349"/>
      <c r="P46" s="257"/>
      <c r="Q46" s="257"/>
      <c r="R46" s="349"/>
      <c r="S46" s="349"/>
      <c r="T46" s="349"/>
    </row>
    <row r="47" spans="1:23" s="357" customFormat="1" ht="9.9499999999999993" customHeight="1">
      <c r="A47" s="358">
        <v>-1</v>
      </c>
      <c r="B47" s="359" t="s">
        <v>328</v>
      </c>
      <c r="C47" s="323"/>
      <c r="D47" s="324"/>
      <c r="E47" s="324"/>
      <c r="F47" s="356" t="s">
        <v>304</v>
      </c>
      <c r="G47" s="324"/>
      <c r="L47" s="349"/>
      <c r="M47" s="349"/>
      <c r="N47" s="349"/>
      <c r="O47" s="349"/>
      <c r="P47" s="257"/>
      <c r="Q47" s="257"/>
      <c r="R47" s="349"/>
      <c r="S47" s="349"/>
      <c r="T47" s="349"/>
    </row>
    <row r="48" spans="1:23" s="357" customFormat="1" ht="9.9499999999999993" customHeight="1">
      <c r="A48" s="358">
        <v>-2</v>
      </c>
      <c r="B48" s="359" t="s">
        <v>329</v>
      </c>
      <c r="C48" s="323"/>
      <c r="D48" s="324"/>
      <c r="E48" s="324"/>
      <c r="F48" s="356" t="s">
        <v>305</v>
      </c>
      <c r="G48" s="324"/>
      <c r="H48" s="360"/>
      <c r="I48" s="361"/>
      <c r="J48" s="362"/>
      <c r="L48" s="349"/>
      <c r="M48" s="349"/>
      <c r="N48" s="349"/>
      <c r="O48" s="349"/>
      <c r="P48" s="257"/>
      <c r="Q48" s="257"/>
      <c r="R48" s="349"/>
      <c r="S48" s="349"/>
      <c r="T48" s="349"/>
    </row>
    <row r="49" spans="1:20" s="357" customFormat="1" ht="9.9499999999999993" customHeight="1">
      <c r="A49" s="358">
        <v>-3</v>
      </c>
      <c r="B49" s="359" t="s">
        <v>329</v>
      </c>
      <c r="C49" s="323"/>
      <c r="D49" s="324"/>
      <c r="E49" s="324"/>
      <c r="F49" s="363" t="s">
        <v>306</v>
      </c>
      <c r="G49" s="324"/>
      <c r="H49" s="360"/>
      <c r="I49" s="361"/>
      <c r="J49" s="362"/>
      <c r="L49" s="349"/>
      <c r="M49" s="349"/>
      <c r="N49" s="349"/>
      <c r="O49" s="349"/>
      <c r="P49" s="257"/>
      <c r="Q49" s="257"/>
      <c r="R49" s="349"/>
      <c r="S49" s="349"/>
      <c r="T49" s="349"/>
    </row>
    <row r="50" spans="1:20" s="357" customFormat="1" ht="9.9499999999999993" customHeight="1">
      <c r="A50" s="358">
        <v>-4</v>
      </c>
      <c r="B50" s="359" t="s">
        <v>307</v>
      </c>
      <c r="E50" s="359" t="s">
        <v>293</v>
      </c>
      <c r="F50" s="364">
        <v>0.54300000000000004</v>
      </c>
      <c r="G50" s="324"/>
      <c r="H50" s="360"/>
      <c r="I50" s="361"/>
      <c r="J50" s="362"/>
      <c r="L50" s="349"/>
      <c r="M50" s="349"/>
      <c r="N50" s="349"/>
      <c r="O50" s="349"/>
      <c r="P50" s="257"/>
      <c r="Q50" s="257"/>
      <c r="R50" s="349"/>
      <c r="S50" s="349"/>
      <c r="T50" s="349"/>
    </row>
    <row r="51" spans="1:20" s="357" customFormat="1" ht="9.9499999999999993" customHeight="1">
      <c r="B51" s="365" t="s">
        <v>308</v>
      </c>
      <c r="E51" s="359" t="s">
        <v>294</v>
      </c>
      <c r="F51" s="364">
        <v>0.17199999999999999</v>
      </c>
      <c r="G51" s="324"/>
      <c r="H51" s="360"/>
      <c r="I51" s="361"/>
      <c r="J51" s="362"/>
      <c r="L51" s="349"/>
      <c r="M51" s="349"/>
      <c r="N51" s="349"/>
      <c r="O51" s="349"/>
      <c r="P51" s="349"/>
      <c r="Q51" s="349"/>
      <c r="R51" s="349"/>
      <c r="S51" s="366"/>
      <c r="T51" s="367"/>
    </row>
    <row r="52" spans="1:20" s="357" customFormat="1" ht="9.9499999999999993" customHeight="1">
      <c r="B52" s="365" t="s">
        <v>309</v>
      </c>
      <c r="E52" s="359" t="s">
        <v>295</v>
      </c>
      <c r="F52" s="364">
        <v>0.28499999999999998</v>
      </c>
      <c r="G52" s="324"/>
      <c r="H52" s="360"/>
      <c r="I52" s="361"/>
      <c r="J52" s="362"/>
      <c r="L52" s="349"/>
      <c r="M52" s="349"/>
      <c r="N52" s="349"/>
      <c r="O52" s="349"/>
      <c r="P52" s="368"/>
      <c r="Q52" s="368"/>
      <c r="R52" s="369"/>
      <c r="S52" s="366"/>
      <c r="T52" s="367"/>
    </row>
    <row r="53" spans="1:20" s="357" customFormat="1" ht="12.75" customHeight="1">
      <c r="A53" s="360"/>
      <c r="B53" s="360"/>
      <c r="E53" s="360"/>
      <c r="F53" s="360"/>
      <c r="G53" s="324"/>
      <c r="H53" s="360"/>
      <c r="I53" s="361"/>
      <c r="J53" s="362"/>
      <c r="L53" s="349"/>
      <c r="M53" s="349"/>
      <c r="N53" s="349"/>
      <c r="O53" s="349"/>
      <c r="P53" s="349"/>
      <c r="Q53" s="349"/>
      <c r="R53" s="349"/>
      <c r="S53" s="366"/>
      <c r="T53" s="367"/>
    </row>
    <row r="54" spans="1:20" s="357" customFormat="1" ht="12.75" customHeight="1">
      <c r="A54" s="360"/>
      <c r="B54" s="360"/>
      <c r="E54" s="360"/>
      <c r="F54" s="360"/>
      <c r="G54" s="323"/>
      <c r="K54" s="349"/>
      <c r="L54" s="349"/>
      <c r="M54" s="349"/>
      <c r="N54" s="349"/>
      <c r="O54" s="349"/>
      <c r="P54" s="368"/>
      <c r="Q54" s="368"/>
      <c r="R54" s="369"/>
      <c r="S54" s="366"/>
      <c r="T54" s="367"/>
    </row>
    <row r="55" spans="1:20" s="357" customFormat="1" ht="12.75" customHeight="1">
      <c r="B55" s="360"/>
      <c r="C55" s="384" t="s">
        <v>310</v>
      </c>
      <c r="D55" s="384"/>
      <c r="E55" s="356" t="s">
        <v>311</v>
      </c>
      <c r="F55" s="356" t="s">
        <v>300</v>
      </c>
      <c r="G55" s="356" t="s">
        <v>289</v>
      </c>
      <c r="J55" s="362"/>
      <c r="L55" s="349"/>
      <c r="M55" s="349"/>
      <c r="N55" s="349"/>
      <c r="O55" s="349"/>
      <c r="P55" s="349"/>
      <c r="Q55" s="349"/>
      <c r="R55" s="349"/>
      <c r="S55" s="366"/>
      <c r="T55" s="367"/>
    </row>
    <row r="56" spans="1:20" s="357" customFormat="1" ht="12.75" customHeight="1">
      <c r="C56" s="370" t="s">
        <v>330</v>
      </c>
      <c r="D56" s="370" t="s">
        <v>331</v>
      </c>
      <c r="E56" s="356" t="s">
        <v>312</v>
      </c>
      <c r="F56" s="356" t="s">
        <v>312</v>
      </c>
      <c r="G56" s="356" t="s">
        <v>313</v>
      </c>
      <c r="K56" s="349"/>
      <c r="L56" s="349"/>
      <c r="M56" s="349"/>
      <c r="N56" s="349"/>
      <c r="O56" s="349"/>
      <c r="P56" s="368"/>
      <c r="Q56" s="368"/>
      <c r="R56" s="369"/>
      <c r="S56" s="366"/>
      <c r="T56" s="366"/>
    </row>
    <row r="57" spans="1:20" s="357" customFormat="1" ht="12.75" customHeight="1">
      <c r="B57" s="371" t="s">
        <v>293</v>
      </c>
      <c r="C57" s="372">
        <v>6159363.9768876005</v>
      </c>
      <c r="D57" s="372">
        <v>5885867.3090404002</v>
      </c>
      <c r="E57" s="373"/>
      <c r="F57" s="373">
        <f>AVERAGE(C57:D57)</f>
        <v>6022615.6429639999</v>
      </c>
      <c r="G57" s="266">
        <f>F57/$F$63</f>
        <v>0.66874895105141174</v>
      </c>
      <c r="H57" s="274"/>
      <c r="J57" s="362"/>
      <c r="L57" s="349"/>
      <c r="M57" s="349"/>
      <c r="N57" s="349"/>
      <c r="O57" s="349"/>
      <c r="P57" s="349"/>
      <c r="Q57" s="349"/>
      <c r="R57" s="349"/>
      <c r="S57" s="366"/>
      <c r="T57" s="349"/>
    </row>
    <row r="58" spans="1:20" s="357" customFormat="1" ht="12.75" customHeight="1">
      <c r="B58" s="374"/>
      <c r="C58" s="375"/>
      <c r="D58" s="375"/>
      <c r="E58" s="376"/>
      <c r="F58" s="377"/>
      <c r="G58" s="377"/>
      <c r="H58" s="274"/>
      <c r="I58" s="378"/>
      <c r="K58" s="349"/>
      <c r="L58" s="349"/>
      <c r="M58" s="349"/>
      <c r="N58" s="349"/>
      <c r="O58" s="349"/>
      <c r="P58" s="349"/>
      <c r="Q58" s="349"/>
      <c r="R58" s="349"/>
      <c r="S58" s="349"/>
      <c r="T58" s="349"/>
    </row>
    <row r="59" spans="1:20" s="357" customFormat="1" ht="12.75" customHeight="1">
      <c r="B59" s="379" t="s">
        <v>294</v>
      </c>
      <c r="C59" s="375">
        <v>1925641.0870439</v>
      </c>
      <c r="D59" s="375">
        <v>1893655.0206679998</v>
      </c>
      <c r="E59" s="376"/>
      <c r="F59" s="376">
        <f>AVERAGE(C59:D59)</f>
        <v>1909648.05385595</v>
      </c>
      <c r="G59" s="267">
        <f>F59/$F$63</f>
        <v>0.21204659380604776</v>
      </c>
      <c r="H59" s="274"/>
      <c r="I59" s="378"/>
      <c r="J59" s="362"/>
      <c r="L59" s="349"/>
      <c r="M59" s="349"/>
      <c r="N59" s="349"/>
      <c r="O59" s="349"/>
      <c r="P59" s="349"/>
      <c r="Q59" s="349"/>
      <c r="R59" s="349"/>
      <c r="S59" s="349"/>
      <c r="T59" s="349"/>
    </row>
    <row r="60" spans="1:20" s="357" customFormat="1" ht="12.75" customHeight="1">
      <c r="B60" s="374"/>
      <c r="C60" s="375"/>
      <c r="D60" s="375"/>
      <c r="E60" s="376"/>
      <c r="F60" s="376"/>
      <c r="G60" s="377"/>
      <c r="H60" s="274"/>
      <c r="I60" s="378"/>
      <c r="K60" s="349"/>
      <c r="L60" s="349"/>
      <c r="M60" s="349"/>
      <c r="N60" s="349"/>
      <c r="O60" s="349"/>
      <c r="P60" s="349"/>
      <c r="Q60" s="349"/>
      <c r="R60" s="349"/>
      <c r="S60" s="349"/>
      <c r="T60" s="349"/>
    </row>
    <row r="61" spans="1:20" s="357" customFormat="1" ht="12.75" customHeight="1">
      <c r="B61" s="379" t="s">
        <v>295</v>
      </c>
      <c r="C61" s="375">
        <v>1100086.2776351999</v>
      </c>
      <c r="D61" s="375">
        <v>1046975.3816727999</v>
      </c>
      <c r="E61" s="376"/>
      <c r="F61" s="376">
        <f>AVERAGE(C61:D61)</f>
        <v>1073530.829654</v>
      </c>
      <c r="G61" s="267">
        <f>F61/$F$63</f>
        <v>0.11920445514254041</v>
      </c>
      <c r="H61" s="274"/>
      <c r="I61" s="378"/>
      <c r="J61" s="362"/>
      <c r="L61" s="349"/>
      <c r="M61" s="349"/>
      <c r="N61" s="349"/>
      <c r="O61" s="349"/>
      <c r="P61" s="349"/>
      <c r="Q61" s="349"/>
      <c r="R61" s="349"/>
      <c r="S61" s="349"/>
      <c r="T61" s="349"/>
    </row>
    <row r="62" spans="1:20" s="357" customFormat="1" ht="12.75" customHeight="1">
      <c r="B62" s="374"/>
      <c r="C62" s="376"/>
      <c r="D62" s="376"/>
      <c r="E62" s="376"/>
      <c r="F62" s="377"/>
      <c r="G62" s="377"/>
      <c r="H62" s="274"/>
      <c r="I62" s="378"/>
      <c r="K62" s="349"/>
      <c r="L62" s="349"/>
      <c r="M62" s="349"/>
      <c r="N62" s="349"/>
      <c r="O62" s="349"/>
      <c r="P62" s="349"/>
      <c r="Q62" s="349"/>
      <c r="R62" s="349"/>
      <c r="S62" s="349"/>
      <c r="T62" s="349"/>
    </row>
    <row r="63" spans="1:20" s="357" customFormat="1" ht="12.75" customHeight="1">
      <c r="B63" s="380" t="s">
        <v>296</v>
      </c>
      <c r="C63" s="381">
        <f>C57+C59+C61</f>
        <v>9185091.3415667005</v>
      </c>
      <c r="D63" s="381">
        <f>D57+D59+D61</f>
        <v>8826497.7113812007</v>
      </c>
      <c r="E63" s="381"/>
      <c r="F63" s="381">
        <f>SUM(F57:F61)</f>
        <v>9005794.5264739506</v>
      </c>
      <c r="G63" s="268">
        <f>F63/$F$63</f>
        <v>1</v>
      </c>
      <c r="H63" s="274"/>
      <c r="J63" s="362"/>
      <c r="L63" s="349"/>
      <c r="M63" s="349"/>
      <c r="N63" s="349"/>
      <c r="O63" s="349"/>
      <c r="P63" s="349"/>
      <c r="Q63" s="349"/>
      <c r="R63" s="349"/>
      <c r="S63" s="349"/>
      <c r="T63" s="349"/>
    </row>
    <row r="64" spans="1:20" s="357" customFormat="1" ht="12.75" customHeight="1">
      <c r="C64" s="357" t="s">
        <v>332</v>
      </c>
      <c r="D64" s="357" t="s">
        <v>332</v>
      </c>
      <c r="H64" s="274"/>
      <c r="I64" s="378"/>
      <c r="K64" s="349"/>
      <c r="L64" s="349"/>
      <c r="M64" s="349"/>
      <c r="N64" s="349"/>
      <c r="O64" s="349"/>
      <c r="P64" s="349"/>
      <c r="Q64" s="349"/>
      <c r="R64" s="349"/>
      <c r="S64" s="349"/>
      <c r="T64" s="349"/>
    </row>
    <row r="65" spans="2:13" ht="12.75" customHeight="1">
      <c r="B65" s="357"/>
      <c r="C65" s="382"/>
      <c r="D65" s="382"/>
      <c r="E65" s="383"/>
      <c r="F65" s="383"/>
      <c r="G65" s="361"/>
      <c r="I65" s="378"/>
      <c r="J65" s="362"/>
      <c r="K65" s="357"/>
      <c r="L65" s="349"/>
      <c r="M65" s="349"/>
    </row>
    <row r="66" spans="2:13">
      <c r="G66" s="361"/>
    </row>
  </sheetData>
  <mergeCells count="1">
    <mergeCell ref="C55:D55"/>
  </mergeCells>
  <printOptions horizontalCentered="1"/>
  <pageMargins left="0" right="0" top="0.5" bottom="0" header="0" footer="0"/>
  <pageSetup scale="68" orientation="landscape" r:id="rId1"/>
  <headerFooter alignWithMargins="0">
    <oddFooter>&amp;CPage 1 of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Normal="100" workbookViewId="0">
      <selection activeCell="G22" sqref="G22"/>
    </sheetView>
  </sheetViews>
  <sheetFormatPr defaultRowHeight="12.75"/>
  <cols>
    <col min="1" max="1" width="15.875" style="175" customWidth="1"/>
    <col min="2" max="2" width="13.5" style="175" customWidth="1"/>
    <col min="3" max="3" width="10" style="175" customWidth="1"/>
    <col min="4" max="16384" width="9" style="175"/>
  </cols>
  <sheetData>
    <row r="1" spans="1:3">
      <c r="A1" s="174" t="s">
        <v>63</v>
      </c>
    </row>
    <row r="2" spans="1:3">
      <c r="A2" s="174" t="s">
        <v>140</v>
      </c>
    </row>
    <row r="3" spans="1:3">
      <c r="A3" s="174" t="s">
        <v>141</v>
      </c>
    </row>
    <row r="4" spans="1:3">
      <c r="A4" s="174" t="s">
        <v>274</v>
      </c>
    </row>
    <row r="7" spans="1:3">
      <c r="B7" s="176" t="s">
        <v>275</v>
      </c>
    </row>
    <row r="8" spans="1:3">
      <c r="A8" s="174" t="s">
        <v>142</v>
      </c>
      <c r="B8" s="176" t="s">
        <v>120</v>
      </c>
    </row>
    <row r="9" spans="1:3">
      <c r="A9" s="177" t="s">
        <v>39</v>
      </c>
      <c r="B9" s="178">
        <f>'Attachment D'!O16</f>
        <v>1572834.8567787264</v>
      </c>
    </row>
    <row r="10" spans="1:3">
      <c r="A10" s="177" t="s">
        <v>148</v>
      </c>
      <c r="B10" s="178">
        <f>'Attachment D'!O22+'Attachment D'!O24+'Attachment D'!O25</f>
        <v>287290.78629736137</v>
      </c>
    </row>
    <row r="11" spans="1:3" ht="13.5" thickBot="1">
      <c r="A11" s="179" t="s">
        <v>143</v>
      </c>
      <c r="B11" s="185">
        <f>'Attachment D'!O35</f>
        <v>1642.1189999999999</v>
      </c>
    </row>
    <row r="12" spans="1:3" ht="13.5" thickTop="1">
      <c r="A12" s="177" t="s">
        <v>76</v>
      </c>
      <c r="B12" s="178">
        <f>SUM(B9:B11)</f>
        <v>1861767.7620760878</v>
      </c>
    </row>
    <row r="14" spans="1:3">
      <c r="A14" s="174" t="s">
        <v>144</v>
      </c>
      <c r="B14" s="180">
        <f>'Attachment D'!U51</f>
        <v>-13916601</v>
      </c>
    </row>
    <row r="16" spans="1:3">
      <c r="A16" s="181" t="s">
        <v>145</v>
      </c>
      <c r="B16" s="182">
        <f>ROUND(B14/B12/10,3)</f>
        <v>-0.747</v>
      </c>
      <c r="C16" s="183" t="s">
        <v>146</v>
      </c>
    </row>
    <row r="19" spans="1:2">
      <c r="A19" s="174" t="s">
        <v>147</v>
      </c>
      <c r="B19" s="180">
        <f>B16/100*B12*1000</f>
        <v>-13907405.182708375</v>
      </c>
    </row>
    <row r="20" spans="1:2">
      <c r="B20" s="180">
        <f>B19-B14</f>
        <v>9195.8172916248441</v>
      </c>
    </row>
    <row r="21" spans="1:2">
      <c r="B21" s="184">
        <f>B20/B14</f>
        <v>-6.607804083500593E-4</v>
      </c>
    </row>
  </sheetData>
  <pageMargins left="0.75" right="0.75" top="1" bottom="1" header="0.5" footer="0.5"/>
  <pageSetup orientation="portrait" horizontalDpi="1200" verticalDpi="1200" r:id="rId1"/>
  <headerFooter alignWithMargins="0">
    <oddFooter>&amp;CPage 1 of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49"/>
  <sheetViews>
    <sheetView view="pageBreakPreview" zoomScale="75" zoomScaleNormal="100" workbookViewId="0">
      <selection activeCell="T37" sqref="T37"/>
    </sheetView>
  </sheetViews>
  <sheetFormatPr defaultColWidth="8.5" defaultRowHeight="15"/>
  <cols>
    <col min="1" max="1" width="4.625" style="83" customWidth="1"/>
    <col min="2" max="2" width="8.5" style="83"/>
    <col min="3" max="3" width="2.75" style="83" customWidth="1"/>
    <col min="4" max="4" width="11.375" style="83" bestFit="1" customWidth="1"/>
    <col min="5" max="5" width="4" style="83" customWidth="1"/>
    <col min="6" max="6" width="12.875" style="83" bestFit="1" customWidth="1"/>
    <col min="7" max="7" width="3" style="83" customWidth="1"/>
    <col min="8" max="8" width="9.25" style="83" hidden="1" customWidth="1"/>
    <col min="9" max="9" width="2.875" style="83" hidden="1" customWidth="1"/>
    <col min="10" max="10" width="7.25" style="83" hidden="1" customWidth="1"/>
    <col min="11" max="11" width="3.375" style="83" hidden="1" customWidth="1"/>
    <col min="12" max="12" width="7.25" style="83" bestFit="1" customWidth="1"/>
    <col min="13" max="13" width="1.875" style="83" customWidth="1"/>
    <col min="14" max="14" width="9.75" style="83" customWidth="1"/>
    <col min="15" max="15" width="2.125" style="83" customWidth="1"/>
    <col min="16" max="16" width="5.75" style="83" customWidth="1"/>
    <col min="17" max="17" width="14.25" style="83" customWidth="1"/>
    <col min="18" max="18" width="15.125" style="83" customWidth="1"/>
    <col min="19" max="19" width="18.625" style="83" customWidth="1"/>
    <col min="20" max="20" width="9.125" style="83" customWidth="1"/>
    <col min="21" max="21" width="8.25" style="83" customWidth="1"/>
    <col min="22" max="22" width="1.625" style="83" customWidth="1"/>
    <col min="23" max="16384" width="8.5" style="83"/>
  </cols>
  <sheetData>
    <row r="2" spans="1:25" ht="18.75"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6" t="s">
        <v>0</v>
      </c>
    </row>
    <row r="3" spans="1:25" ht="18.75">
      <c r="B3" s="385" t="s">
        <v>63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87"/>
    </row>
    <row r="4" spans="1:25" ht="18.75">
      <c r="A4" s="88"/>
      <c r="B4" s="385" t="s">
        <v>64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87"/>
    </row>
    <row r="5" spans="1:25" ht="18.75">
      <c r="A5" s="88"/>
      <c r="B5" s="385" t="s">
        <v>65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87"/>
    </row>
    <row r="6" spans="1:25" ht="18.75">
      <c r="B6" s="87" t="s">
        <v>0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8" spans="1:25" ht="18.75" thickBot="1">
      <c r="D8" s="89" t="s">
        <v>66</v>
      </c>
      <c r="E8" s="89"/>
      <c r="F8" s="89"/>
      <c r="I8" s="90"/>
      <c r="J8" s="90"/>
      <c r="K8" s="90"/>
      <c r="L8" s="91"/>
      <c r="O8" s="92"/>
      <c r="P8" s="88"/>
      <c r="Q8" s="88"/>
      <c r="R8" s="92"/>
    </row>
    <row r="9" spans="1:25">
      <c r="D9" s="93" t="s">
        <v>67</v>
      </c>
      <c r="E9" s="94"/>
      <c r="F9" s="94" t="s">
        <v>7</v>
      </c>
      <c r="H9" s="95" t="s">
        <v>68</v>
      </c>
      <c r="J9" s="95" t="s">
        <v>69</v>
      </c>
      <c r="L9" s="386" t="s">
        <v>70</v>
      </c>
      <c r="M9" s="386"/>
      <c r="N9" s="386"/>
      <c r="P9" s="94"/>
      <c r="Q9" s="94"/>
      <c r="R9" s="96" t="s">
        <v>71</v>
      </c>
      <c r="S9" s="97"/>
      <c r="T9" s="96" t="s">
        <v>72</v>
      </c>
      <c r="U9" s="97"/>
    </row>
    <row r="10" spans="1:25" ht="18">
      <c r="B10" s="98" t="s">
        <v>26</v>
      </c>
      <c r="D10" s="99" t="s">
        <v>73</v>
      </c>
      <c r="E10" s="100" t="s">
        <v>0</v>
      </c>
      <c r="F10" s="99" t="s">
        <v>73</v>
      </c>
      <c r="G10" s="100" t="s">
        <v>0</v>
      </c>
      <c r="H10" s="98" t="s">
        <v>74</v>
      </c>
      <c r="I10" s="100"/>
      <c r="J10" s="98" t="s">
        <v>75</v>
      </c>
      <c r="K10" s="100"/>
      <c r="L10" s="98" t="s">
        <v>76</v>
      </c>
      <c r="N10" s="99" t="s">
        <v>77</v>
      </c>
      <c r="R10" s="101" t="s">
        <v>78</v>
      </c>
      <c r="S10" s="102">
        <v>7.75</v>
      </c>
      <c r="T10" s="101"/>
      <c r="U10" s="102">
        <f>S10</f>
        <v>7.75</v>
      </c>
    </row>
    <row r="11" spans="1:25">
      <c r="B11" s="103"/>
      <c r="D11" s="103"/>
      <c r="E11" s="103"/>
      <c r="F11" s="103"/>
      <c r="R11" s="101" t="s">
        <v>79</v>
      </c>
      <c r="S11" s="104">
        <f>6.425+U13+U16+U21+U22</f>
        <v>6.3570000000000002</v>
      </c>
      <c r="T11" s="101"/>
      <c r="U11" s="105">
        <f>S11</f>
        <v>6.3570000000000002</v>
      </c>
      <c r="V11" s="106"/>
    </row>
    <row r="12" spans="1:25" ht="15.75" thickBot="1">
      <c r="B12" s="107">
        <v>50</v>
      </c>
      <c r="D12" s="108">
        <f>ROUND((($B12*S$11/100+S$10))+((B12*$U$16)/100),2)+U18</f>
        <v>11.46</v>
      </c>
      <c r="F12" s="108">
        <f>ROUND((($B12*U$11/100+U$10))+((B12*$U$17)/100),2)+$U$18</f>
        <v>11.3</v>
      </c>
      <c r="H12" s="108">
        <v>0.25</v>
      </c>
      <c r="J12" s="109">
        <f>F12-D12-H12</f>
        <v>-0.41000000000000014</v>
      </c>
      <c r="L12" s="109">
        <f>F12-D12</f>
        <v>-0.16000000000000014</v>
      </c>
      <c r="N12" s="110">
        <f>(F12-D12)/D12</f>
        <v>-1.3961605584642245E-2</v>
      </c>
      <c r="R12" s="111" t="s">
        <v>69</v>
      </c>
      <c r="S12" s="112">
        <f>10.166+U14+U21+U22</f>
        <v>10.520000000000001</v>
      </c>
      <c r="T12" s="111"/>
      <c r="U12" s="112">
        <f>S12</f>
        <v>10.520000000000001</v>
      </c>
    </row>
    <row r="13" spans="1:25">
      <c r="B13" s="107">
        <v>100</v>
      </c>
      <c r="D13" s="108">
        <f>ROUND((($B13*S$11/100+S$10))+((B13*$U$16)/100),2)+U18</f>
        <v>14.43</v>
      </c>
      <c r="F13" s="108">
        <f>ROUND((($B13*U$11/100+U$10))+((B13*$U$17)/100),2)+$U$18</f>
        <v>14.1</v>
      </c>
      <c r="H13" s="108">
        <v>0.25</v>
      </c>
      <c r="J13" s="109">
        <f t="shared" ref="J13:J35" si="0">F13-D13-H13</f>
        <v>-0.58000000000000007</v>
      </c>
      <c r="L13" s="109">
        <f>F13-D13</f>
        <v>-0.33000000000000007</v>
      </c>
      <c r="N13" s="110">
        <f>(F13-D13)/D13</f>
        <v>-2.2869022869022874E-2</v>
      </c>
      <c r="R13" s="113"/>
      <c r="S13" s="113" t="s">
        <v>80</v>
      </c>
      <c r="T13" s="113"/>
      <c r="U13" s="114">
        <v>0.29799999999999999</v>
      </c>
      <c r="Y13" s="109"/>
    </row>
    <row r="14" spans="1:25">
      <c r="B14" s="107">
        <v>150</v>
      </c>
      <c r="D14" s="108">
        <f>ROUND((($B14*S$11/100+S$10))+((B14*$U$16)/100),2)+U18</f>
        <v>17.389999999999997</v>
      </c>
      <c r="F14" s="108">
        <f>ROUND((($B14*U$11/100+U$10))+((B14*$U$17)/100),2)+$U$18</f>
        <v>16.91</v>
      </c>
      <c r="H14" s="108">
        <v>0.25</v>
      </c>
      <c r="J14" s="109">
        <f t="shared" si="0"/>
        <v>-0.72999999999999687</v>
      </c>
      <c r="L14" s="109">
        <f>F14-D14</f>
        <v>-0.47999999999999687</v>
      </c>
      <c r="N14" s="110">
        <f>(F14-D14)/D14</f>
        <v>-2.760207015526147E-2</v>
      </c>
      <c r="R14" s="113"/>
      <c r="S14" s="113"/>
      <c r="T14" s="113"/>
      <c r="U14" s="114">
        <v>0.29799999999999999</v>
      </c>
      <c r="V14" s="115"/>
      <c r="Y14" s="109"/>
    </row>
    <row r="15" spans="1:25">
      <c r="D15" s="116"/>
      <c r="F15" s="108"/>
      <c r="R15" s="113"/>
      <c r="S15" s="113"/>
      <c r="T15" s="113"/>
      <c r="U15" s="117"/>
      <c r="Y15" s="109"/>
    </row>
    <row r="16" spans="1:25">
      <c r="B16" s="107">
        <v>200</v>
      </c>
      <c r="D16" s="108">
        <f>ROUND((($B16*S$11/100+S$10))+((B16*$U$16)/100),2)+U18</f>
        <v>20.36</v>
      </c>
      <c r="F16" s="108">
        <f>ROUND((($B16*U$11/100+U$10))+((B16*$U$17)/100),2)+$U$18</f>
        <v>19.709999999999997</v>
      </c>
      <c r="H16" s="108">
        <v>0.25</v>
      </c>
      <c r="J16" s="109">
        <f t="shared" si="0"/>
        <v>-0.90000000000000213</v>
      </c>
      <c r="L16" s="109">
        <f>F16-D16</f>
        <v>-0.65000000000000213</v>
      </c>
      <c r="N16" s="110">
        <f>(F16-D16)/D16</f>
        <v>-3.1925343811394995E-2</v>
      </c>
      <c r="R16" s="113"/>
      <c r="S16" s="113" t="s">
        <v>81</v>
      </c>
      <c r="T16" s="113"/>
      <c r="U16" s="114">
        <v>-0.42199999999999999</v>
      </c>
      <c r="W16" s="83" t="s">
        <v>0</v>
      </c>
      <c r="Y16" s="109"/>
    </row>
    <row r="17" spans="2:25">
      <c r="B17" s="107">
        <v>300</v>
      </c>
      <c r="D17" s="108">
        <f>ROUND((($B17*S$11/100+S$10))+((B17*$U$16)/100),2)+U18</f>
        <v>26.299999999999997</v>
      </c>
      <c r="F17" s="108">
        <f>ROUND((($B17*U$11/100+U$10))+((B17*$U$17)/100),2)+$U$18</f>
        <v>25.319999999999997</v>
      </c>
      <c r="H17" s="108">
        <v>0.25</v>
      </c>
      <c r="J17" s="109">
        <f t="shared" si="0"/>
        <v>-1.2300000000000004</v>
      </c>
      <c r="L17" s="109">
        <f>F17-D17</f>
        <v>-0.98000000000000043</v>
      </c>
      <c r="N17" s="110">
        <f>(F17-D17)/D17</f>
        <v>-3.7262357414448687E-2</v>
      </c>
      <c r="R17" s="113"/>
      <c r="S17" s="83" t="s">
        <v>139</v>
      </c>
      <c r="T17" s="83" t="s">
        <v>0</v>
      </c>
      <c r="U17" s="187">
        <f>'Calculation of BPA Credit OCT15'!B16</f>
        <v>-0.747</v>
      </c>
      <c r="Y17" s="109"/>
    </row>
    <row r="18" spans="2:25">
      <c r="B18" s="107">
        <v>400</v>
      </c>
      <c r="D18" s="108">
        <f>ROUND((($B18*S$11/100+S$10))+((B18*$U$16)/100),2)+U18</f>
        <v>32.229999999999997</v>
      </c>
      <c r="F18" s="108">
        <f>ROUND((($B18*U$11/100+U$10))+((B18*$U$17)/100),2)+$U$18</f>
        <v>30.93</v>
      </c>
      <c r="H18" s="108">
        <v>0.25</v>
      </c>
      <c r="J18" s="109">
        <f t="shared" si="0"/>
        <v>-1.5499999999999972</v>
      </c>
      <c r="L18" s="109">
        <f>F18-D18</f>
        <v>-1.2999999999999972</v>
      </c>
      <c r="N18" s="110">
        <f>(F18-D18)/D18</f>
        <v>-4.0335091529630697E-2</v>
      </c>
      <c r="S18" s="83" t="s">
        <v>82</v>
      </c>
      <c r="U18" s="109">
        <v>0.74</v>
      </c>
      <c r="V18" s="83" t="s">
        <v>0</v>
      </c>
      <c r="Y18" s="109"/>
    </row>
    <row r="19" spans="2:25">
      <c r="B19" s="107">
        <v>500</v>
      </c>
      <c r="D19" s="108">
        <f>ROUND((($B19*S$11/100+S$10))+((B19*$U$16)/100),2)+U18</f>
        <v>38.17</v>
      </c>
      <c r="F19" s="108">
        <f>ROUND((($B19*U$11/100+U$10))+((B19*$U$17)/100),2)+$U$18</f>
        <v>36.54</v>
      </c>
      <c r="H19" s="108">
        <v>0.25</v>
      </c>
      <c r="J19" s="109">
        <f t="shared" si="0"/>
        <v>-1.8800000000000026</v>
      </c>
      <c r="L19" s="109">
        <f>F19-D19</f>
        <v>-1.6300000000000026</v>
      </c>
      <c r="N19" s="110">
        <f>(F19-D19)/D19</f>
        <v>-4.270369400052404E-2</v>
      </c>
      <c r="U19" s="109" t="s">
        <v>0</v>
      </c>
      <c r="Y19" s="109"/>
    </row>
    <row r="20" spans="2:25">
      <c r="D20" s="116"/>
      <c r="F20" s="116"/>
      <c r="Y20" s="109"/>
    </row>
    <row r="21" spans="2:25">
      <c r="B21" s="107">
        <v>600</v>
      </c>
      <c r="D21" s="108">
        <f>ROUND((($B21*S$11/100+S$10))+((B21*$U$16)/100),2)+U18</f>
        <v>44.1</v>
      </c>
      <c r="F21" s="108">
        <f>ROUND((($B21*U$11/100+U$10))+((B21*$U$17)/100),2)+$U$18</f>
        <v>42.15</v>
      </c>
      <c r="H21" s="108">
        <v>0.25</v>
      </c>
      <c r="J21" s="109">
        <f t="shared" si="0"/>
        <v>-2.2000000000000028</v>
      </c>
      <c r="L21" s="109">
        <f>F21-D21</f>
        <v>-1.9500000000000028</v>
      </c>
      <c r="N21" s="110">
        <f>(F21-D21)/D21</f>
        <v>-4.4217687074829995E-2</v>
      </c>
      <c r="S21" s="83" t="s">
        <v>276</v>
      </c>
      <c r="U21" s="187">
        <v>-0.01</v>
      </c>
      <c r="Y21" s="109"/>
    </row>
    <row r="22" spans="2:25">
      <c r="B22" s="107">
        <v>700</v>
      </c>
      <c r="D22" s="108">
        <f>ROUND((((600*S$11/100)+(($B22-600)*S$12/100)+S$10))+((B22*$U$16)/100),2)+U18</f>
        <v>54.2</v>
      </c>
      <c r="F22" s="108">
        <f>ROUND((((600*U$11/100)+(($B22-600)*U$12/100)+U$10))+((B22*$U$17)/100),2)+$U$18</f>
        <v>51.92</v>
      </c>
      <c r="H22" s="108">
        <v>0.25</v>
      </c>
      <c r="J22" s="109">
        <f t="shared" si="0"/>
        <v>-2.5300000000000011</v>
      </c>
      <c r="L22" s="109">
        <f>F22-D22</f>
        <v>-2.2800000000000011</v>
      </c>
      <c r="N22" s="110">
        <f>(F22-D22)/D22</f>
        <v>-4.2066420664206662E-2</v>
      </c>
      <c r="S22" s="83" t="s">
        <v>83</v>
      </c>
      <c r="U22" s="83">
        <f>0.066</f>
        <v>6.6000000000000003E-2</v>
      </c>
      <c r="Y22" s="109"/>
    </row>
    <row r="23" spans="2:25">
      <c r="B23" s="107">
        <v>800</v>
      </c>
      <c r="D23" s="108">
        <f>ROUND((((600*S$11/100)+(($B23-600)*S$12/100)+S$10))+((B23*$U$16)/100),2)+U18</f>
        <v>64.3</v>
      </c>
      <c r="F23" s="108">
        <f>ROUND((((600*U$11/100)+(($B23-600)*U$12/100)+U$10))+((B23*$U$17)/100),2)+$U$18</f>
        <v>61.7</v>
      </c>
      <c r="H23" s="108">
        <v>0.25</v>
      </c>
      <c r="J23" s="109">
        <f t="shared" si="0"/>
        <v>-2.8499999999999943</v>
      </c>
      <c r="L23" s="109">
        <f>F23-D23</f>
        <v>-2.5999999999999943</v>
      </c>
      <c r="N23" s="110">
        <f>(F23-D23)/D23</f>
        <v>-4.0435458786936149E-2</v>
      </c>
      <c r="Y23" s="109"/>
    </row>
    <row r="24" spans="2:25">
      <c r="B24" s="107">
        <v>900</v>
      </c>
      <c r="D24" s="108">
        <f>ROUND((((600*S$11/100)+(($B24-600)*S$12/100)+S$10))+((B24*$U$16)/100),2)+U18</f>
        <v>74.39</v>
      </c>
      <c r="F24" s="108">
        <f>ROUND((((600*U$11/100)+(($B24-600)*U$12/100)+U$10))+((B24*$U$17)/100),2)+$U$18</f>
        <v>71.47</v>
      </c>
      <c r="H24" s="108">
        <v>0.25</v>
      </c>
      <c r="J24" s="109">
        <f t="shared" si="0"/>
        <v>-3.1700000000000017</v>
      </c>
      <c r="L24" s="109">
        <f>F24-D24</f>
        <v>-2.9200000000000017</v>
      </c>
      <c r="N24" s="110">
        <f>(F24-D24)/D24</f>
        <v>-3.9252587713402363E-2</v>
      </c>
      <c r="R24" s="118" t="s">
        <v>84</v>
      </c>
      <c r="S24" s="119" t="e">
        <f>#REF!</f>
        <v>#REF!</v>
      </c>
      <c r="Y24" s="109"/>
    </row>
    <row r="25" spans="2:25">
      <c r="B25" s="107">
        <v>1000</v>
      </c>
      <c r="D25" s="108">
        <f>ROUND((((600*S$11/100)+(($B25-600)*S$12/100)+S$10))+((B25*$U$16)/100),2)+U18</f>
        <v>84.49</v>
      </c>
      <c r="F25" s="108">
        <f>ROUND((((600*U$11/100)+(($B25-600)*U$12/100)+U$10))+((B25*$U$17)/100),2)+$U$18</f>
        <v>81.239999999999995</v>
      </c>
      <c r="H25" s="108">
        <v>0.25</v>
      </c>
      <c r="J25" s="109">
        <f t="shared" si="0"/>
        <v>-3.5</v>
      </c>
      <c r="L25" s="109">
        <f>F25-D25</f>
        <v>-3.25</v>
      </c>
      <c r="N25" s="110">
        <f>(F25-D25)/D25</f>
        <v>-3.8466090661616763E-2</v>
      </c>
      <c r="Y25" s="109"/>
    </row>
    <row r="26" spans="2:25">
      <c r="D26" s="116"/>
      <c r="F26" s="108"/>
      <c r="N26" s="120"/>
      <c r="Y26" s="109"/>
    </row>
    <row r="27" spans="2:25">
      <c r="B27" s="107">
        <v>1100</v>
      </c>
      <c r="D27" s="108">
        <f>ROUND((((600*S$11/100)+(($B27-600)*S$12/100)+S$10))+((B27*$U$16)/100),2)+U18</f>
        <v>94.589999999999989</v>
      </c>
      <c r="F27" s="108">
        <f>ROUND((((600*U$11/100)+(($B27-600)*U$12/100)+U$10))+((B27*$U$17)/100),2)+$U$18</f>
        <v>91.02</v>
      </c>
      <c r="H27" s="108">
        <v>0.25</v>
      </c>
      <c r="J27" s="109">
        <f t="shared" si="0"/>
        <v>-3.8199999999999932</v>
      </c>
      <c r="L27" s="109">
        <f>F27-D27</f>
        <v>-3.5699999999999932</v>
      </c>
      <c r="N27" s="110">
        <f>(F27-D27)/D27</f>
        <v>-3.7741833174754137E-2</v>
      </c>
      <c r="Y27" s="109"/>
    </row>
    <row r="28" spans="2:25">
      <c r="B28" s="107">
        <v>1200</v>
      </c>
      <c r="D28" s="108">
        <f>ROUND((((600*S$11/100)+(($B28-600)*S$12/100)+S$10))+((B28*$U$16)/100),2)+U18</f>
        <v>104.69</v>
      </c>
      <c r="F28" s="108">
        <f>ROUND((((600*U$11/100)+(($B28-600)*U$12/100)+U$10))+((B28*$U$17)/100),2)+$U$18</f>
        <v>100.78999999999999</v>
      </c>
      <c r="H28" s="108">
        <v>0.25</v>
      </c>
      <c r="J28" s="109">
        <f t="shared" si="0"/>
        <v>-4.1500000000000057</v>
      </c>
      <c r="L28" s="109">
        <f>F28-D28</f>
        <v>-3.9000000000000057</v>
      </c>
      <c r="N28" s="110">
        <f>(F28-D28)/D28</f>
        <v>-3.7252841723182786E-2</v>
      </c>
      <c r="Y28" s="109"/>
    </row>
    <row r="29" spans="2:25">
      <c r="B29" s="107">
        <v>1300</v>
      </c>
      <c r="C29" s="83" t="s">
        <v>85</v>
      </c>
      <c r="D29" s="108">
        <f>ROUND((((600*S$11/100)+(($B29-600)*S$12/100)+S$10))+((B29*$U$16)/100),2)+U18</f>
        <v>114.78999999999999</v>
      </c>
      <c r="F29" s="108">
        <f>ROUND((((600*U$11/100)+(($B29-600)*U$12/100)+U$10))+((B29*$U$17)/100),2)+$U$18</f>
        <v>110.55999999999999</v>
      </c>
      <c r="H29" s="108">
        <v>0.25</v>
      </c>
      <c r="J29" s="109">
        <f t="shared" si="0"/>
        <v>-4.480000000000004</v>
      </c>
      <c r="L29" s="109">
        <f>F29-D29</f>
        <v>-4.230000000000004</v>
      </c>
      <c r="N29" s="110">
        <f>(F29-D29)/D29</f>
        <v>-3.6849899817057274E-2</v>
      </c>
      <c r="Y29" s="109"/>
    </row>
    <row r="30" spans="2:25">
      <c r="B30" s="107">
        <v>1400</v>
      </c>
      <c r="D30" s="108">
        <f>ROUND((((600*S$11/100)+(($B30-600)*S$12/100)+S$10))+((B30*$U$16)/100),2)+U18</f>
        <v>124.88</v>
      </c>
      <c r="F30" s="108">
        <f>ROUND((((600*U$11/100)+(($B30-600)*U$12/100)+U$10))+((B30*$U$17)/100),2)+$U$18</f>
        <v>120.33</v>
      </c>
      <c r="H30" s="108">
        <v>0.25</v>
      </c>
      <c r="J30" s="109">
        <f t="shared" si="0"/>
        <v>-4.7999999999999972</v>
      </c>
      <c r="L30" s="109">
        <f>F30-D30</f>
        <v>-4.5499999999999972</v>
      </c>
      <c r="N30" s="110">
        <f>(F30-D30)/D30</f>
        <v>-3.6434977578475317E-2</v>
      </c>
      <c r="Y30" s="109"/>
    </row>
    <row r="31" spans="2:25">
      <c r="B31" s="107">
        <v>1500</v>
      </c>
      <c r="D31" s="108">
        <f>ROUND((((600*S$11/100)+(($B31-600)*S$12/100)+S$10))+((B31*$U$16)/100),2)+U18</f>
        <v>134.98000000000002</v>
      </c>
      <c r="F31" s="108">
        <f>ROUND((((600*U$11/100)+(($B31-600)*U$12/100)+U$10))+((B31*$U$17)/100),2)+$U$18</f>
        <v>130.11000000000001</v>
      </c>
      <c r="H31" s="108">
        <v>0.25</v>
      </c>
      <c r="J31" s="109">
        <f t="shared" si="0"/>
        <v>-5.1200000000000045</v>
      </c>
      <c r="L31" s="109">
        <f>F31-D31</f>
        <v>-4.8700000000000045</v>
      </c>
      <c r="N31" s="110">
        <f>(F31-D31)/D31</f>
        <v>-3.6079419173210878E-2</v>
      </c>
      <c r="Y31" s="109"/>
    </row>
    <row r="32" spans="2:25">
      <c r="D32" s="116"/>
      <c r="F32" s="108"/>
      <c r="Y32" s="109"/>
    </row>
    <row r="33" spans="2:25">
      <c r="B33" s="107">
        <v>1600</v>
      </c>
      <c r="D33" s="108">
        <f>ROUND((((600*S$11/100)+(($B33-600)*S$12/100)+S$10))+((B33*$U$16)/100),2)+U18</f>
        <v>145.08000000000001</v>
      </c>
      <c r="F33" s="108">
        <f>ROUND((((600*U$11/100)+(($B33-600)*U$12/100)+U$10))+((B33*$U$17)/100),2)+$U$18</f>
        <v>139.88</v>
      </c>
      <c r="H33" s="108">
        <v>0.25</v>
      </c>
      <c r="J33" s="109">
        <f t="shared" si="0"/>
        <v>-5.4500000000000171</v>
      </c>
      <c r="L33" s="109">
        <f>F33-D33</f>
        <v>-5.2000000000000171</v>
      </c>
      <c r="N33" s="110">
        <f>(F33-D33)/D33</f>
        <v>-3.5842293906810152E-2</v>
      </c>
      <c r="Y33" s="109"/>
    </row>
    <row r="34" spans="2:25">
      <c r="B34" s="107">
        <v>2000</v>
      </c>
      <c r="D34" s="108">
        <f>ROUND((((600*S$11/100)+(($B34-600)*S$12/100)+S$10))+((B34*$U$16)/100),2)+U18</f>
        <v>185.47</v>
      </c>
      <c r="F34" s="108">
        <f>ROUND((((600*U$11/100)+(($B34-600)*U$12/100)+U$10))+((B34*$U$17)/100),2)+$U$18</f>
        <v>178.97</v>
      </c>
      <c r="H34" s="108">
        <v>0.25</v>
      </c>
      <c r="J34" s="109">
        <f t="shared" si="0"/>
        <v>-6.75</v>
      </c>
      <c r="L34" s="109">
        <f>F34-D34</f>
        <v>-6.5</v>
      </c>
      <c r="N34" s="110">
        <f>(F34-D34)/D34</f>
        <v>-3.5046099099584838E-2</v>
      </c>
      <c r="Y34" s="109"/>
    </row>
    <row r="35" spans="2:25">
      <c r="B35" s="107">
        <v>3000</v>
      </c>
      <c r="D35" s="108">
        <f>ROUND((((600*S$11/100)+(($B35-600)*S$12/100)+S$10))+((B35*$U$16)/100),2)+U18</f>
        <v>286.45</v>
      </c>
      <c r="F35" s="108">
        <f>ROUND((((600*U$11/100)+(($B35-600)*U$12/100)+U$10))+((B35*$U$17)/100),2)+$U$18</f>
        <v>276.7</v>
      </c>
      <c r="H35" s="108">
        <v>0.25</v>
      </c>
      <c r="J35" s="109">
        <f t="shared" si="0"/>
        <v>-10</v>
      </c>
      <c r="L35" s="109">
        <f>F35-D35</f>
        <v>-9.75</v>
      </c>
      <c r="N35" s="110">
        <f>(F35-D35)/D35</f>
        <v>-3.4037353813929132E-2</v>
      </c>
      <c r="Y35" s="109"/>
    </row>
    <row r="36" spans="2:25">
      <c r="B36" s="121"/>
      <c r="C36" s="122"/>
      <c r="D36" s="123"/>
      <c r="E36" s="122"/>
      <c r="F36" s="123"/>
      <c r="G36" s="122"/>
      <c r="H36" s="122"/>
      <c r="I36" s="122"/>
      <c r="J36" s="122"/>
      <c r="K36" s="122"/>
      <c r="L36" s="122"/>
      <c r="M36" s="122"/>
      <c r="N36" s="124"/>
      <c r="O36" s="122"/>
      <c r="Y36" s="109"/>
    </row>
    <row r="37" spans="2:25">
      <c r="B37" s="125"/>
      <c r="O37" s="115"/>
    </row>
    <row r="38" spans="2:25">
      <c r="B38" s="83" t="s">
        <v>86</v>
      </c>
    </row>
    <row r="39" spans="2:25">
      <c r="B39" s="83" t="s">
        <v>87</v>
      </c>
    </row>
    <row r="40" spans="2:25" ht="15" customHeight="1">
      <c r="B40" s="393" t="s">
        <v>88</v>
      </c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393"/>
      <c r="P40" s="393"/>
      <c r="Q40" s="393"/>
      <c r="R40" s="393"/>
    </row>
    <row r="41" spans="2:25"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</row>
    <row r="49" spans="21:21">
      <c r="U49" s="126"/>
    </row>
  </sheetData>
  <mergeCells count="5">
    <mergeCell ref="B3:N3"/>
    <mergeCell ref="B4:N4"/>
    <mergeCell ref="B5:N5"/>
    <mergeCell ref="L9:N9"/>
    <mergeCell ref="B40:R40"/>
  </mergeCells>
  <printOptions horizontalCentered="1"/>
  <pageMargins left="0.75" right="0.75" top="1" bottom="1" header="0.5" footer="0.5"/>
  <pageSetup orientation="portrait" r:id="rId1"/>
  <headerFooter alignWithMargins="0">
    <oddFooter>&amp;CPage 1 of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U59"/>
  <sheetViews>
    <sheetView tabSelected="1" view="pageBreakPreview" topLeftCell="B1" zoomScale="70" zoomScaleNormal="55" zoomScaleSheetLayoutView="70" workbookViewId="0">
      <selection activeCell="AS51" sqref="AS51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2" customWidth="1"/>
    <col min="5" max="5" width="2.125" style="2" customWidth="1"/>
    <col min="6" max="6" width="5.625" style="2" bestFit="1" customWidth="1"/>
    <col min="7" max="7" width="2.125" style="2" customWidth="1"/>
    <col min="8" max="8" width="9.25" style="1" hidden="1" customWidth="1"/>
    <col min="9" max="9" width="9.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875" style="1" customWidth="1"/>
    <col min="14" max="14" width="10.25" style="1" hidden="1" customWidth="1"/>
    <col min="15" max="15" width="12.125" style="1" customWidth="1"/>
    <col min="16" max="16" width="2.75" style="1" customWidth="1"/>
    <col min="17" max="17" width="13.375" style="1" customWidth="1"/>
    <col min="18" max="18" width="2.5" style="1" customWidth="1"/>
    <col min="19" max="19" width="12.5" style="1" customWidth="1"/>
    <col min="20" max="20" width="2.5" style="1" customWidth="1"/>
    <col min="21" max="21" width="14.5" style="1" customWidth="1"/>
    <col min="22" max="22" width="2.5" style="1" customWidth="1"/>
    <col min="23" max="23" width="14.5" style="1" customWidth="1"/>
    <col min="24" max="24" width="3.125" style="1" customWidth="1"/>
    <col min="25" max="25" width="12.625" style="1" hidden="1" customWidth="1"/>
    <col min="26" max="26" width="2.75" style="1" hidden="1" customWidth="1"/>
    <col min="27" max="27" width="14.625" style="1" customWidth="1"/>
    <col min="28" max="28" width="2" style="1" hidden="1" customWidth="1"/>
    <col min="29" max="29" width="20.25" style="1" hidden="1" customWidth="1"/>
    <col min="30" max="30" width="2.625" style="1" hidden="1" customWidth="1"/>
    <col min="31" max="31" width="10.5" style="1" hidden="1" customWidth="1"/>
    <col min="32" max="32" width="8.75" style="1" hidden="1" customWidth="1"/>
    <col min="33" max="33" width="14.125" style="1" hidden="1" customWidth="1"/>
    <col min="34" max="34" width="8.75" style="1" hidden="1" customWidth="1"/>
    <col min="35" max="35" width="8.875" style="1" hidden="1" customWidth="1"/>
    <col min="36" max="36" width="7.75" style="1" hidden="1" customWidth="1"/>
    <col min="37" max="37" width="2.625" style="1" hidden="1" customWidth="1"/>
    <col min="38" max="38" width="11.5" style="1" hidden="1" customWidth="1"/>
    <col min="39" max="39" width="3.875" style="1" hidden="1" customWidth="1"/>
    <col min="40" max="40" width="11.75" style="1" hidden="1" customWidth="1"/>
    <col min="41" max="41" width="2.125" style="1" customWidth="1"/>
    <col min="42" max="42" width="3.125" style="1" customWidth="1"/>
    <col min="43" max="43" width="7.25" style="1" customWidth="1"/>
    <col min="44" max="44" width="0.125" style="1" customWidth="1"/>
    <col min="45" max="45" width="10.25" style="1" customWidth="1"/>
    <col min="46" max="46" width="13.5" style="1" bestFit="1" customWidth="1"/>
    <col min="47" max="16384" width="10.25" style="1"/>
  </cols>
  <sheetData>
    <row r="1" spans="2:47" ht="18.75">
      <c r="C1" s="202"/>
      <c r="D1" s="203"/>
      <c r="AA1" s="3" t="s">
        <v>0</v>
      </c>
    </row>
    <row r="2" spans="2:47">
      <c r="B2" s="391" t="s">
        <v>1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2:47">
      <c r="B3" s="392" t="s">
        <v>2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2:47">
      <c r="B4" s="392" t="s">
        <v>261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2:47">
      <c r="B5" s="392" t="s">
        <v>3</v>
      </c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2:47">
      <c r="B6" s="392" t="s">
        <v>4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2:47">
      <c r="B7" s="391" t="s">
        <v>262</v>
      </c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pans="2:47"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8"/>
      <c r="AB8" s="7"/>
      <c r="AC8" s="7"/>
      <c r="AD8" s="7"/>
      <c r="AE8" s="8"/>
      <c r="AF8" s="8"/>
      <c r="AG8" s="8"/>
      <c r="AH8" s="8"/>
      <c r="AI8" s="8"/>
      <c r="AJ8" s="8"/>
      <c r="AK8" s="8"/>
      <c r="AL8" s="199" t="s">
        <v>263</v>
      </c>
      <c r="AM8" s="8"/>
      <c r="AN8" s="8"/>
      <c r="AO8" s="8"/>
      <c r="AP8" s="8"/>
      <c r="AQ8" s="8"/>
      <c r="AR8" s="8"/>
      <c r="AS8" s="6"/>
      <c r="AT8" s="6"/>
      <c r="AU8" s="6"/>
    </row>
    <row r="9" spans="2:47">
      <c r="N9" s="9" t="s">
        <v>5</v>
      </c>
      <c r="O9" s="156"/>
      <c r="P9" s="9"/>
      <c r="Q9" s="157" t="s">
        <v>115</v>
      </c>
      <c r="R9" s="9"/>
      <c r="S9" s="157" t="s">
        <v>7</v>
      </c>
      <c r="T9" s="9"/>
      <c r="U9" s="390" t="s">
        <v>8</v>
      </c>
      <c r="V9" s="390"/>
      <c r="W9" s="390"/>
      <c r="X9" s="9"/>
      <c r="Y9" s="9" t="s">
        <v>6</v>
      </c>
      <c r="Z9" s="10"/>
      <c r="AA9" s="199" t="s">
        <v>7</v>
      </c>
      <c r="AB9" s="188"/>
      <c r="AC9" s="188"/>
      <c r="AD9" s="11"/>
      <c r="AK9" s="10"/>
      <c r="AL9" s="200" t="s">
        <v>9</v>
      </c>
      <c r="AM9" s="10"/>
      <c r="AN9" s="199" t="s">
        <v>7</v>
      </c>
      <c r="AO9" s="10"/>
      <c r="AP9" s="10"/>
      <c r="AQ9" s="10"/>
      <c r="AR9" s="10"/>
    </row>
    <row r="10" spans="2:47">
      <c r="F10" s="12" t="s">
        <v>10</v>
      </c>
      <c r="G10" s="12"/>
      <c r="H10" s="9" t="s">
        <v>11</v>
      </c>
      <c r="N10" s="199" t="s">
        <v>12</v>
      </c>
      <c r="O10" s="44"/>
      <c r="P10" s="199"/>
      <c r="Q10" s="157" t="s">
        <v>116</v>
      </c>
      <c r="R10" s="199"/>
      <c r="S10" s="157" t="s">
        <v>116</v>
      </c>
      <c r="T10" s="199"/>
      <c r="U10" s="157" t="s">
        <v>116</v>
      </c>
      <c r="V10" s="199"/>
      <c r="W10" s="159" t="s">
        <v>117</v>
      </c>
      <c r="X10" s="199"/>
      <c r="Y10" s="199" t="s">
        <v>12</v>
      </c>
      <c r="Z10" s="13"/>
      <c r="AA10" s="199" t="s">
        <v>12</v>
      </c>
      <c r="AB10" s="199"/>
      <c r="AC10" s="199" t="s">
        <v>13</v>
      </c>
      <c r="AD10" s="199"/>
      <c r="AE10" s="11" t="s">
        <v>0</v>
      </c>
      <c r="AF10" s="11"/>
      <c r="AG10" s="387" t="s">
        <v>8</v>
      </c>
      <c r="AH10" s="387"/>
      <c r="AI10" s="387"/>
      <c r="AJ10" s="387"/>
      <c r="AK10" s="11"/>
      <c r="AL10" s="11"/>
      <c r="AM10" s="11"/>
      <c r="AN10" s="199" t="s">
        <v>8</v>
      </c>
      <c r="AO10" s="11"/>
      <c r="AP10" s="14"/>
      <c r="AQ10" s="11"/>
      <c r="AR10" s="14"/>
    </row>
    <row r="11" spans="2:47">
      <c r="B11" s="14" t="s">
        <v>14</v>
      </c>
      <c r="F11" s="12" t="s">
        <v>15</v>
      </c>
      <c r="G11" s="12"/>
      <c r="H11" s="9" t="s">
        <v>16</v>
      </c>
      <c r="I11" s="9" t="s">
        <v>11</v>
      </c>
      <c r="K11" s="9" t="s">
        <v>17</v>
      </c>
      <c r="N11" s="9" t="s">
        <v>18</v>
      </c>
      <c r="O11" s="157" t="s">
        <v>118</v>
      </c>
      <c r="P11" s="9"/>
      <c r="Q11" s="159" t="s">
        <v>18</v>
      </c>
      <c r="R11" s="9"/>
      <c r="S11" s="159" t="s">
        <v>18</v>
      </c>
      <c r="T11" s="9"/>
      <c r="U11" s="159" t="s">
        <v>18</v>
      </c>
      <c r="V11" s="9"/>
      <c r="W11" s="157" t="s">
        <v>119</v>
      </c>
      <c r="X11" s="9"/>
      <c r="Y11" s="9" t="s">
        <v>18</v>
      </c>
      <c r="Z11" s="14"/>
      <c r="AA11" s="189" t="s">
        <v>18</v>
      </c>
      <c r="AB11" s="9"/>
      <c r="AC11" s="9" t="s">
        <v>18</v>
      </c>
      <c r="AD11" s="9"/>
      <c r="AE11" s="15" t="s">
        <v>19</v>
      </c>
      <c r="AF11" s="9" t="s">
        <v>12</v>
      </c>
      <c r="AG11" s="15" t="s">
        <v>19</v>
      </c>
      <c r="AH11" s="9" t="s">
        <v>263</v>
      </c>
      <c r="AI11" s="15" t="s">
        <v>13</v>
      </c>
      <c r="AJ11" s="9" t="s">
        <v>13</v>
      </c>
      <c r="AK11" s="14"/>
      <c r="AL11" s="14"/>
      <c r="AM11" s="14"/>
      <c r="AN11" s="9" t="s">
        <v>20</v>
      </c>
      <c r="AO11" s="14"/>
      <c r="AP11" s="14"/>
      <c r="AQ11" s="199"/>
      <c r="AR11" s="16"/>
      <c r="AS11" s="6"/>
    </row>
    <row r="12" spans="2:47">
      <c r="B12" s="17" t="s">
        <v>21</v>
      </c>
      <c r="D12" s="18" t="s">
        <v>22</v>
      </c>
      <c r="F12" s="18" t="s">
        <v>21</v>
      </c>
      <c r="G12" s="19"/>
      <c r="H12" s="20" t="s">
        <v>5</v>
      </c>
      <c r="I12" s="200" t="s">
        <v>16</v>
      </c>
      <c r="K12" s="20" t="s">
        <v>5</v>
      </c>
      <c r="L12" s="200" t="s">
        <v>17</v>
      </c>
      <c r="N12" s="21" t="s">
        <v>23</v>
      </c>
      <c r="O12" s="160" t="s">
        <v>120</v>
      </c>
      <c r="P12" s="22"/>
      <c r="Q12" s="161" t="s">
        <v>23</v>
      </c>
      <c r="R12" s="22"/>
      <c r="S12" s="161" t="s">
        <v>23</v>
      </c>
      <c r="T12" s="22"/>
      <c r="U12" s="161" t="s">
        <v>23</v>
      </c>
      <c r="V12" s="22"/>
      <c r="W12" s="201" t="s">
        <v>18</v>
      </c>
      <c r="X12" s="22"/>
      <c r="Y12" s="21" t="s">
        <v>23</v>
      </c>
      <c r="Z12" s="199"/>
      <c r="AA12" s="190" t="s">
        <v>23</v>
      </c>
      <c r="AB12" s="22"/>
      <c r="AC12" s="21" t="s">
        <v>23</v>
      </c>
      <c r="AD12" s="22"/>
      <c r="AE12" s="23" t="s">
        <v>23</v>
      </c>
      <c r="AF12" s="200" t="s">
        <v>24</v>
      </c>
      <c r="AG12" s="23" t="s">
        <v>23</v>
      </c>
      <c r="AH12" s="200" t="s">
        <v>24</v>
      </c>
      <c r="AI12" s="23" t="s">
        <v>23</v>
      </c>
      <c r="AJ12" s="200" t="s">
        <v>24</v>
      </c>
      <c r="AK12" s="16"/>
      <c r="AL12" s="24" t="s">
        <v>25</v>
      </c>
      <c r="AM12" s="16"/>
      <c r="AN12" s="21" t="s">
        <v>25</v>
      </c>
      <c r="AO12" s="16"/>
      <c r="AP12" s="16"/>
      <c r="AQ12" s="199"/>
      <c r="AR12" s="16"/>
      <c r="AS12" s="6"/>
    </row>
    <row r="13" spans="2:47">
      <c r="B13" s="25"/>
      <c r="D13" s="15" t="s">
        <v>27</v>
      </c>
      <c r="F13" s="15" t="s">
        <v>28</v>
      </c>
      <c r="G13" s="12"/>
      <c r="H13" s="15"/>
      <c r="I13" s="15" t="s">
        <v>29</v>
      </c>
      <c r="K13" s="15"/>
      <c r="L13" s="15" t="s">
        <v>30</v>
      </c>
      <c r="N13" s="15"/>
      <c r="O13" s="198" t="s">
        <v>31</v>
      </c>
      <c r="P13" s="15"/>
      <c r="Q13" s="198" t="s">
        <v>32</v>
      </c>
      <c r="R13" s="15"/>
      <c r="S13" s="198" t="s">
        <v>33</v>
      </c>
      <c r="T13" s="15"/>
      <c r="U13" s="198" t="s">
        <v>34</v>
      </c>
      <c r="V13" s="15"/>
      <c r="W13" s="198" t="s">
        <v>35</v>
      </c>
      <c r="X13" s="15"/>
      <c r="Y13" s="15" t="s">
        <v>31</v>
      </c>
      <c r="Z13" s="15"/>
      <c r="AA13" s="15" t="s">
        <v>32</v>
      </c>
      <c r="AB13" s="15"/>
      <c r="AC13" s="15"/>
      <c r="AD13" s="15"/>
      <c r="AE13" s="15" t="s">
        <v>33</v>
      </c>
      <c r="AF13" s="15" t="s">
        <v>34</v>
      </c>
      <c r="AG13" s="15" t="s">
        <v>35</v>
      </c>
      <c r="AH13" s="15" t="s">
        <v>36</v>
      </c>
      <c r="AI13" s="15" t="s">
        <v>150</v>
      </c>
      <c r="AJ13" s="15" t="s">
        <v>151</v>
      </c>
      <c r="AK13" s="15"/>
      <c r="AL13" s="15"/>
      <c r="AM13" s="15"/>
      <c r="AN13" s="15" t="s">
        <v>35</v>
      </c>
      <c r="AO13" s="15"/>
      <c r="AP13" s="15"/>
      <c r="AQ13" s="13"/>
      <c r="AR13" s="13"/>
      <c r="AS13" s="6"/>
    </row>
    <row r="14" spans="2:47">
      <c r="U14" s="198" t="s">
        <v>260</v>
      </c>
      <c r="Z14" s="15"/>
      <c r="AA14" s="15" t="s">
        <v>0</v>
      </c>
      <c r="AF14" s="15" t="s">
        <v>37</v>
      </c>
      <c r="AH14" s="15" t="s">
        <v>0</v>
      </c>
      <c r="AI14" s="15" t="s">
        <v>264</v>
      </c>
      <c r="AJ14" s="15" t="s">
        <v>265</v>
      </c>
      <c r="AN14" s="15" t="s">
        <v>38</v>
      </c>
      <c r="AQ14" s="6"/>
      <c r="AR14" s="6"/>
      <c r="AS14" s="6"/>
    </row>
    <row r="15" spans="2:47">
      <c r="D15" s="26" t="s">
        <v>39</v>
      </c>
      <c r="AQ15" s="6"/>
      <c r="AR15" s="6"/>
      <c r="AS15" s="6"/>
    </row>
    <row r="16" spans="2:47">
      <c r="B16" s="14">
        <v>1</v>
      </c>
      <c r="D16" s="2" t="s">
        <v>40</v>
      </c>
      <c r="F16" s="27" t="s">
        <v>152</v>
      </c>
      <c r="G16" s="27"/>
      <c r="H16" s="28">
        <v>101336.91666666667</v>
      </c>
      <c r="I16" s="28">
        <f>'Table A rate case'!I16</f>
        <v>104635.09245519141</v>
      </c>
      <c r="J16" s="3"/>
      <c r="K16" s="28">
        <v>1569938.6044392167</v>
      </c>
      <c r="L16" s="28">
        <f>'Table A rate case'!L16</f>
        <v>1572834.8567787264</v>
      </c>
      <c r="N16" s="29">
        <v>102672.94442530281</v>
      </c>
      <c r="O16" s="171">
        <f>L16</f>
        <v>1572834.8567787264</v>
      </c>
      <c r="P16" s="169"/>
      <c r="Q16" s="172">
        <f>O16*-0.00422</f>
        <v>-6637.3630956062252</v>
      </c>
      <c r="R16" s="169"/>
      <c r="S16" s="172">
        <f>O16*$U$52</f>
        <v>-11749.076380137087</v>
      </c>
      <c r="T16" s="169"/>
      <c r="U16" s="172">
        <f>S16-Q16</f>
        <v>-5111.7132845308615</v>
      </c>
      <c r="V16" s="169"/>
      <c r="W16" s="173">
        <f>U16/AA16</f>
        <v>-3.5309171592530726E-2</v>
      </c>
      <c r="X16" s="29"/>
      <c r="Y16" s="29">
        <f>'Table A rate case'!O16</f>
        <v>140088.11881608813</v>
      </c>
      <c r="Z16" s="30"/>
      <c r="AA16" s="29">
        <f>'Table A rate case'!Q16</f>
        <v>144770.12781608815</v>
      </c>
      <c r="AB16" s="29"/>
      <c r="AC16" s="31">
        <f>AA16+AG16</f>
        <v>147239.47854123075</v>
      </c>
      <c r="AD16" s="29"/>
      <c r="AE16" s="29">
        <f>AA16-Y16</f>
        <v>4682.00900000002</v>
      </c>
      <c r="AF16" s="32">
        <f>AE16/Y16</f>
        <v>3.3421885021860429E-2</v>
      </c>
      <c r="AG16" s="29">
        <f>(AL16/100)*L16</f>
        <v>2469.3507251426004</v>
      </c>
      <c r="AH16" s="32">
        <f>AG16/Y16</f>
        <v>1.7627124598513868E-2</v>
      </c>
      <c r="AI16" s="29">
        <f>AE16+AG16</f>
        <v>7151.3597251426199</v>
      </c>
      <c r="AJ16" s="32">
        <f>AI16/Y16</f>
        <v>5.1049009620374293E-2</v>
      </c>
      <c r="AK16" s="30"/>
      <c r="AL16" s="33">
        <f>ROUND((((AA16/$AA$44)*$AG$51)/L16)*100,3)</f>
        <v>0.157</v>
      </c>
      <c r="AM16" s="30"/>
      <c r="AN16" s="34">
        <f>AA16/L16*100</f>
        <v>9.204407391669033</v>
      </c>
      <c r="AO16" s="30"/>
      <c r="AP16" s="30"/>
      <c r="AQ16" s="35" t="s">
        <v>0</v>
      </c>
      <c r="AR16" s="36"/>
      <c r="AS16" s="37" t="s">
        <v>0</v>
      </c>
      <c r="AT16" s="3" t="s">
        <v>0</v>
      </c>
    </row>
    <row r="17" spans="2:47">
      <c r="H17" s="38"/>
      <c r="I17" s="38"/>
      <c r="K17" s="38"/>
      <c r="L17" s="38"/>
      <c r="N17" s="38"/>
      <c r="O17" s="254"/>
      <c r="P17" s="46"/>
      <c r="Q17" s="165"/>
      <c r="R17" s="46"/>
      <c r="S17" s="165"/>
      <c r="T17" s="46"/>
      <c r="U17" s="165"/>
      <c r="V17" s="46"/>
      <c r="W17" s="167"/>
      <c r="X17" s="46"/>
      <c r="Y17" s="38"/>
      <c r="Z17" s="6"/>
      <c r="AA17" s="38"/>
      <c r="AB17" s="6"/>
      <c r="AC17" s="39"/>
      <c r="AD17" s="6"/>
      <c r="AE17" s="38"/>
      <c r="AF17" s="191"/>
      <c r="AG17" s="38"/>
      <c r="AH17" s="40"/>
      <c r="AI17" s="38"/>
      <c r="AJ17" s="40"/>
      <c r="AK17" s="6"/>
      <c r="AL17" s="41"/>
      <c r="AM17" s="6"/>
      <c r="AN17" s="39"/>
      <c r="AO17" s="6"/>
      <c r="AP17" s="6"/>
      <c r="AQ17" s="204"/>
      <c r="AR17" s="6"/>
      <c r="AS17" s="6"/>
    </row>
    <row r="18" spans="2:47">
      <c r="Q18" s="162"/>
      <c r="S18" s="162"/>
      <c r="U18" s="162"/>
      <c r="W18" s="163"/>
      <c r="AF18" s="42"/>
      <c r="AH18" s="42"/>
      <c r="AJ18" s="42"/>
      <c r="AL18" s="43"/>
      <c r="AQ18" s="204"/>
      <c r="AR18" s="6"/>
      <c r="AS18" s="6"/>
    </row>
    <row r="19" spans="2:47">
      <c r="B19" s="44">
        <f>MAX(B$13:B18)+1</f>
        <v>2</v>
      </c>
      <c r="D19" s="26" t="s">
        <v>41</v>
      </c>
      <c r="H19" s="45">
        <f>SUM(H16:H16)</f>
        <v>101336.91666666667</v>
      </c>
      <c r="I19" s="45">
        <f>SUM(I16:I16)</f>
        <v>104635.09245519141</v>
      </c>
      <c r="K19" s="45">
        <f>SUM(K16:K16)</f>
        <v>1569938.6044392167</v>
      </c>
      <c r="L19" s="45">
        <f>SUM(L16:L16)</f>
        <v>1572834.8567787264</v>
      </c>
      <c r="M19" s="45"/>
      <c r="N19" s="46">
        <f>SUM(N16:N16)</f>
        <v>102672.94442530281</v>
      </c>
      <c r="O19" s="45">
        <f>SUM(O16:O18)</f>
        <v>1572834.8567787264</v>
      </c>
      <c r="P19" s="46"/>
      <c r="Q19" s="162">
        <f>SUM(Q16:Q18)</f>
        <v>-6637.3630956062252</v>
      </c>
      <c r="R19" s="46"/>
      <c r="S19" s="162">
        <f>SUM(S16:S18)</f>
        <v>-11749.076380137087</v>
      </c>
      <c r="T19" s="46"/>
      <c r="U19" s="162">
        <f t="shared" ref="U19" si="0">S19-Q19</f>
        <v>-5111.7132845308615</v>
      </c>
      <c r="V19" s="46"/>
      <c r="W19" s="163">
        <f t="shared" ref="W19" si="1">U19/AC19</f>
        <v>-3.4717002091931841E-2</v>
      </c>
      <c r="Y19" s="46">
        <f>SUM(Y16:Y16)</f>
        <v>140088.11881608813</v>
      </c>
      <c r="Z19" s="30"/>
      <c r="AA19" s="46">
        <f>SUM(AA16:AA16)</f>
        <v>144770.12781608815</v>
      </c>
      <c r="AB19" s="46"/>
      <c r="AC19" s="46">
        <f>SUM(AC16:AC16)</f>
        <v>147239.47854123075</v>
      </c>
      <c r="AD19" s="46"/>
      <c r="AE19" s="29">
        <f>SUM(AE16)</f>
        <v>4682.00900000002</v>
      </c>
      <c r="AF19" s="32">
        <f>AE19/Y19</f>
        <v>3.3421885021860429E-2</v>
      </c>
      <c r="AG19" s="29">
        <f>SUM(AG16)</f>
        <v>2469.3507251426004</v>
      </c>
      <c r="AH19" s="32">
        <f>AG19/Y19</f>
        <v>1.7627124598513868E-2</v>
      </c>
      <c r="AI19" s="29">
        <f>AE19+AG19</f>
        <v>7151.3597251426199</v>
      </c>
      <c r="AJ19" s="32">
        <f>AI19/Y19</f>
        <v>5.1049009620374293E-2</v>
      </c>
      <c r="AK19" s="30"/>
      <c r="AL19" s="47"/>
      <c r="AM19" s="30"/>
      <c r="AN19" s="34">
        <f>AA19/L19*100</f>
        <v>9.204407391669033</v>
      </c>
      <c r="AO19" s="30"/>
      <c r="AP19" s="30"/>
      <c r="AQ19" s="205"/>
      <c r="AR19" s="36"/>
      <c r="AS19" s="6"/>
    </row>
    <row r="20" spans="2:47">
      <c r="L20" s="3" t="s">
        <v>0</v>
      </c>
      <c r="O20" s="28"/>
      <c r="P20" s="46"/>
      <c r="Q20" s="162"/>
      <c r="R20" s="46"/>
      <c r="S20" s="162"/>
      <c r="T20" s="46"/>
      <c r="U20" s="162"/>
      <c r="V20" s="46"/>
      <c r="W20" s="163"/>
      <c r="X20" s="46"/>
      <c r="AF20" s="42"/>
      <c r="AH20" s="42"/>
      <c r="AJ20" s="42"/>
      <c r="AL20" s="43"/>
      <c r="AQ20" s="204"/>
      <c r="AR20" s="6"/>
      <c r="AS20" s="6"/>
    </row>
    <row r="21" spans="2:47">
      <c r="D21" s="26" t="s">
        <v>42</v>
      </c>
      <c r="H21" s="48"/>
      <c r="I21" s="48"/>
      <c r="O21" s="28"/>
      <c r="P21" s="29"/>
      <c r="Q21" s="162"/>
      <c r="R21" s="29"/>
      <c r="S21" s="162"/>
      <c r="T21" s="29"/>
      <c r="U21" s="162"/>
      <c r="V21" s="29"/>
      <c r="W21" s="163"/>
      <c r="X21" s="29"/>
      <c r="AF21" s="42"/>
      <c r="AH21" s="42"/>
      <c r="AJ21" s="42"/>
      <c r="AL21" s="43"/>
      <c r="AQ21" s="204"/>
      <c r="AR21" s="6"/>
      <c r="AS21" s="6"/>
    </row>
    <row r="22" spans="2:47">
      <c r="B22" s="44">
        <f>MAX(B$13:B21)+1</f>
        <v>3</v>
      </c>
      <c r="D22" s="2" t="s">
        <v>43</v>
      </c>
      <c r="F22" s="12">
        <v>24</v>
      </c>
      <c r="G22" s="12"/>
      <c r="H22" s="28">
        <v>17306.416666666664</v>
      </c>
      <c r="I22" s="28">
        <f>'Table A rate case'!I22</f>
        <v>18788.493749999969</v>
      </c>
      <c r="J22" s="3"/>
      <c r="K22" s="28">
        <v>1569938.6044392167</v>
      </c>
      <c r="L22" s="28">
        <f>'Table A rate case'!L22</f>
        <v>543201.5574379696</v>
      </c>
      <c r="N22" s="46">
        <v>33647.646251191611</v>
      </c>
      <c r="O22" s="28">
        <f>('305 Inputs'!H30+'305 Inputs'!H32+'305 Inputs'!H38+'305 Inputs'!H43+'305 Inputs'!H65+'305 Inputs'!H67+'305 Inputs'!H141)/1000</f>
        <v>50291.894</v>
      </c>
      <c r="P22" s="46"/>
      <c r="Q22" s="162">
        <f>O22*-0.00422</f>
        <v>-212.23179267999998</v>
      </c>
      <c r="R22" s="46"/>
      <c r="S22" s="162">
        <f t="shared" ref="S22:S27" si="2">O22*$U$52</f>
        <v>-375.68044817999998</v>
      </c>
      <c r="T22" s="46"/>
      <c r="U22" s="162">
        <f t="shared" ref="U22:U29" si="3">S22-Q22</f>
        <v>-163.4486555</v>
      </c>
      <c r="V22" s="46"/>
      <c r="W22" s="173">
        <f t="shared" ref="W22:W29" si="4">U22/AA22</f>
        <v>-3.3224198509689174E-3</v>
      </c>
      <c r="X22" s="46"/>
      <c r="Y22" s="29">
        <f>'Table A rate case'!O22</f>
        <v>48473.096458215186</v>
      </c>
      <c r="Z22" s="30"/>
      <c r="AA22" s="29">
        <f>'Table A rate case'!Q22</f>
        <v>49195.665458215182</v>
      </c>
      <c r="AB22" s="29"/>
      <c r="AC22" s="31">
        <f t="shared" ref="AC22" si="5">AA22+AG22</f>
        <v>50037.627872244033</v>
      </c>
      <c r="AD22" s="29"/>
      <c r="AE22" s="29">
        <f>AA22-Y22</f>
        <v>722.56899999999587</v>
      </c>
      <c r="AF22" s="32">
        <f>AE22/Y22</f>
        <v>1.4906598769130941E-2</v>
      </c>
      <c r="AG22" s="29">
        <f t="shared" ref="AG22:AG29" si="6">(AL22/100)*L22</f>
        <v>841.96241402885289</v>
      </c>
      <c r="AH22" s="32">
        <f>AG22/Y22</f>
        <v>1.7369684949973062E-2</v>
      </c>
      <c r="AI22" s="29">
        <f t="shared" ref="AI22:AI29" si="7">AE22+AG22</f>
        <v>1564.5314140288488</v>
      </c>
      <c r="AJ22" s="32">
        <f>AI22/Y22</f>
        <v>3.2276283719104001E-2</v>
      </c>
      <c r="AK22" s="30"/>
      <c r="AL22" s="33">
        <f t="shared" ref="AL22:AL29" si="8">ROUND((((AA22/$AA$44)*$AG$51)/L22)*100,3)</f>
        <v>0.155</v>
      </c>
      <c r="AM22" s="30"/>
      <c r="AN22" s="34">
        <f>AA22/L22*100</f>
        <v>9.0566134770026014</v>
      </c>
      <c r="AO22" s="30"/>
      <c r="AP22" s="30"/>
      <c r="AQ22" s="205"/>
      <c r="AR22" s="36"/>
      <c r="AS22" s="6"/>
      <c r="AT22" s="49"/>
      <c r="AU22" s="50"/>
    </row>
    <row r="23" spans="2:47">
      <c r="B23" s="44">
        <f>MAX(B$13:B22)+1</f>
        <v>4</v>
      </c>
      <c r="D23" s="2" t="s">
        <v>44</v>
      </c>
      <c r="E23" s="51"/>
      <c r="F23" s="12">
        <v>33</v>
      </c>
      <c r="G23" s="12"/>
      <c r="H23" s="28">
        <v>0</v>
      </c>
      <c r="I23" s="28">
        <f>'Table A rate case'!I23</f>
        <v>0</v>
      </c>
      <c r="J23" s="3"/>
      <c r="K23" s="28">
        <v>1569938.6044392167</v>
      </c>
      <c r="L23" s="28">
        <f>'Table A rate case'!L23</f>
        <v>0</v>
      </c>
      <c r="N23" s="29">
        <v>0</v>
      </c>
      <c r="O23" s="28">
        <v>0</v>
      </c>
      <c r="P23" s="29"/>
      <c r="Q23" s="162">
        <f t="shared" ref="Q23:Q29" si="9">O23*-0.00422</f>
        <v>0</v>
      </c>
      <c r="R23" s="29"/>
      <c r="S23" s="162">
        <f t="shared" si="2"/>
        <v>0</v>
      </c>
      <c r="T23" s="29"/>
      <c r="U23" s="162">
        <f t="shared" si="3"/>
        <v>0</v>
      </c>
      <c r="V23" s="29"/>
      <c r="W23" s="173">
        <f>W24</f>
        <v>-4.401375214661175E-3</v>
      </c>
      <c r="X23" s="46"/>
      <c r="Y23" s="29">
        <f>'Table A rate case'!O23</f>
        <v>0</v>
      </c>
      <c r="Z23" s="30"/>
      <c r="AA23" s="29">
        <f>'Table A rate case'!Q23</f>
        <v>0</v>
      </c>
      <c r="AB23" s="29"/>
      <c r="AC23" s="31">
        <f t="shared" ref="AC23:AC29" si="10">AA23+AG23</f>
        <v>0</v>
      </c>
      <c r="AD23" s="29"/>
      <c r="AE23" s="29">
        <f t="shared" ref="AE23:AE29" si="11">AA23-Y23</f>
        <v>0</v>
      </c>
      <c r="AF23" s="32">
        <f>AF24</f>
        <v>3.342146556421436E-2</v>
      </c>
      <c r="AG23" s="29">
        <f t="shared" si="6"/>
        <v>0</v>
      </c>
      <c r="AH23" s="32">
        <f>AH24</f>
        <v>1.7698210490469296E-2</v>
      </c>
      <c r="AI23" s="29">
        <f t="shared" si="7"/>
        <v>0</v>
      </c>
      <c r="AJ23" s="32">
        <f>AF23+AH23</f>
        <v>5.1119676054683656E-2</v>
      </c>
      <c r="AK23" s="30"/>
      <c r="AL23" s="33">
        <f>AL24</f>
        <v>0.13200000000000001</v>
      </c>
      <c r="AM23" s="30"/>
      <c r="AN23" s="34">
        <v>0</v>
      </c>
      <c r="AO23" s="30"/>
      <c r="AP23" s="30"/>
      <c r="AQ23" s="205"/>
      <c r="AR23" s="36"/>
      <c r="AS23" s="6"/>
      <c r="AT23" s="49"/>
      <c r="AU23" s="50"/>
    </row>
    <row r="24" spans="2:47">
      <c r="B24" s="44">
        <f>MAX(B$13:B23)+1</f>
        <v>5</v>
      </c>
      <c r="D24" s="2" t="s">
        <v>45</v>
      </c>
      <c r="F24" s="12">
        <v>36</v>
      </c>
      <c r="G24" s="12"/>
      <c r="H24" s="28">
        <v>1058.6666666666667</v>
      </c>
      <c r="I24" s="28">
        <f>'Table A rate case'!I24</f>
        <v>1053.9138888888895</v>
      </c>
      <c r="J24" s="3"/>
      <c r="K24" s="28">
        <v>1569938.6044392167</v>
      </c>
      <c r="L24" s="28">
        <f>'Table A rate case'!L24</f>
        <v>895773.15120793856</v>
      </c>
      <c r="N24" s="46">
        <v>49005.26783999426</v>
      </c>
      <c r="O24" s="28">
        <f>('305 Inputs'!H34+'305 Inputs'!H69)/1000</f>
        <v>93502.91</v>
      </c>
      <c r="P24" s="46"/>
      <c r="Q24" s="162">
        <f t="shared" si="9"/>
        <v>-394.58228020000001</v>
      </c>
      <c r="R24" s="46"/>
      <c r="S24" s="162">
        <f t="shared" si="2"/>
        <v>-698.46673770000007</v>
      </c>
      <c r="T24" s="46"/>
      <c r="U24" s="162">
        <f t="shared" si="3"/>
        <v>-303.88445750000005</v>
      </c>
      <c r="V24" s="46"/>
      <c r="W24" s="173">
        <f t="shared" si="4"/>
        <v>-4.401375214661175E-3</v>
      </c>
      <c r="X24" s="46"/>
      <c r="Y24" s="29">
        <f>'Table A rate case'!O24</f>
        <v>66810.176104031925</v>
      </c>
      <c r="Z24" s="30"/>
      <c r="AA24" s="29">
        <f>'Table A rate case'!Q24</f>
        <v>69043.070104031925</v>
      </c>
      <c r="AB24" s="29"/>
      <c r="AC24" s="31">
        <f t="shared" si="10"/>
        <v>70225.490663626406</v>
      </c>
      <c r="AD24" s="29"/>
      <c r="AE24" s="29">
        <f t="shared" si="11"/>
        <v>2232.8940000000002</v>
      </c>
      <c r="AF24" s="32">
        <f>AE24/Y24</f>
        <v>3.342146556421436E-2</v>
      </c>
      <c r="AG24" s="29">
        <f t="shared" si="6"/>
        <v>1182.4205595944788</v>
      </c>
      <c r="AH24" s="32">
        <f t="shared" ref="AH24:AH29" si="12">AG24/Y24</f>
        <v>1.7698210490469296E-2</v>
      </c>
      <c r="AI24" s="29">
        <f t="shared" si="7"/>
        <v>3415.3145595944789</v>
      </c>
      <c r="AJ24" s="32">
        <f t="shared" ref="AJ24:AJ29" si="13">AI24/Y24</f>
        <v>5.1119676054683656E-2</v>
      </c>
      <c r="AK24" s="30"/>
      <c r="AL24" s="33">
        <f t="shared" si="8"/>
        <v>0.13200000000000001</v>
      </c>
      <c r="AM24" s="30"/>
      <c r="AN24" s="34">
        <f>AA24/L24*100</f>
        <v>7.7076512073317032</v>
      </c>
      <c r="AO24" s="30"/>
      <c r="AP24" s="30"/>
      <c r="AQ24" s="205"/>
      <c r="AR24" s="36"/>
      <c r="AS24" s="6"/>
      <c r="AT24" s="49"/>
      <c r="AU24" s="50"/>
    </row>
    <row r="25" spans="2:47">
      <c r="B25" s="44">
        <f>MAX(B$13:B24)+1</f>
        <v>6</v>
      </c>
      <c r="D25" s="2" t="s">
        <v>46</v>
      </c>
      <c r="F25" s="12" t="s">
        <v>47</v>
      </c>
      <c r="G25" s="12"/>
      <c r="H25" s="28">
        <v>5259</v>
      </c>
      <c r="I25" s="28">
        <f>'Table A rate case'!I25</f>
        <v>5247.0299819759166</v>
      </c>
      <c r="J25" s="3"/>
      <c r="K25" s="28">
        <v>1569938.6044392167</v>
      </c>
      <c r="L25" s="28">
        <f>'Table A rate case'!L25</f>
        <v>148533.3665584703</v>
      </c>
      <c r="N25" s="46">
        <v>10140.337</v>
      </c>
      <c r="O25" s="28">
        <f>('305 Inputs'!H84+'305 Inputs'!H95)/('305 Inputs'!H84+'305 Inputs'!H86+'305 Inputs'!H95)*'Attachment D'!L25</f>
        <v>143495.98229736139</v>
      </c>
      <c r="P25" s="46"/>
      <c r="Q25" s="162">
        <f t="shared" si="9"/>
        <v>-605.553045294865</v>
      </c>
      <c r="R25" s="46"/>
      <c r="S25" s="162">
        <f t="shared" si="2"/>
        <v>-1071.9149877612897</v>
      </c>
      <c r="T25" s="46"/>
      <c r="U25" s="162">
        <f t="shared" si="3"/>
        <v>-466.36194246642469</v>
      </c>
      <c r="V25" s="46"/>
      <c r="W25" s="173">
        <f t="shared" si="4"/>
        <v>-3.6278673009088123E-2</v>
      </c>
      <c r="X25" s="46"/>
      <c r="Y25" s="29">
        <f>'Table A rate case'!O25</f>
        <v>12666.289000000001</v>
      </c>
      <c r="Z25" s="30"/>
      <c r="AA25" s="29">
        <f>'Table A rate case'!Q25</f>
        <v>12854.989</v>
      </c>
      <c r="AB25" s="29"/>
      <c r="AC25" s="31">
        <f t="shared" si="10"/>
        <v>13074.818382506535</v>
      </c>
      <c r="AD25" s="29"/>
      <c r="AE25" s="29">
        <f t="shared" si="11"/>
        <v>188.69999999999891</v>
      </c>
      <c r="AF25" s="32">
        <f>AE25/Y25</f>
        <v>1.4897812611096975E-2</v>
      </c>
      <c r="AG25" s="29">
        <f t="shared" si="6"/>
        <v>219.82938250653604</v>
      </c>
      <c r="AH25" s="32">
        <f t="shared" si="12"/>
        <v>1.7355468717517499E-2</v>
      </c>
      <c r="AI25" s="29">
        <f t="shared" si="7"/>
        <v>408.52938250653494</v>
      </c>
      <c r="AJ25" s="32">
        <f t="shared" si="13"/>
        <v>3.2253281328614478E-2</v>
      </c>
      <c r="AK25" s="30"/>
      <c r="AL25" s="33">
        <f t="shared" si="8"/>
        <v>0.14799999999999999</v>
      </c>
      <c r="AM25" s="30"/>
      <c r="AN25" s="34">
        <f>AA25/L25*100</f>
        <v>8.6546136385723287</v>
      </c>
      <c r="AO25" s="30"/>
      <c r="AP25" s="30"/>
      <c r="AQ25" s="205"/>
      <c r="AR25" s="36"/>
      <c r="AS25" s="6"/>
    </row>
    <row r="26" spans="2:47">
      <c r="B26" s="44">
        <f>MAX(B$13:B25)+1</f>
        <v>7</v>
      </c>
      <c r="D26" s="2" t="s">
        <v>48</v>
      </c>
      <c r="F26" s="12">
        <v>47</v>
      </c>
      <c r="G26" s="12"/>
      <c r="H26" s="28">
        <v>1.0833333333333333</v>
      </c>
      <c r="I26" s="28">
        <f>'Table A rate case'!I26</f>
        <v>1</v>
      </c>
      <c r="J26" s="3"/>
      <c r="K26" s="28">
        <v>1569938.6044392167</v>
      </c>
      <c r="L26" s="28">
        <f>'Table A rate case'!L26</f>
        <v>1994.5324465218168</v>
      </c>
      <c r="N26" s="46">
        <v>165.62561725051643</v>
      </c>
      <c r="O26" s="28">
        <v>0</v>
      </c>
      <c r="P26" s="46"/>
      <c r="Q26" s="162">
        <f t="shared" si="9"/>
        <v>0</v>
      </c>
      <c r="R26" s="46"/>
      <c r="S26" s="162">
        <f t="shared" si="2"/>
        <v>0</v>
      </c>
      <c r="T26" s="46"/>
      <c r="U26" s="162">
        <f t="shared" si="3"/>
        <v>0</v>
      </c>
      <c r="V26" s="46"/>
      <c r="W26" s="173">
        <f t="shared" si="4"/>
        <v>0</v>
      </c>
      <c r="X26" s="46"/>
      <c r="Y26" s="29">
        <f>'Table A rate case'!O26</f>
        <v>292.12801280278654</v>
      </c>
      <c r="Z26" s="30"/>
      <c r="AA26" s="29">
        <f>'Table A rate case'!Q26</f>
        <v>302.01501280278654</v>
      </c>
      <c r="AB26" s="29"/>
      <c r="AC26" s="31">
        <f t="shared" si="10"/>
        <v>307.18085183927803</v>
      </c>
      <c r="AD26" s="29"/>
      <c r="AE26" s="29">
        <f t="shared" si="11"/>
        <v>9.8870000000000005</v>
      </c>
      <c r="AF26" s="32">
        <f>AE26/Y26</f>
        <v>3.3844751501714558E-2</v>
      </c>
      <c r="AG26" s="29">
        <f t="shared" si="6"/>
        <v>5.1658390364915059</v>
      </c>
      <c r="AH26" s="32">
        <f t="shared" si="12"/>
        <v>1.7683477140478566E-2</v>
      </c>
      <c r="AI26" s="29">
        <f t="shared" si="7"/>
        <v>15.052839036491505</v>
      </c>
      <c r="AJ26" s="32">
        <f t="shared" si="13"/>
        <v>5.1528228642193127E-2</v>
      </c>
      <c r="AK26" s="30"/>
      <c r="AL26" s="33">
        <f t="shared" si="8"/>
        <v>0.25900000000000001</v>
      </c>
      <c r="AM26" s="30"/>
      <c r="AN26" s="34">
        <f>AA26/L26*100</f>
        <v>15.142145886343345</v>
      </c>
      <c r="AO26" s="30"/>
      <c r="AP26" s="30"/>
      <c r="AQ26" s="205"/>
      <c r="AR26" s="36"/>
      <c r="AS26" s="6"/>
    </row>
    <row r="27" spans="2:47">
      <c r="B27" s="44">
        <f>MAX(B$13:B26)+1</f>
        <v>8</v>
      </c>
      <c r="D27" s="2" t="s">
        <v>49</v>
      </c>
      <c r="F27" s="12">
        <v>48</v>
      </c>
      <c r="G27" s="12"/>
      <c r="H27" s="28">
        <v>63.666666666666671</v>
      </c>
      <c r="I27" s="28">
        <f>'Table A rate case'!I27</f>
        <v>62.012626262626249</v>
      </c>
      <c r="J27" s="3"/>
      <c r="K27" s="28">
        <v>1569938.6044392167</v>
      </c>
      <c r="L27" s="28">
        <f>'Table A rate case'!L27</f>
        <v>834884.0372572965</v>
      </c>
      <c r="N27" s="46">
        <v>38996.209349631463</v>
      </c>
      <c r="O27" s="28">
        <v>0</v>
      </c>
      <c r="P27" s="46"/>
      <c r="Q27" s="162">
        <f t="shared" si="9"/>
        <v>0</v>
      </c>
      <c r="R27" s="46"/>
      <c r="S27" s="162">
        <f t="shared" si="2"/>
        <v>0</v>
      </c>
      <c r="T27" s="46"/>
      <c r="U27" s="162">
        <f t="shared" si="3"/>
        <v>0</v>
      </c>
      <c r="V27" s="46"/>
      <c r="W27" s="173">
        <f t="shared" si="4"/>
        <v>0</v>
      </c>
      <c r="X27" s="46"/>
      <c r="Y27" s="29">
        <f>'Table A rate case'!O27</f>
        <v>50976.274610443281</v>
      </c>
      <c r="Z27" s="30"/>
      <c r="AA27" s="29">
        <f>'Table A rate case'!Q27</f>
        <v>52679.245610443271</v>
      </c>
      <c r="AB27" s="29"/>
      <c r="AC27" s="31">
        <f t="shared" si="10"/>
        <v>53580.920370681153</v>
      </c>
      <c r="AD27" s="29"/>
      <c r="AE27" s="29">
        <f t="shared" si="11"/>
        <v>1702.9709999999905</v>
      </c>
      <c r="AF27" s="32">
        <f>AE27/Y27</f>
        <v>3.3407129356037922E-2</v>
      </c>
      <c r="AG27" s="29">
        <f t="shared" si="6"/>
        <v>901.67476023788026</v>
      </c>
      <c r="AH27" s="32">
        <f t="shared" si="12"/>
        <v>1.7688125841450922E-2</v>
      </c>
      <c r="AI27" s="29">
        <f t="shared" si="7"/>
        <v>2604.6457602378705</v>
      </c>
      <c r="AJ27" s="32">
        <f t="shared" si="13"/>
        <v>5.1095255197488844E-2</v>
      </c>
      <c r="AK27" s="30"/>
      <c r="AL27" s="33">
        <f t="shared" si="8"/>
        <v>0.108</v>
      </c>
      <c r="AM27" s="30"/>
      <c r="AN27" s="34">
        <f>AA27/L27*100</f>
        <v>6.3097679749036173</v>
      </c>
      <c r="AO27" s="30"/>
      <c r="AP27" s="30"/>
      <c r="AQ27" s="205"/>
      <c r="AR27" s="36"/>
      <c r="AS27" s="6"/>
      <c r="AT27" s="3" t="s">
        <v>0</v>
      </c>
    </row>
    <row r="28" spans="2:47" hidden="1">
      <c r="B28" s="44">
        <f>MAX(B$13:B26)+1</f>
        <v>8</v>
      </c>
      <c r="D28" s="2" t="s">
        <v>50</v>
      </c>
      <c r="F28" s="27" t="s">
        <v>51</v>
      </c>
      <c r="G28" s="12"/>
      <c r="H28" s="28">
        <v>63.666666666666671</v>
      </c>
      <c r="I28" s="28">
        <f>'Table A rate case'!I28</f>
        <v>0</v>
      </c>
      <c r="J28" s="3"/>
      <c r="K28" s="28">
        <v>1569938.6044392167</v>
      </c>
      <c r="L28" s="28">
        <f>'Table A rate case'!L28</f>
        <v>0</v>
      </c>
      <c r="N28" s="46">
        <v>38996.209349631463</v>
      </c>
      <c r="O28" s="28">
        <v>0</v>
      </c>
      <c r="P28" s="46"/>
      <c r="Q28" s="162">
        <f t="shared" si="9"/>
        <v>0</v>
      </c>
      <c r="R28" s="46"/>
      <c r="S28" s="162">
        <f t="shared" ref="S28" si="14">O28*$U$48</f>
        <v>0</v>
      </c>
      <c r="T28" s="46"/>
      <c r="U28" s="162">
        <v>0</v>
      </c>
      <c r="V28" s="46"/>
      <c r="W28" s="173" t="e">
        <f t="shared" si="4"/>
        <v>#DIV/0!</v>
      </c>
      <c r="X28" s="29"/>
      <c r="Y28" s="29">
        <f>'Table A rate case'!O28</f>
        <v>0</v>
      </c>
      <c r="Z28" s="30"/>
      <c r="AA28" s="29">
        <f>'Table A rate case'!Q28</f>
        <v>0</v>
      </c>
      <c r="AB28" s="29"/>
      <c r="AC28" s="31">
        <f t="shared" si="10"/>
        <v>0</v>
      </c>
      <c r="AD28" s="29"/>
      <c r="AE28" s="29">
        <f t="shared" si="11"/>
        <v>0</v>
      </c>
      <c r="AF28" s="32">
        <v>0</v>
      </c>
      <c r="AG28" s="29">
        <v>0</v>
      </c>
      <c r="AH28" s="32">
        <v>0</v>
      </c>
      <c r="AI28" s="29">
        <f t="shared" si="7"/>
        <v>0</v>
      </c>
      <c r="AJ28" s="32">
        <v>0</v>
      </c>
      <c r="AK28" s="30"/>
      <c r="AL28" s="33" t="e">
        <f t="shared" si="8"/>
        <v>#DIV/0!</v>
      </c>
      <c r="AM28" s="30"/>
      <c r="AN28" s="34">
        <v>0</v>
      </c>
      <c r="AO28" s="30"/>
      <c r="AP28" s="30"/>
      <c r="AQ28" s="205"/>
      <c r="AR28" s="36"/>
      <c r="AS28" s="6"/>
    </row>
    <row r="29" spans="2:47">
      <c r="B29" s="44">
        <f>MAX(B$13:B28)+1</f>
        <v>9</v>
      </c>
      <c r="D29" s="2" t="s">
        <v>52</v>
      </c>
      <c r="F29" s="12" t="s">
        <v>53</v>
      </c>
      <c r="G29" s="12"/>
      <c r="H29" s="28">
        <v>28</v>
      </c>
      <c r="I29" s="28">
        <f>'Table A rate case'!I29</f>
        <v>29.977777777777749</v>
      </c>
      <c r="J29" s="3"/>
      <c r="K29" s="28">
        <v>1569938.6044392167</v>
      </c>
      <c r="L29" s="28">
        <f>'Table A rate case'!L29</f>
        <v>294.55045303791917</v>
      </c>
      <c r="N29" s="46">
        <v>18.659249899021408</v>
      </c>
      <c r="O29" s="171">
        <v>0</v>
      </c>
      <c r="P29" s="54"/>
      <c r="Q29" s="162">
        <f t="shared" si="9"/>
        <v>0</v>
      </c>
      <c r="R29" s="54"/>
      <c r="S29" s="172">
        <f>O29*$U$52</f>
        <v>0</v>
      </c>
      <c r="T29" s="54"/>
      <c r="U29" s="172">
        <f t="shared" si="3"/>
        <v>0</v>
      </c>
      <c r="V29" s="54"/>
      <c r="W29" s="173">
        <f t="shared" si="4"/>
        <v>0</v>
      </c>
      <c r="Y29" s="29">
        <f>'Table A rate case'!O29</f>
        <v>25.790024491772925</v>
      </c>
      <c r="Z29" s="30"/>
      <c r="AA29" s="29">
        <f>'Table A rate case'!Q29</f>
        <v>26.174024491772926</v>
      </c>
      <c r="AB29" s="29"/>
      <c r="AC29" s="31">
        <f t="shared" si="10"/>
        <v>26.621741180390561</v>
      </c>
      <c r="AD29" s="29"/>
      <c r="AE29" s="29">
        <f t="shared" si="11"/>
        <v>0.38400000000000034</v>
      </c>
      <c r="AF29" s="32">
        <f>AE29/Y29</f>
        <v>1.4889477911217076E-2</v>
      </c>
      <c r="AG29" s="29">
        <f t="shared" si="6"/>
        <v>0.44771668861763708</v>
      </c>
      <c r="AH29" s="32">
        <f t="shared" si="12"/>
        <v>1.736007225431134E-2</v>
      </c>
      <c r="AI29" s="29">
        <f t="shared" si="7"/>
        <v>0.83171668861763748</v>
      </c>
      <c r="AJ29" s="32">
        <f t="shared" si="13"/>
        <v>3.2249550165528419E-2</v>
      </c>
      <c r="AK29" s="30"/>
      <c r="AL29" s="33">
        <f t="shared" si="8"/>
        <v>0.152</v>
      </c>
      <c r="AM29" s="30"/>
      <c r="AN29" s="34">
        <f>AA29/L29*100</f>
        <v>8.8860920843341553</v>
      </c>
      <c r="AO29" s="30"/>
      <c r="AP29" s="30"/>
      <c r="AQ29" s="205"/>
      <c r="AR29" s="36"/>
      <c r="AS29" s="6"/>
    </row>
    <row r="30" spans="2:47">
      <c r="B30" s="14"/>
      <c r="F30" s="12"/>
      <c r="G30" s="12"/>
      <c r="H30" s="38"/>
      <c r="I30" s="38"/>
      <c r="K30" s="38"/>
      <c r="L30" s="38"/>
      <c r="N30" s="38"/>
      <c r="O30" s="39"/>
      <c r="Q30" s="165"/>
      <c r="S30" s="165"/>
      <c r="U30" s="165"/>
      <c r="W30" s="167"/>
      <c r="Y30" s="38"/>
      <c r="Z30" s="6"/>
      <c r="AA30" s="38"/>
      <c r="AB30" s="6"/>
      <c r="AC30" s="39"/>
      <c r="AD30" s="6"/>
      <c r="AE30" s="38"/>
      <c r="AF30" s="40"/>
      <c r="AG30" s="38"/>
      <c r="AH30" s="40"/>
      <c r="AI30" s="38"/>
      <c r="AJ30" s="40"/>
      <c r="AK30" s="6"/>
      <c r="AL30" s="41"/>
      <c r="AM30" s="6"/>
      <c r="AN30" s="39"/>
      <c r="AO30" s="6"/>
      <c r="AP30" s="6"/>
      <c r="AQ30" s="204"/>
      <c r="AR30" s="6"/>
      <c r="AS30" s="6"/>
    </row>
    <row r="31" spans="2:47">
      <c r="B31" s="14"/>
      <c r="O31" s="28"/>
      <c r="P31" s="46"/>
      <c r="Q31" s="162"/>
      <c r="R31" s="46"/>
      <c r="S31" s="162"/>
      <c r="T31" s="46"/>
      <c r="U31" s="162"/>
      <c r="V31" s="46"/>
      <c r="W31" s="163"/>
      <c r="X31" s="46"/>
      <c r="AF31" s="42"/>
      <c r="AH31" s="42"/>
      <c r="AJ31" s="42"/>
      <c r="AL31" s="43"/>
      <c r="AQ31" s="204"/>
      <c r="AR31" s="6"/>
      <c r="AS31" s="6"/>
    </row>
    <row r="32" spans="2:47">
      <c r="B32" s="44">
        <f>MAX(B$13:B31)+1</f>
        <v>10</v>
      </c>
      <c r="D32" s="26" t="s">
        <v>54</v>
      </c>
      <c r="H32" s="45">
        <f>SUM(H22:H29)</f>
        <v>23780.5</v>
      </c>
      <c r="I32" s="45">
        <f>SUM(I22:I29)</f>
        <v>25182.428024905177</v>
      </c>
      <c r="K32" s="45">
        <f>SUM(K22:K29)</f>
        <v>12559508.835513733</v>
      </c>
      <c r="L32" s="45">
        <f>SUM(L22:L29)</f>
        <v>2424681.1953612347</v>
      </c>
      <c r="M32" s="45"/>
      <c r="N32" s="29">
        <f>SUM(N22:N29)</f>
        <v>170969.95465759834</v>
      </c>
      <c r="O32" s="28">
        <f>SUM(O22:O31)</f>
        <v>287290.78629736137</v>
      </c>
      <c r="P32" s="46"/>
      <c r="Q32" s="162">
        <f>SUM(Q22:Q31)</f>
        <v>-1212.367118174865</v>
      </c>
      <c r="R32" s="46"/>
      <c r="S32" s="162">
        <f>SUM(S22:S31)</f>
        <v>-2146.0621736412895</v>
      </c>
      <c r="T32" s="46"/>
      <c r="U32" s="162">
        <f>SUM(U22:U31)</f>
        <v>-933.69505546642472</v>
      </c>
      <c r="V32" s="46"/>
      <c r="W32" s="173">
        <f t="shared" ref="W32" si="15">U32/AA32</f>
        <v>-5.071641370826223E-3</v>
      </c>
      <c r="X32" s="46"/>
      <c r="Y32" s="29">
        <f>SUM(Y22:Y29)</f>
        <v>179243.75420998497</v>
      </c>
      <c r="Z32" s="30"/>
      <c r="AA32" s="29">
        <f>SUM(AA22:AA29)</f>
        <v>184101.15920998494</v>
      </c>
      <c r="AB32" s="46"/>
      <c r="AC32" s="31">
        <f>SUM(AC22:AC29)</f>
        <v>187252.6598820778</v>
      </c>
      <c r="AD32" s="46"/>
      <c r="AE32" s="29">
        <f>SUM(AE22:AE29)</f>
        <v>4857.4049999999861</v>
      </c>
      <c r="AF32" s="32">
        <f>AE32/Y32</f>
        <v>2.7099437977121988E-2</v>
      </c>
      <c r="AG32" s="29">
        <f>SUM(AG22:AG29)</f>
        <v>3151.5006720928573</v>
      </c>
      <c r="AH32" s="32">
        <f>AG32/Y32</f>
        <v>1.7582206342324533E-2</v>
      </c>
      <c r="AI32" s="29">
        <f>AE32+AG32</f>
        <v>8008.9056720928438</v>
      </c>
      <c r="AJ32" s="32"/>
      <c r="AK32" s="30"/>
      <c r="AL32" s="33"/>
      <c r="AM32" s="30"/>
      <c r="AN32" s="34">
        <f>AA32/L32*100</f>
        <v>7.5927985733628427</v>
      </c>
      <c r="AO32" s="30"/>
      <c r="AP32" s="30"/>
      <c r="AQ32" s="205"/>
      <c r="AR32" s="36"/>
      <c r="AS32" s="6"/>
    </row>
    <row r="33" spans="2:46">
      <c r="B33" s="14"/>
      <c r="O33" s="28"/>
      <c r="P33" s="46"/>
      <c r="Q33" s="162"/>
      <c r="R33" s="46"/>
      <c r="S33" s="162"/>
      <c r="T33" s="46"/>
      <c r="U33" s="162"/>
      <c r="V33" s="46"/>
      <c r="W33" s="163"/>
      <c r="X33" s="46"/>
      <c r="AF33" s="42"/>
      <c r="AH33" s="42"/>
      <c r="AJ33" s="42"/>
      <c r="AL33" s="43"/>
      <c r="AQ33" s="204"/>
      <c r="AR33" s="6"/>
      <c r="AS33" s="6"/>
    </row>
    <row r="34" spans="2:46">
      <c r="B34" s="14"/>
      <c r="D34" s="26" t="s">
        <v>55</v>
      </c>
      <c r="O34" s="28"/>
      <c r="P34" s="28"/>
      <c r="Q34" s="162"/>
      <c r="R34" s="28"/>
      <c r="S34" s="162"/>
      <c r="T34" s="28"/>
      <c r="U34" s="162"/>
      <c r="V34" s="28"/>
      <c r="W34" s="163"/>
      <c r="X34" s="28"/>
      <c r="AF34" s="42"/>
      <c r="AH34" s="42"/>
      <c r="AJ34" s="42"/>
      <c r="AL34" s="43"/>
      <c r="AQ34" s="204"/>
      <c r="AR34" s="6"/>
      <c r="AS34" s="6"/>
    </row>
    <row r="35" spans="2:46">
      <c r="B35" s="44">
        <f>MAX(B$13:B34)+1</f>
        <v>11</v>
      </c>
      <c r="D35" s="2" t="s">
        <v>56</v>
      </c>
      <c r="F35" s="12" t="s">
        <v>57</v>
      </c>
      <c r="G35" s="12"/>
      <c r="H35" s="28">
        <v>2828</v>
      </c>
      <c r="I35" s="28">
        <f>'Table A rate case'!I35</f>
        <v>2531.9166666666665</v>
      </c>
      <c r="J35" s="3"/>
      <c r="K35" s="28">
        <v>1569938.6044392167</v>
      </c>
      <c r="L35" s="28">
        <f>'Table A rate case'!L35</f>
        <v>3355.2350684260427</v>
      </c>
      <c r="N35" s="46">
        <v>473.92026673033644</v>
      </c>
      <c r="O35" s="28">
        <f>('305 Inputs'!H36+'305 Inputs'!H71+'305 Inputs'!H137)/1000</f>
        <v>1642.1189999999999</v>
      </c>
      <c r="P35" s="46"/>
      <c r="Q35" s="162">
        <f>O35*-0.0041</f>
        <v>-6.7326879000000002</v>
      </c>
      <c r="R35" s="46"/>
      <c r="S35" s="162">
        <f>O35*$U$52</f>
        <v>-12.26662893</v>
      </c>
      <c r="T35" s="46"/>
      <c r="U35" s="162">
        <f t="shared" ref="U35:U39" si="16">S35-Q35</f>
        <v>-5.5339410299999994</v>
      </c>
      <c r="V35" s="46"/>
      <c r="W35" s="173">
        <f t="shared" ref="W35:W39" si="17">U35/AA35</f>
        <v>-1.163425102763071E-2</v>
      </c>
      <c r="X35" s="28"/>
      <c r="Y35" s="29">
        <f>'Table A rate case'!O35</f>
        <v>468.63441510785196</v>
      </c>
      <c r="Z35" s="30"/>
      <c r="AA35" s="29">
        <f>'Table A rate case'!Q35</f>
        <v>475.65941433249048</v>
      </c>
      <c r="AB35" s="29"/>
      <c r="AC35" s="31">
        <f t="shared" ref="AC35:AC39" si="18">AA35+AG35</f>
        <v>483.77908319808148</v>
      </c>
      <c r="AD35" s="29"/>
      <c r="AE35" s="29">
        <f t="shared" ref="AE35:AE39" si="19">AA35-Y35</f>
        <v>7.0249992246385204</v>
      </c>
      <c r="AF35" s="32">
        <f>AE35/Y35</f>
        <v>1.4990361352402556E-2</v>
      </c>
      <c r="AG35" s="29">
        <f>(AL35/100)*L35</f>
        <v>8.1196688655910236</v>
      </c>
      <c r="AH35" s="32">
        <f>AG35/Y35</f>
        <v>1.7326232568135987E-2</v>
      </c>
      <c r="AI35" s="29">
        <f>AE35+AG35</f>
        <v>15.144668090229544</v>
      </c>
      <c r="AJ35" s="32">
        <f>AI35/Y35</f>
        <v>3.2316593920538539E-2</v>
      </c>
      <c r="AK35" s="30"/>
      <c r="AL35" s="33">
        <f t="shared" ref="AL35:AL39" si="20">ROUND((((AA35/$AA$44)*$AG$51)/L35)*100,3)</f>
        <v>0.24199999999999999</v>
      </c>
      <c r="AM35" s="30"/>
      <c r="AN35" s="34">
        <f>AA35/L35*100</f>
        <v>14.176634561572602</v>
      </c>
      <c r="AO35" s="30"/>
      <c r="AP35" s="30"/>
      <c r="AQ35" s="205"/>
      <c r="AR35" s="36"/>
      <c r="AS35" s="6"/>
    </row>
    <row r="36" spans="2:46">
      <c r="B36" s="44">
        <f>MAX(B$13:B35)+1</f>
        <v>12</v>
      </c>
      <c r="D36" s="2" t="s">
        <v>58</v>
      </c>
      <c r="F36" s="12" t="s">
        <v>59</v>
      </c>
      <c r="G36" s="12"/>
      <c r="H36" s="28">
        <v>178</v>
      </c>
      <c r="I36" s="28">
        <f>'Table A rate case'!I36</f>
        <v>163</v>
      </c>
      <c r="J36" s="3"/>
      <c r="K36" s="28">
        <v>1569938.6044392167</v>
      </c>
      <c r="L36" s="28">
        <f>'Table A rate case'!L36</f>
        <v>3186.5956037362384</v>
      </c>
      <c r="N36" s="46">
        <v>522.31224201957195</v>
      </c>
      <c r="O36" s="28">
        <v>0</v>
      </c>
      <c r="P36" s="46"/>
      <c r="Q36" s="162">
        <f t="shared" ref="Q36:Q39" si="21">O36*-0.0041</f>
        <v>0</v>
      </c>
      <c r="R36" s="46"/>
      <c r="S36" s="162">
        <f>O36*$U$52</f>
        <v>0</v>
      </c>
      <c r="T36" s="46"/>
      <c r="U36" s="162">
        <f t="shared" si="16"/>
        <v>0</v>
      </c>
      <c r="V36" s="46"/>
      <c r="W36" s="173">
        <f t="shared" si="17"/>
        <v>0</v>
      </c>
      <c r="X36" s="6"/>
      <c r="Y36" s="29">
        <f>'Table A rate case'!O36</f>
        <v>620.98089382532601</v>
      </c>
      <c r="Z36" s="30"/>
      <c r="AA36" s="29">
        <f>'Table A rate case'!Q36</f>
        <v>630.25889382532603</v>
      </c>
      <c r="AB36" s="29"/>
      <c r="AC36" s="31">
        <f t="shared" si="18"/>
        <v>641.02958696595454</v>
      </c>
      <c r="AD36" s="29"/>
      <c r="AE36" s="29">
        <f t="shared" si="19"/>
        <v>9.27800000000002</v>
      </c>
      <c r="AF36" s="32">
        <f>AE36/Y36</f>
        <v>1.494087836237004E-2</v>
      </c>
      <c r="AG36" s="29">
        <f>(AL36/100)*L36</f>
        <v>10.770693140628486</v>
      </c>
      <c r="AH36" s="32">
        <f>AG36/Y36</f>
        <v>1.7344644976562105E-2</v>
      </c>
      <c r="AI36" s="29">
        <f>AE36+AG36</f>
        <v>20.048693140628508</v>
      </c>
      <c r="AJ36" s="32">
        <f>AI36/Y36</f>
        <v>3.228552333893215E-2</v>
      </c>
      <c r="AK36" s="30"/>
      <c r="AL36" s="33">
        <f t="shared" si="20"/>
        <v>0.33800000000000002</v>
      </c>
      <c r="AM36" s="30"/>
      <c r="AN36" s="34">
        <f>AA36/L36*100</f>
        <v>19.778439821054054</v>
      </c>
      <c r="AO36" s="30"/>
      <c r="AP36" s="30"/>
      <c r="AQ36" s="205"/>
      <c r="AR36" s="36"/>
      <c r="AS36" s="35" t="s">
        <v>0</v>
      </c>
    </row>
    <row r="37" spans="2:46">
      <c r="B37" s="44">
        <f>MAX(B$13:B36)+1</f>
        <v>13</v>
      </c>
      <c r="D37" s="2" t="s">
        <v>58</v>
      </c>
      <c r="F37" s="12">
        <v>52</v>
      </c>
      <c r="G37" s="12"/>
      <c r="H37" s="28">
        <v>30</v>
      </c>
      <c r="I37" s="28">
        <f>'Table A rate case'!I37</f>
        <v>15</v>
      </c>
      <c r="J37" s="3"/>
      <c r="K37" s="28">
        <v>1569938.6044392167</v>
      </c>
      <c r="L37" s="28">
        <f>'Table A rate case'!L37</f>
        <v>198.34085987577339</v>
      </c>
      <c r="N37" s="46">
        <v>60.670270195709442</v>
      </c>
      <c r="O37" s="28">
        <v>0</v>
      </c>
      <c r="P37" s="46"/>
      <c r="Q37" s="162">
        <f t="shared" si="21"/>
        <v>0</v>
      </c>
      <c r="R37" s="46"/>
      <c r="S37" s="162">
        <f>O37*$U$52</f>
        <v>0</v>
      </c>
      <c r="T37" s="46"/>
      <c r="U37" s="162">
        <f t="shared" si="16"/>
        <v>0</v>
      </c>
      <c r="V37" s="46"/>
      <c r="W37" s="173">
        <f t="shared" si="17"/>
        <v>0</v>
      </c>
      <c r="Y37" s="29">
        <f>'Table A rate case'!O37</f>
        <v>33.511850718803466</v>
      </c>
      <c r="Z37" s="30"/>
      <c r="AA37" s="29">
        <f>'Table A rate case'!Q37</f>
        <v>34.010850718803461</v>
      </c>
      <c r="AB37" s="29"/>
      <c r="AC37" s="31">
        <f t="shared" si="18"/>
        <v>34.59198943823948</v>
      </c>
      <c r="AD37" s="29"/>
      <c r="AE37" s="29">
        <f t="shared" si="19"/>
        <v>0.49899999999999523</v>
      </c>
      <c r="AF37" s="32">
        <f>AE37/Y37</f>
        <v>1.4890254918687819E-2</v>
      </c>
      <c r="AG37" s="29">
        <f>(AL37/100)*L37</f>
        <v>0.58113871943601603</v>
      </c>
      <c r="AH37" s="32">
        <f>AG37/Y37</f>
        <v>1.7341289930906133E-2</v>
      </c>
      <c r="AI37" s="29">
        <f>AE37+AG37</f>
        <v>1.0801387194360113</v>
      </c>
      <c r="AJ37" s="32">
        <f>AI37/Y37</f>
        <v>3.2231544849593952E-2</v>
      </c>
      <c r="AK37" s="30"/>
      <c r="AL37" s="33">
        <f t="shared" si="20"/>
        <v>0.29299999999999998</v>
      </c>
      <c r="AM37" s="30"/>
      <c r="AN37" s="34">
        <f>AA37/L37*100</f>
        <v>17.147677357104048</v>
      </c>
      <c r="AO37" s="30"/>
      <c r="AP37" s="30"/>
      <c r="AQ37" s="205"/>
      <c r="AR37" s="36"/>
      <c r="AS37" s="6"/>
    </row>
    <row r="38" spans="2:46">
      <c r="B38" s="44">
        <f>MAX(B$13:B37)+1</f>
        <v>14</v>
      </c>
      <c r="D38" s="2" t="s">
        <v>58</v>
      </c>
      <c r="F38" s="12">
        <v>53</v>
      </c>
      <c r="G38" s="12"/>
      <c r="H38" s="28">
        <v>272.33333333333337</v>
      </c>
      <c r="I38" s="28">
        <f>'Table A rate case'!I38</f>
        <v>217.08333333333334</v>
      </c>
      <c r="J38" s="3"/>
      <c r="K38" s="28">
        <v>1569938.6044392167</v>
      </c>
      <c r="L38" s="28">
        <f>'Table A rate case'!L38</f>
        <v>4161.9537848388163</v>
      </c>
      <c r="N38" s="28">
        <v>278.83306975907675</v>
      </c>
      <c r="O38" s="28">
        <v>0</v>
      </c>
      <c r="P38" s="28"/>
      <c r="Q38" s="162">
        <f t="shared" si="21"/>
        <v>0</v>
      </c>
      <c r="R38" s="28"/>
      <c r="S38" s="162">
        <f>O38*$U$52</f>
        <v>0</v>
      </c>
      <c r="T38" s="28"/>
      <c r="U38" s="162">
        <f t="shared" si="16"/>
        <v>0</v>
      </c>
      <c r="V38" s="28"/>
      <c r="W38" s="173">
        <f t="shared" si="17"/>
        <v>0</v>
      </c>
      <c r="X38" s="54"/>
      <c r="Y38" s="29">
        <f>'Table A rate case'!O38</f>
        <v>286.22928702344217</v>
      </c>
      <c r="Z38" s="30"/>
      <c r="AA38" s="29">
        <f>'Table A rate case'!Q38</f>
        <v>290.49259358894909</v>
      </c>
      <c r="AB38" s="29"/>
      <c r="AC38" s="31">
        <f t="shared" si="18"/>
        <v>295.44531859290726</v>
      </c>
      <c r="AD38" s="29"/>
      <c r="AE38" s="29">
        <f t="shared" si="19"/>
        <v>4.2633065655069231</v>
      </c>
      <c r="AF38" s="32">
        <f>AE38/Y38</f>
        <v>1.4894725168908933E-2</v>
      </c>
      <c r="AG38" s="29">
        <f>(AL38/100)*L38</f>
        <v>4.9527250039581912</v>
      </c>
      <c r="AH38" s="32">
        <f>AG38/Y38</f>
        <v>1.7303348149529378E-2</v>
      </c>
      <c r="AI38" s="29">
        <f>AE38+AG38</f>
        <v>9.2160315694651143</v>
      </c>
      <c r="AJ38" s="32">
        <f>AI38/Y38</f>
        <v>3.2198073318438311E-2</v>
      </c>
      <c r="AK38" s="30"/>
      <c r="AL38" s="33">
        <f t="shared" si="20"/>
        <v>0.11899999999999999</v>
      </c>
      <c r="AM38" s="30"/>
      <c r="AN38" s="34">
        <f>AA38/L38*100</f>
        <v>6.979716945612342</v>
      </c>
      <c r="AO38" s="30"/>
      <c r="AP38" s="30"/>
      <c r="AQ38" s="205"/>
      <c r="AR38" s="36"/>
      <c r="AS38" s="6"/>
      <c r="AT38" s="3" t="s">
        <v>0</v>
      </c>
    </row>
    <row r="39" spans="2:46">
      <c r="B39" s="44">
        <f>MAX(B$13:B38)+1</f>
        <v>15</v>
      </c>
      <c r="D39" s="2" t="s">
        <v>58</v>
      </c>
      <c r="F39" s="12">
        <v>57</v>
      </c>
      <c r="G39" s="12"/>
      <c r="H39" s="28">
        <v>50.666666666666664</v>
      </c>
      <c r="I39" s="28">
        <f>'Table A rate case'!I39</f>
        <v>33.916666666666664</v>
      </c>
      <c r="J39" s="3"/>
      <c r="K39" s="28">
        <v>1569938.6044392167</v>
      </c>
      <c r="L39" s="28">
        <f>'Table A rate case'!L39</f>
        <v>1743.2558167712143</v>
      </c>
      <c r="N39" s="28">
        <v>235.8029580256418</v>
      </c>
      <c r="O39" s="28">
        <v>0</v>
      </c>
      <c r="P39" s="28"/>
      <c r="Q39" s="162">
        <f t="shared" si="21"/>
        <v>0</v>
      </c>
      <c r="R39" s="28"/>
      <c r="S39" s="162">
        <f>O39*$U$52</f>
        <v>0</v>
      </c>
      <c r="T39" s="28"/>
      <c r="U39" s="162">
        <f t="shared" si="16"/>
        <v>0</v>
      </c>
      <c r="V39" s="28"/>
      <c r="W39" s="173">
        <f t="shared" si="17"/>
        <v>0</v>
      </c>
      <c r="X39" s="54"/>
      <c r="Y39" s="29">
        <f>'Table A rate case'!O39</f>
        <v>212.91005677457667</v>
      </c>
      <c r="Z39" s="30"/>
      <c r="AA39" s="29">
        <f>'Table A rate case'!Q39</f>
        <v>216.05905677457665</v>
      </c>
      <c r="AB39" s="29"/>
      <c r="AC39" s="31">
        <f t="shared" si="18"/>
        <v>219.75475910613162</v>
      </c>
      <c r="AD39" s="29"/>
      <c r="AE39" s="29">
        <f t="shared" si="19"/>
        <v>3.1489999999999725</v>
      </c>
      <c r="AF39" s="32">
        <f>AE39/Y39</f>
        <v>1.479028303174071E-2</v>
      </c>
      <c r="AG39" s="29">
        <f>(AL39/100)*L39</f>
        <v>3.6957023315549744</v>
      </c>
      <c r="AH39" s="32">
        <f>AG39/Y39</f>
        <v>1.735804493006116E-2</v>
      </c>
      <c r="AI39" s="29">
        <f>AE39+AG39</f>
        <v>6.8447023315549469</v>
      </c>
      <c r="AJ39" s="32">
        <f>AI39/Y39</f>
        <v>3.2148327961801872E-2</v>
      </c>
      <c r="AK39" s="30"/>
      <c r="AL39" s="33">
        <f t="shared" si="20"/>
        <v>0.21199999999999999</v>
      </c>
      <c r="AM39" s="30"/>
      <c r="AN39" s="34">
        <f>AA39/L39*100</f>
        <v>12.393996032937507</v>
      </c>
      <c r="AO39" s="30"/>
      <c r="AP39" s="30"/>
      <c r="AQ39" s="205"/>
      <c r="AR39" s="36"/>
      <c r="AS39" s="6"/>
    </row>
    <row r="40" spans="2:46">
      <c r="B40" s="14"/>
      <c r="H40" s="38"/>
      <c r="I40" s="38"/>
      <c r="K40" s="38"/>
      <c r="L40" s="38"/>
      <c r="N40" s="38"/>
      <c r="O40" s="38"/>
      <c r="P40" s="6"/>
      <c r="Q40" s="165"/>
      <c r="R40" s="6"/>
      <c r="S40" s="165"/>
      <c r="T40" s="6"/>
      <c r="U40" s="165"/>
      <c r="V40" s="6"/>
      <c r="W40" s="167"/>
      <c r="X40" s="63"/>
      <c r="Y40" s="38"/>
      <c r="Z40" s="6"/>
      <c r="AA40" s="39"/>
      <c r="AB40" s="6"/>
      <c r="AC40" s="39"/>
      <c r="AD40" s="6"/>
      <c r="AE40" s="38"/>
      <c r="AF40" s="40"/>
      <c r="AG40" s="38"/>
      <c r="AH40" s="40"/>
      <c r="AI40" s="38"/>
      <c r="AJ40" s="40"/>
      <c r="AK40" s="6"/>
      <c r="AL40" s="41"/>
      <c r="AM40" s="6"/>
      <c r="AN40" s="39"/>
      <c r="AO40" s="6"/>
      <c r="AP40" s="6"/>
      <c r="AQ40" s="204"/>
      <c r="AR40" s="6"/>
      <c r="AS40" s="6"/>
    </row>
    <row r="41" spans="2:46">
      <c r="B41" s="14"/>
      <c r="Q41" s="162"/>
      <c r="S41" s="162"/>
      <c r="U41" s="162"/>
      <c r="W41" s="163"/>
      <c r="X41" s="63"/>
      <c r="AF41" s="42"/>
      <c r="AH41" s="42"/>
      <c r="AJ41" s="42"/>
      <c r="AL41" s="43"/>
      <c r="AQ41" s="204"/>
      <c r="AR41" s="6"/>
      <c r="AS41" s="6"/>
    </row>
    <row r="42" spans="2:46">
      <c r="B42" s="44">
        <f>MAX(B$13:B41)+1</f>
        <v>16</v>
      </c>
      <c r="D42" s="26" t="s">
        <v>60</v>
      </c>
      <c r="H42" s="52">
        <f>SUM(H35:H39)</f>
        <v>3359</v>
      </c>
      <c r="I42" s="52">
        <f>SUM(I35:I39)</f>
        <v>2960.9166666666665</v>
      </c>
      <c r="K42" s="52">
        <f>SUM(K35:K39)</f>
        <v>7849693.0221960833</v>
      </c>
      <c r="L42" s="52">
        <f>SUM(L35:L39)</f>
        <v>12645.381133648085</v>
      </c>
      <c r="M42" s="45"/>
      <c r="N42" s="53">
        <f>SUM(N35:N39)</f>
        <v>1571.5388067303365</v>
      </c>
      <c r="O42" s="52">
        <f>SUM(O35:O39)</f>
        <v>1642.1189999999999</v>
      </c>
      <c r="P42" s="54"/>
      <c r="Q42" s="165">
        <f>SUM(Q35:Q39)</f>
        <v>-6.7326879000000002</v>
      </c>
      <c r="R42" s="54"/>
      <c r="S42" s="165">
        <f>SUM(S35:S39)</f>
        <v>-12.26662893</v>
      </c>
      <c r="T42" s="54"/>
      <c r="U42" s="165">
        <f>SUM(U35:U41)</f>
        <v>-5.5339410299999994</v>
      </c>
      <c r="V42" s="54"/>
      <c r="W42" s="167">
        <f>U42/AA42</f>
        <v>-3.361072293672177E-3</v>
      </c>
      <c r="X42" s="63"/>
      <c r="Y42" s="53">
        <f>SUM(Y35:Y39)</f>
        <v>1622.2665034500001</v>
      </c>
      <c r="Z42" s="36"/>
      <c r="AA42" s="53">
        <f>SUM(AA35:AA39)</f>
        <v>1646.4808092401458</v>
      </c>
      <c r="AB42" s="54"/>
      <c r="AC42" s="53">
        <f>SUM(AC35:AC39)</f>
        <v>1674.6007373013144</v>
      </c>
      <c r="AD42" s="54"/>
      <c r="AE42" s="53">
        <f>SUM(AE35:AE39)</f>
        <v>24.214305790145431</v>
      </c>
      <c r="AF42" s="55">
        <f>AE42/Y42</f>
        <v>1.4926219421192493E-2</v>
      </c>
      <c r="AG42" s="53">
        <f>SUM(AG35:AG39)</f>
        <v>28.119928061168693</v>
      </c>
      <c r="AH42" s="55">
        <f>AG42/Y42</f>
        <v>1.7333729076799236E-2</v>
      </c>
      <c r="AI42" s="53">
        <f>AE42+AG42</f>
        <v>52.334233851314124</v>
      </c>
      <c r="AJ42" s="55">
        <f>AI42/Y42</f>
        <v>3.2259948497991728E-2</v>
      </c>
      <c r="AK42" s="36"/>
      <c r="AL42" s="33"/>
      <c r="AM42" s="36"/>
      <c r="AN42" s="56">
        <f>AA42/L42*100</f>
        <v>13.020412685379853</v>
      </c>
      <c r="AO42" s="36"/>
      <c r="AP42" s="36"/>
      <c r="AQ42" s="206"/>
      <c r="AR42" s="36"/>
      <c r="AS42" s="6"/>
    </row>
    <row r="43" spans="2:46">
      <c r="B43" s="14"/>
      <c r="D43" s="26"/>
      <c r="H43" s="57"/>
      <c r="I43" s="57"/>
      <c r="K43" s="57"/>
      <c r="L43" s="57"/>
      <c r="M43" s="45"/>
      <c r="N43" s="54"/>
      <c r="O43" s="54"/>
      <c r="P43" s="54"/>
      <c r="Q43" s="162"/>
      <c r="R43" s="54"/>
      <c r="S43" s="162"/>
      <c r="T43" s="54"/>
      <c r="U43" s="162"/>
      <c r="V43" s="54"/>
      <c r="W43" s="163"/>
      <c r="X43" s="63"/>
      <c r="Y43" s="54"/>
      <c r="Z43" s="54"/>
      <c r="AA43" s="54"/>
      <c r="AB43" s="54"/>
      <c r="AC43" s="54"/>
      <c r="AD43" s="54"/>
      <c r="AE43" s="54"/>
      <c r="AF43" s="58"/>
      <c r="AG43" s="54"/>
      <c r="AH43" s="58"/>
      <c r="AI43" s="54"/>
      <c r="AJ43" s="59"/>
      <c r="AK43" s="54"/>
      <c r="AL43" s="60"/>
      <c r="AM43" s="54"/>
      <c r="AN43" s="54"/>
      <c r="AO43" s="54"/>
      <c r="AP43" s="54"/>
      <c r="AQ43" s="204"/>
      <c r="AR43" s="54"/>
      <c r="AS43" s="6"/>
    </row>
    <row r="44" spans="2:46" ht="16.5" thickBot="1">
      <c r="B44" s="44">
        <f>MAX(B$13:B43)+1</f>
        <v>17</v>
      </c>
      <c r="D44" s="186" t="s">
        <v>149</v>
      </c>
      <c r="H44" s="61">
        <f>H42+H32+H19</f>
        <v>128476.41666666667</v>
      </c>
      <c r="I44" s="61">
        <f>I42+I32+I19</f>
        <v>132778.43714676326</v>
      </c>
      <c r="K44" s="61">
        <f>K42+K32+K19</f>
        <v>21979140.462149035</v>
      </c>
      <c r="L44" s="61">
        <f>L42+L32+L19</f>
        <v>4010161.4332736093</v>
      </c>
      <c r="N44" s="62">
        <f>N42+N32+N19</f>
        <v>275214.43788963149</v>
      </c>
      <c r="O44" s="61">
        <f>O42+O32+O19</f>
        <v>1861767.7620760878</v>
      </c>
      <c r="P44" s="63"/>
      <c r="Q44" s="166">
        <f>Q42+Q32+Q19</f>
        <v>-7856.4629016810904</v>
      </c>
      <c r="R44" s="63"/>
      <c r="S44" s="166">
        <f>S42+S32+S19</f>
        <v>-13907.405182708377</v>
      </c>
      <c r="T44" s="63"/>
      <c r="U44" s="166">
        <f>U42+U32+U19</f>
        <v>-6050.9422810272863</v>
      </c>
      <c r="V44" s="63"/>
      <c r="W44" s="168">
        <f>U44/AA44</f>
        <v>-1.8307464438771969E-2</v>
      </c>
      <c r="X44" s="63"/>
      <c r="Y44" s="62">
        <f>Y42+Y32+Y19</f>
        <v>320954.13952952309</v>
      </c>
      <c r="Z44" s="36"/>
      <c r="AA44" s="62">
        <f>AA42+AA32+AA19</f>
        <v>330517.76783531322</v>
      </c>
      <c r="AB44" s="63"/>
      <c r="AC44" s="62">
        <f>AC42+AC32+AC19</f>
        <v>336166.7391606099</v>
      </c>
      <c r="AD44" s="63"/>
      <c r="AE44" s="62">
        <f>AE42+AE32+AE19</f>
        <v>9563.6283057901528</v>
      </c>
      <c r="AF44" s="64">
        <f>AE44/Y44</f>
        <v>2.9797491690897598E-2</v>
      </c>
      <c r="AG44" s="62">
        <f>AG42+AG32+AG19</f>
        <v>5648.9713252966267</v>
      </c>
      <c r="AH44" s="64">
        <f>AG44/Y44</f>
        <v>1.7600556059433545E-2</v>
      </c>
      <c r="AI44" s="62">
        <f>AE44+AG44</f>
        <v>15212.599631086779</v>
      </c>
      <c r="AJ44" s="64">
        <f>AI44/Y44</f>
        <v>4.7398047750331143E-2</v>
      </c>
      <c r="AK44" s="36"/>
      <c r="AL44" s="33">
        <f>ROUND((((AA44/$AA$44)*$AG$51)/L44)*100,4)</f>
        <v>0.1409</v>
      </c>
      <c r="AM44" s="36"/>
      <c r="AN44" s="207">
        <f>AA44/L44*100</f>
        <v>8.2420065459933891</v>
      </c>
      <c r="AO44" s="36"/>
      <c r="AP44" s="36"/>
      <c r="AQ44" s="35" t="s">
        <v>0</v>
      </c>
      <c r="AR44" s="36"/>
      <c r="AS44" s="37" t="s">
        <v>0</v>
      </c>
    </row>
    <row r="45" spans="2:46" ht="16.5" thickTop="1">
      <c r="B45" s="388" t="s">
        <v>0</v>
      </c>
      <c r="C45" s="389"/>
      <c r="D45" s="389"/>
      <c r="H45" s="65"/>
      <c r="I45" s="65"/>
      <c r="K45" s="65"/>
      <c r="L45" s="65"/>
      <c r="N45" s="63"/>
      <c r="O45" s="63"/>
      <c r="P45" s="63"/>
      <c r="Q45" s="162"/>
      <c r="R45" s="63"/>
      <c r="S45" s="162"/>
      <c r="T45" s="63"/>
      <c r="U45" s="162"/>
      <c r="V45" s="63"/>
      <c r="W45" s="163"/>
      <c r="Y45" s="63"/>
      <c r="Z45" s="36"/>
      <c r="AA45" s="63"/>
      <c r="AB45" s="63"/>
      <c r="AC45" s="63"/>
      <c r="AD45" s="63"/>
      <c r="AE45" s="63"/>
      <c r="AF45" s="42"/>
      <c r="AG45" s="63"/>
      <c r="AH45" s="42"/>
      <c r="AI45" s="36"/>
      <c r="AK45" s="36"/>
      <c r="AL45" s="36"/>
      <c r="AM45" s="36"/>
      <c r="AN45" s="36"/>
      <c r="AO45" s="36"/>
      <c r="AP45" s="36"/>
      <c r="AQ45" s="205"/>
      <c r="AR45" s="36"/>
      <c r="AS45" s="6"/>
    </row>
    <row r="46" spans="2:46">
      <c r="B46" s="44">
        <v>18</v>
      </c>
      <c r="D46" s="2" t="s">
        <v>61</v>
      </c>
      <c r="H46" s="65"/>
      <c r="I46" s="65"/>
      <c r="K46" s="65"/>
      <c r="L46" s="65"/>
      <c r="N46" s="63">
        <v>311.00673999999998</v>
      </c>
      <c r="O46" s="63"/>
      <c r="P46" s="63"/>
      <c r="Q46" s="172"/>
      <c r="R46" s="63"/>
      <c r="S46" s="172"/>
      <c r="T46" s="63"/>
      <c r="U46" s="172"/>
      <c r="V46" s="63"/>
      <c r="W46" s="173"/>
      <c r="Y46" s="31">
        <v>652</v>
      </c>
      <c r="Z46" s="66"/>
      <c r="AA46" s="31">
        <f>Y46</f>
        <v>652</v>
      </c>
      <c r="AB46" s="63"/>
      <c r="AC46" s="31">
        <f>AA46</f>
        <v>652</v>
      </c>
      <c r="AD46" s="63"/>
      <c r="AE46" s="49"/>
      <c r="AF46" s="32"/>
      <c r="AG46" s="49"/>
      <c r="AH46" s="32"/>
      <c r="AI46" s="36"/>
      <c r="AK46" s="36"/>
      <c r="AL46" s="36"/>
      <c r="AM46" s="36"/>
      <c r="AN46" s="34"/>
      <c r="AO46" s="30"/>
      <c r="AP46" s="36"/>
      <c r="AQ46" s="205"/>
      <c r="AR46" s="36"/>
      <c r="AS46" s="6"/>
    </row>
    <row r="47" spans="2:46">
      <c r="B47" s="44"/>
      <c r="H47" s="65"/>
      <c r="I47" s="65"/>
      <c r="K47" s="65"/>
      <c r="L47" s="65"/>
      <c r="N47" s="63"/>
      <c r="O47" s="63"/>
      <c r="P47" s="63"/>
      <c r="Q47" s="162"/>
      <c r="R47" s="63"/>
      <c r="S47" s="162"/>
      <c r="T47" s="63"/>
      <c r="U47" s="162"/>
      <c r="V47" s="63"/>
      <c r="W47" s="163"/>
      <c r="X47" s="72"/>
      <c r="Y47" s="63"/>
      <c r="Z47" s="66"/>
      <c r="AA47" s="31"/>
      <c r="AB47" s="63"/>
      <c r="AC47" s="31"/>
      <c r="AD47" s="63"/>
      <c r="AE47" s="49"/>
      <c r="AF47" s="32"/>
      <c r="AG47" s="49"/>
      <c r="AH47" s="32"/>
      <c r="AI47" s="36"/>
      <c r="AK47" s="36"/>
      <c r="AL47" s="36"/>
      <c r="AM47" s="36"/>
      <c r="AN47" s="34"/>
      <c r="AO47" s="30"/>
      <c r="AP47" s="36"/>
      <c r="AQ47" s="205"/>
      <c r="AR47" s="36"/>
      <c r="AS47" s="6"/>
    </row>
    <row r="48" spans="2:46" ht="16.5" thickBot="1">
      <c r="B48" s="44">
        <v>19</v>
      </c>
      <c r="D48" s="67" t="s">
        <v>62</v>
      </c>
      <c r="H48" s="68">
        <f>SUM(H44:H46)</f>
        <v>128476.41666666667</v>
      </c>
      <c r="I48" s="68">
        <f>SUM(I44:I46)</f>
        <v>132778.43714676326</v>
      </c>
      <c r="K48" s="68">
        <f>SUM(K44:K46)</f>
        <v>21979140.462149035</v>
      </c>
      <c r="L48" s="68">
        <f>SUM(L44:L46)</f>
        <v>4010161.4332736093</v>
      </c>
      <c r="N48" s="62">
        <f>SUM(N44:N46)</f>
        <v>275525.44462963147</v>
      </c>
      <c r="O48" s="68">
        <f>SUM(O44:O46)</f>
        <v>1861767.7620760878</v>
      </c>
      <c r="P48" s="63"/>
      <c r="Q48" s="166">
        <f>SUM(Q44:Q46)</f>
        <v>-7856.4629016810904</v>
      </c>
      <c r="R48" s="63"/>
      <c r="S48" s="166">
        <f>SUM(S44:S46)</f>
        <v>-13907.405182708377</v>
      </c>
      <c r="T48" s="63"/>
      <c r="U48" s="166">
        <f>SUM(U44:U46)</f>
        <v>-6050.9422810272863</v>
      </c>
      <c r="V48" s="63"/>
      <c r="W48" s="168">
        <f>U48/AA48</f>
        <v>-1.8271421091904584E-2</v>
      </c>
      <c r="Y48" s="62">
        <f>SUM(Y44:Y46)</f>
        <v>321606.13952952309</v>
      </c>
      <c r="AA48" s="69">
        <f>SUM(AA44:AA46)</f>
        <v>331169.76783531322</v>
      </c>
      <c r="AB48" s="63"/>
      <c r="AC48" s="69">
        <f>SUM(AC44:AC46)</f>
        <v>336818.7391606099</v>
      </c>
      <c r="AD48" s="63"/>
      <c r="AE48" s="62">
        <f>SUM(AE44:AE46)</f>
        <v>9563.6283057901528</v>
      </c>
      <c r="AF48" s="64">
        <f>AE48/Y48</f>
        <v>2.9737082506511733E-2</v>
      </c>
      <c r="AG48" s="62">
        <f>SUM(AG44:AG46)</f>
        <v>5648.9713252966267</v>
      </c>
      <c r="AH48" s="64">
        <f>AG48/Y48</f>
        <v>1.7564874021250013E-2</v>
      </c>
      <c r="AN48" s="207">
        <f>AA48/L48*100</f>
        <v>8.2582652430770072</v>
      </c>
      <c r="AO48" s="30"/>
      <c r="AQ48" s="6"/>
      <c r="AR48" s="6"/>
      <c r="AS48" s="6"/>
    </row>
    <row r="49" spans="10:44" ht="18.75" customHeight="1" thickTop="1">
      <c r="J49" s="3"/>
      <c r="AE49" s="29" t="s">
        <v>0</v>
      </c>
      <c r="AF49" s="70" t="s">
        <v>0</v>
      </c>
      <c r="AH49" s="70" t="s">
        <v>0</v>
      </c>
    </row>
    <row r="50" spans="10:44" ht="18.75" customHeight="1">
      <c r="AE50" s="208" t="s">
        <v>0</v>
      </c>
      <c r="AF50" s="170" t="s">
        <v>0</v>
      </c>
      <c r="AH50" s="70"/>
    </row>
    <row r="51" spans="10:44">
      <c r="N51" s="72"/>
      <c r="O51" s="72"/>
      <c r="P51" s="72"/>
      <c r="Q51" s="72"/>
      <c r="R51" s="72"/>
      <c r="S51" s="72"/>
      <c r="T51" s="72"/>
      <c r="U51" s="158">
        <v>-13916601</v>
      </c>
      <c r="V51" s="72"/>
      <c r="W51" s="72"/>
      <c r="Y51" s="72"/>
      <c r="Z51" s="6"/>
      <c r="AC51" s="49"/>
      <c r="AE51" s="49"/>
      <c r="AF51" s="73"/>
      <c r="AG51" s="49">
        <v>5649.1189999999997</v>
      </c>
      <c r="AH51" s="73"/>
      <c r="AI51" s="6"/>
      <c r="AK51" s="6"/>
      <c r="AL51" s="6"/>
      <c r="AM51" s="6"/>
      <c r="AN51" s="6"/>
      <c r="AO51" s="6"/>
      <c r="AP51" s="6"/>
      <c r="AQ51" s="6"/>
      <c r="AR51" s="6"/>
    </row>
    <row r="52" spans="10:44">
      <c r="U52" s="197">
        <f>ROUND(U51/O48,2)/1000</f>
        <v>-7.4700000000000001E-3</v>
      </c>
      <c r="W52" s="164" t="s">
        <v>277</v>
      </c>
      <c r="Z52" s="6"/>
      <c r="AE52" s="74"/>
      <c r="AI52" s="6"/>
      <c r="AJ52" s="6"/>
      <c r="AK52" s="6"/>
      <c r="AL52" s="6"/>
      <c r="AM52" s="6"/>
      <c r="AN52" s="63"/>
      <c r="AO52" s="6"/>
      <c r="AP52" s="6"/>
      <c r="AQ52" s="6"/>
      <c r="AR52" s="6"/>
    </row>
    <row r="53" spans="10:44">
      <c r="AA53" s="35"/>
      <c r="AE53" s="75"/>
      <c r="AF53" s="76"/>
      <c r="AG53" s="75"/>
    </row>
    <row r="54" spans="10:44">
      <c r="AA54" s="6"/>
      <c r="AE54" s="77"/>
      <c r="AF54" s="78"/>
      <c r="AG54" s="77"/>
    </row>
    <row r="55" spans="10:44">
      <c r="AA55" s="25"/>
      <c r="AE55" s="79"/>
      <c r="AF55" s="80"/>
      <c r="AG55" s="79"/>
    </row>
    <row r="56" spans="10:44">
      <c r="AA56" s="81"/>
      <c r="AF56" s="42"/>
    </row>
    <row r="57" spans="10:44">
      <c r="AA57" s="3"/>
      <c r="AF57" s="82"/>
    </row>
    <row r="59" spans="10:44">
      <c r="AA59" s="25"/>
      <c r="AH59" s="50"/>
    </row>
  </sheetData>
  <mergeCells count="9">
    <mergeCell ref="AG10:AJ10"/>
    <mergeCell ref="B45:D45"/>
    <mergeCell ref="U9:W9"/>
    <mergeCell ref="B2:W2"/>
    <mergeCell ref="B3:W3"/>
    <mergeCell ref="B4:W4"/>
    <mergeCell ref="B5:W5"/>
    <mergeCell ref="B6:W6"/>
    <mergeCell ref="B7:W7"/>
  </mergeCells>
  <printOptions horizontalCentered="1"/>
  <pageMargins left="0.25" right="0.25" top="0.5" bottom="0.5" header="0.5" footer="0.25"/>
  <pageSetup scale="73" orientation="landscape" r:id="rId1"/>
  <headerFooter alignWithMargins="0">
    <oddFooter xml:space="preserve">&amp;CPage 1 of 1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Normal="100" workbookViewId="0">
      <selection activeCell="C45" sqref="C45"/>
    </sheetView>
  </sheetViews>
  <sheetFormatPr defaultRowHeight="12.75"/>
  <cols>
    <col min="1" max="1" width="14" style="175" customWidth="1"/>
    <col min="2" max="2" width="11.875" style="175" customWidth="1"/>
    <col min="3" max="3" width="8.875" style="175" bestFit="1" customWidth="1"/>
    <col min="4" max="16384" width="9" style="175"/>
  </cols>
  <sheetData>
    <row r="1" spans="1:3">
      <c r="A1" s="174" t="s">
        <v>63</v>
      </c>
    </row>
    <row r="2" spans="1:3">
      <c r="A2" s="174" t="s">
        <v>140</v>
      </c>
    </row>
    <row r="3" spans="1:3">
      <c r="A3" s="174" t="s">
        <v>141</v>
      </c>
    </row>
    <row r="4" spans="1:3">
      <c r="A4" s="174" t="s">
        <v>274</v>
      </c>
    </row>
    <row r="7" spans="1:3">
      <c r="B7" s="176" t="s">
        <v>275</v>
      </c>
    </row>
    <row r="8" spans="1:3">
      <c r="A8" s="174" t="s">
        <v>142</v>
      </c>
      <c r="B8" s="176" t="s">
        <v>120</v>
      </c>
    </row>
    <row r="9" spans="1:3">
      <c r="A9" s="177" t="s">
        <v>39</v>
      </c>
      <c r="B9" s="178">
        <f>'Attachment D'!O19</f>
        <v>1572834.8567787264</v>
      </c>
    </row>
    <row r="10" spans="1:3">
      <c r="A10" s="177" t="s">
        <v>148</v>
      </c>
      <c r="B10" s="178">
        <f>'Attachment D'!O32</f>
        <v>287290.78629736137</v>
      </c>
    </row>
    <row r="11" spans="1:3" ht="13.5" thickBot="1">
      <c r="A11" s="179" t="s">
        <v>143</v>
      </c>
      <c r="B11" s="185">
        <f>'Attachment D'!O42</f>
        <v>1642.1189999999999</v>
      </c>
    </row>
    <row r="12" spans="1:3" ht="13.5" thickTop="1">
      <c r="A12" s="177" t="s">
        <v>76</v>
      </c>
      <c r="B12" s="178">
        <f>SUM(B9:B11)</f>
        <v>1861767.7620760878</v>
      </c>
    </row>
    <row r="14" spans="1:3">
      <c r="A14" s="174" t="s">
        <v>144</v>
      </c>
      <c r="B14" s="180">
        <f>'Attachment D'!U51</f>
        <v>-13916601</v>
      </c>
    </row>
    <row r="16" spans="1:3">
      <c r="A16" s="181" t="s">
        <v>145</v>
      </c>
      <c r="B16" s="182">
        <f>ROUND(B14/B12/10,3)</f>
        <v>-0.747</v>
      </c>
      <c r="C16" s="183" t="s">
        <v>146</v>
      </c>
    </row>
    <row r="19" spans="1:2">
      <c r="A19" s="174" t="s">
        <v>147</v>
      </c>
      <c r="B19" s="180">
        <f>B16/100*B12*1000</f>
        <v>-13907405.182708375</v>
      </c>
    </row>
    <row r="20" spans="1:2">
      <c r="B20" s="180">
        <f>B19-B14</f>
        <v>9195.8172916248441</v>
      </c>
    </row>
    <row r="21" spans="1:2">
      <c r="B21" s="184">
        <f>B20/B14</f>
        <v>-6.607804083500593E-4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51"/>
  <sheetViews>
    <sheetView view="pageBreakPreview" zoomScale="75" zoomScaleNormal="100" workbookViewId="0">
      <selection activeCell="AV29" sqref="AV29"/>
    </sheetView>
  </sheetViews>
  <sheetFormatPr defaultColWidth="8.5" defaultRowHeight="15"/>
  <cols>
    <col min="1" max="1" width="1.875" style="83" customWidth="1"/>
    <col min="2" max="2" width="10.875" style="83" customWidth="1"/>
    <col min="3" max="3" width="1.75" style="83" customWidth="1"/>
    <col min="4" max="4" width="11.25" style="83" hidden="1" customWidth="1"/>
    <col min="5" max="5" width="8.25" style="83" bestFit="1" customWidth="1"/>
    <col min="6" max="6" width="3.25" style="83" customWidth="1"/>
    <col min="7" max="7" width="13.75" style="83" bestFit="1" customWidth="1"/>
    <col min="8" max="8" width="2.125" style="83" customWidth="1"/>
    <col min="9" max="9" width="8.5" style="83" bestFit="1" customWidth="1"/>
    <col min="10" max="10" width="2.125" style="83" customWidth="1"/>
    <col min="11" max="11" width="12.625" style="83" bestFit="1" customWidth="1"/>
    <col min="12" max="12" width="1.75" style="83" customWidth="1"/>
    <col min="13" max="13" width="8.5" style="83" bestFit="1" customWidth="1"/>
    <col min="14" max="14" width="2" style="83" customWidth="1"/>
    <col min="15" max="15" width="10.5" style="83" bestFit="1" customWidth="1"/>
    <col min="16" max="16" width="1.875" style="83" customWidth="1"/>
    <col min="17" max="17" width="8.5" style="83" bestFit="1" customWidth="1"/>
    <col min="18" max="18" width="3" style="83" customWidth="1"/>
    <col min="19" max="19" width="16.125" style="83" customWidth="1"/>
    <col min="20" max="20" width="13.25" style="83" customWidth="1"/>
    <col min="21" max="21" width="9.25" style="83" customWidth="1"/>
    <col min="22" max="22" width="8.375" style="83" customWidth="1"/>
    <col min="23" max="23" width="2.25" style="83" customWidth="1"/>
    <col min="24" max="16384" width="8.5" style="83"/>
  </cols>
  <sheetData>
    <row r="2" spans="2:24" ht="18.75">
      <c r="B2" s="92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27"/>
      <c r="P2" s="86" t="s">
        <v>0</v>
      </c>
      <c r="Q2" s="127"/>
    </row>
    <row r="3" spans="2:24" ht="18.75">
      <c r="B3" s="87" t="s">
        <v>63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2:24" ht="18.75">
      <c r="B4" s="87" t="s">
        <v>89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2:24" ht="18.75">
      <c r="B5" s="87" t="s">
        <v>90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2:24" ht="18.75">
      <c r="B6" s="87" t="s">
        <v>0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</row>
    <row r="7" spans="2:24"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</row>
    <row r="8" spans="2:24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X8" s="92"/>
    </row>
    <row r="9" spans="2:24">
      <c r="G9" s="92"/>
      <c r="H9" s="92"/>
      <c r="I9" s="92"/>
      <c r="J9" s="92"/>
      <c r="K9" s="92"/>
      <c r="L9" s="92"/>
      <c r="M9" s="92"/>
      <c r="X9" s="92"/>
    </row>
    <row r="10" spans="2:24">
      <c r="B10" s="92"/>
      <c r="C10" s="92"/>
      <c r="D10" s="92"/>
      <c r="E10" s="92"/>
      <c r="G10" s="92"/>
      <c r="H10" s="92"/>
      <c r="I10" s="92"/>
      <c r="J10" s="92"/>
      <c r="K10" s="92"/>
      <c r="L10" s="92"/>
      <c r="M10" s="92"/>
      <c r="X10" s="92"/>
    </row>
    <row r="11" spans="2:24">
      <c r="B11" s="92"/>
      <c r="C11" s="92"/>
      <c r="D11" s="92"/>
      <c r="E11" s="92"/>
      <c r="G11" s="94"/>
      <c r="H11" s="94"/>
      <c r="I11" s="94"/>
      <c r="J11" s="94"/>
      <c r="K11" s="94"/>
      <c r="L11" s="94"/>
      <c r="M11" s="94"/>
      <c r="O11" s="88"/>
      <c r="P11" s="88"/>
      <c r="Q11" s="88"/>
      <c r="X11" s="92"/>
    </row>
    <row r="12" spans="2:24" ht="15.75" thickBot="1">
      <c r="G12" s="386" t="s">
        <v>91</v>
      </c>
      <c r="H12" s="386"/>
      <c r="I12" s="386"/>
      <c r="K12" s="386" t="s">
        <v>92</v>
      </c>
      <c r="L12" s="386"/>
      <c r="M12" s="386"/>
      <c r="O12" s="386" t="s">
        <v>93</v>
      </c>
      <c r="P12" s="386"/>
      <c r="Q12" s="386"/>
      <c r="X12" s="92"/>
    </row>
    <row r="13" spans="2:24">
      <c r="B13" s="128" t="s">
        <v>94</v>
      </c>
      <c r="G13" s="95" t="s">
        <v>67</v>
      </c>
      <c r="H13" s="93"/>
      <c r="I13" s="93" t="s">
        <v>95</v>
      </c>
      <c r="J13" s="103"/>
      <c r="K13" s="95" t="s">
        <v>7</v>
      </c>
      <c r="L13" s="93"/>
      <c r="M13" s="93" t="s">
        <v>95</v>
      </c>
      <c r="O13" s="93"/>
      <c r="P13" s="93"/>
      <c r="Q13" s="93" t="s">
        <v>95</v>
      </c>
      <c r="S13" s="129" t="s">
        <v>71</v>
      </c>
      <c r="T13" s="130"/>
      <c r="U13" s="131" t="s">
        <v>72</v>
      </c>
      <c r="V13" s="130"/>
      <c r="X13" s="92"/>
    </row>
    <row r="14" spans="2:24">
      <c r="B14" s="132" t="s">
        <v>96</v>
      </c>
      <c r="C14" s="95"/>
      <c r="D14" s="95" t="s">
        <v>97</v>
      </c>
      <c r="G14" s="133" t="s">
        <v>98</v>
      </c>
      <c r="H14" s="93" t="s">
        <v>0</v>
      </c>
      <c r="I14" s="93" t="s">
        <v>99</v>
      </c>
      <c r="J14" s="103"/>
      <c r="K14" s="133" t="s">
        <v>100</v>
      </c>
      <c r="L14" s="93" t="s">
        <v>0</v>
      </c>
      <c r="M14" s="93" t="s">
        <v>99</v>
      </c>
      <c r="O14" s="93" t="s">
        <v>101</v>
      </c>
      <c r="P14" s="93" t="s">
        <v>0</v>
      </c>
      <c r="Q14" s="93" t="s">
        <v>99</v>
      </c>
      <c r="S14" s="134" t="s">
        <v>102</v>
      </c>
      <c r="T14" s="104">
        <f>6.918+V22+V30+V31</f>
        <v>7.2530000000000001</v>
      </c>
      <c r="U14" s="135"/>
      <c r="V14" s="104">
        <f>T14</f>
        <v>7.2530000000000001</v>
      </c>
      <c r="X14" s="92"/>
    </row>
    <row r="15" spans="2:24">
      <c r="B15" s="133" t="s">
        <v>103</v>
      </c>
      <c r="C15" s="95"/>
      <c r="D15" s="136" t="s">
        <v>104</v>
      </c>
      <c r="E15" s="98" t="s">
        <v>26</v>
      </c>
      <c r="G15" s="98" t="s">
        <v>105</v>
      </c>
      <c r="H15" s="93"/>
      <c r="I15" s="98" t="s">
        <v>74</v>
      </c>
      <c r="J15" s="103"/>
      <c r="K15" s="98" t="s">
        <v>105</v>
      </c>
      <c r="L15" s="93"/>
      <c r="M15" s="98" t="s">
        <v>74</v>
      </c>
      <c r="O15" s="98" t="s">
        <v>106</v>
      </c>
      <c r="P15" s="93"/>
      <c r="Q15" s="98" t="s">
        <v>74</v>
      </c>
      <c r="S15" s="134" t="s">
        <v>0</v>
      </c>
      <c r="T15" s="137" t="s">
        <v>0</v>
      </c>
      <c r="U15" s="138" t="s">
        <v>0</v>
      </c>
      <c r="V15" s="137" t="s">
        <v>0</v>
      </c>
      <c r="X15" s="92"/>
    </row>
    <row r="16" spans="2:24">
      <c r="B16" s="93"/>
      <c r="C16" s="95"/>
      <c r="D16" s="136"/>
      <c r="E16" s="93"/>
      <c r="G16" s="93"/>
      <c r="H16" s="93"/>
      <c r="I16" s="93"/>
      <c r="J16" s="103"/>
      <c r="K16" s="93"/>
      <c r="L16" s="93"/>
      <c r="M16" s="93"/>
      <c r="O16" s="93"/>
      <c r="P16" s="93"/>
      <c r="Q16" s="93"/>
      <c r="S16" s="139" t="s">
        <v>99</v>
      </c>
      <c r="T16" s="140"/>
      <c r="U16" s="140"/>
      <c r="V16" s="141"/>
      <c r="X16" s="92"/>
    </row>
    <row r="17" spans="2:24">
      <c r="B17" s="142" t="s">
        <v>107</v>
      </c>
      <c r="C17" s="103"/>
      <c r="G17" s="103"/>
      <c r="H17" s="103"/>
      <c r="I17" s="103"/>
      <c r="J17" s="103"/>
      <c r="S17" s="143" t="s">
        <v>108</v>
      </c>
      <c r="T17" s="144">
        <v>25.54</v>
      </c>
      <c r="U17" s="135"/>
      <c r="V17" s="145">
        <f>T17</f>
        <v>25.54</v>
      </c>
      <c r="X17" s="92"/>
    </row>
    <row r="18" spans="2:24">
      <c r="B18" s="83">
        <v>10</v>
      </c>
      <c r="D18" s="107">
        <v>200</v>
      </c>
      <c r="E18" s="107">
        <f>ROUND((B$18*D18),0)</f>
        <v>2000</v>
      </c>
      <c r="G18" s="146">
        <f>ROUND(((E18*$T$14/100))+(E18*$V$25/100),2)</f>
        <v>136.62</v>
      </c>
      <c r="H18" s="146"/>
      <c r="I18" s="146">
        <f>$B$18*$T$17+V27</f>
        <v>269.67999999999995</v>
      </c>
      <c r="J18" s="126"/>
      <c r="K18" s="146">
        <f>ROUND((($E18*$V$14/100))+(($E18*$V$26)/100),2)</f>
        <v>130.12</v>
      </c>
      <c r="L18" s="146"/>
      <c r="M18" s="146">
        <f>$B$18*$V$17+$V$27</f>
        <v>269.67999999999995</v>
      </c>
      <c r="O18" s="110">
        <f>ROUND((K18-G18)/G18,4)</f>
        <v>-4.7600000000000003E-2</v>
      </c>
      <c r="P18" s="110"/>
      <c r="Q18" s="110">
        <f>ROUND((M18-I18)/I18,4)</f>
        <v>0</v>
      </c>
      <c r="S18" s="143" t="s">
        <v>109</v>
      </c>
      <c r="T18" s="144">
        <v>17.79</v>
      </c>
      <c r="U18" s="135"/>
      <c r="V18" s="145">
        <f>T18</f>
        <v>17.79</v>
      </c>
      <c r="X18" s="92"/>
    </row>
    <row r="19" spans="2:24">
      <c r="D19" s="107">
        <v>300</v>
      </c>
      <c r="E19" s="107">
        <f>ROUND((B$18*D19),0)</f>
        <v>3000</v>
      </c>
      <c r="G19" s="146">
        <f t="shared" ref="G19:G20" si="0">ROUND(((E19*$T$14/100))+(E19*$V$25/100),2)</f>
        <v>204.93</v>
      </c>
      <c r="H19" s="146"/>
      <c r="I19" s="146">
        <f>$B$18*$T$17+V27</f>
        <v>269.67999999999995</v>
      </c>
      <c r="J19" s="126"/>
      <c r="K19" s="146">
        <f t="shared" ref="K19:K20" si="1">ROUND((($E19*$V$14/100))+(($E19*$V$26)/100),2)</f>
        <v>195.18</v>
      </c>
      <c r="L19" s="146"/>
      <c r="M19" s="146">
        <f>$B$18*$V$17+$V$27</f>
        <v>269.67999999999995</v>
      </c>
      <c r="O19" s="110">
        <f>ROUND((K19-G19)/G19,4)</f>
        <v>-4.7600000000000003E-2</v>
      </c>
      <c r="P19" s="110"/>
      <c r="Q19" s="110">
        <f>ROUND((M19-I19)/I19,4)</f>
        <v>0</v>
      </c>
      <c r="S19" s="143" t="s">
        <v>110</v>
      </c>
      <c r="T19" s="144">
        <v>13.92</v>
      </c>
      <c r="U19" s="135"/>
      <c r="V19" s="145">
        <f>T19</f>
        <v>13.92</v>
      </c>
      <c r="X19" s="92"/>
    </row>
    <row r="20" spans="2:24">
      <c r="D20" s="107">
        <v>500</v>
      </c>
      <c r="E20" s="107">
        <f>ROUND((B$18*D20),0)</f>
        <v>5000</v>
      </c>
      <c r="G20" s="146">
        <f t="shared" si="0"/>
        <v>341.55</v>
      </c>
      <c r="H20" s="146"/>
      <c r="I20" s="146">
        <f>$B$18*$T$17+V27</f>
        <v>269.67999999999995</v>
      </c>
      <c r="J20" s="126"/>
      <c r="K20" s="146">
        <f t="shared" si="1"/>
        <v>325.3</v>
      </c>
      <c r="L20" s="146"/>
      <c r="M20" s="146">
        <f>$B$18*$V$17+$V$27</f>
        <v>269.67999999999995</v>
      </c>
      <c r="O20" s="110">
        <f>ROUND((K20-G20)/G20,4)</f>
        <v>-4.7600000000000003E-2</v>
      </c>
      <c r="P20" s="110"/>
      <c r="Q20" s="110">
        <f>ROUND((M20-I20)/I20,4)</f>
        <v>0</v>
      </c>
      <c r="S20" s="143" t="s">
        <v>109</v>
      </c>
      <c r="T20" s="147">
        <v>362</v>
      </c>
      <c r="U20" s="135"/>
      <c r="V20" s="148">
        <f>T20</f>
        <v>362</v>
      </c>
      <c r="X20" s="92"/>
    </row>
    <row r="21" spans="2:24">
      <c r="G21" s="146"/>
      <c r="H21" s="146"/>
      <c r="I21" s="146"/>
      <c r="J21" s="126"/>
      <c r="K21" s="146"/>
      <c r="L21" s="146"/>
      <c r="M21" s="146"/>
      <c r="S21" s="149" t="s">
        <v>110</v>
      </c>
      <c r="T21" s="150">
        <v>1479</v>
      </c>
      <c r="U21" s="151"/>
      <c r="V21" s="152">
        <f>T21</f>
        <v>1479</v>
      </c>
      <c r="X21" s="92"/>
    </row>
    <row r="22" spans="2:24">
      <c r="B22" s="142" t="s">
        <v>111</v>
      </c>
      <c r="C22" s="103"/>
      <c r="G22" s="146"/>
      <c r="H22" s="146"/>
      <c r="I22" s="146"/>
      <c r="J22" s="126"/>
      <c r="K22" s="146"/>
      <c r="L22" s="146"/>
      <c r="M22" s="146"/>
      <c r="T22" s="113" t="s">
        <v>80</v>
      </c>
      <c r="U22" s="113"/>
      <c r="V22" s="114">
        <v>0.28499999999999998</v>
      </c>
      <c r="X22" s="92"/>
    </row>
    <row r="23" spans="2:24">
      <c r="B23" s="83">
        <v>20</v>
      </c>
      <c r="D23" s="107">
        <v>200</v>
      </c>
      <c r="E23" s="107">
        <f>ROUND((B$23*D23),0)</f>
        <v>4000</v>
      </c>
      <c r="G23" s="146">
        <f>ROUND(((E23*$T$14/100))+(E23*$V$25/100),2)</f>
        <v>273.24</v>
      </c>
      <c r="H23" s="146"/>
      <c r="I23" s="146">
        <f>IF($B$23&lt;51,$B$23*$T$17,IF($B$23&lt;301,$B$23*$T$18+$T$20,$T$21+$T$19*$B$23))+V27</f>
        <v>525.07999999999993</v>
      </c>
      <c r="J23" s="126"/>
      <c r="K23" s="146">
        <f>ROUND((($E23*$V$14/100))+(($E23*$V$26)/100),2)</f>
        <v>260.24</v>
      </c>
      <c r="L23" s="146"/>
      <c r="M23" s="146">
        <f>IF($B$23&lt;51,$B$23*$V$17,IF($B$23&lt;301,$B$23*$V$18+$V$20,$V$21+$V$19*$B$23))+$V$27</f>
        <v>525.07999999999993</v>
      </c>
      <c r="O23" s="110">
        <f>ROUND((K23-G23)/G23,4)</f>
        <v>-4.7600000000000003E-2</v>
      </c>
      <c r="P23" s="110"/>
      <c r="Q23" s="110">
        <f>ROUND((M23-I23)/I23,4)</f>
        <v>0</v>
      </c>
      <c r="T23" s="113"/>
      <c r="U23" s="113"/>
      <c r="V23" s="114">
        <v>0.28499999999999998</v>
      </c>
      <c r="X23" s="92"/>
    </row>
    <row r="24" spans="2:24">
      <c r="D24" s="107">
        <v>300</v>
      </c>
      <c r="E24" s="107">
        <f>ROUND((B$23*D24),0)</f>
        <v>6000</v>
      </c>
      <c r="G24" s="146">
        <f>ROUND(((E24*$T$14/100))+(E24*$V$25/100),2)</f>
        <v>409.86</v>
      </c>
      <c r="H24" s="146"/>
      <c r="I24" s="146">
        <f>IF($B$23&lt;51,$B$23*$T$17,IF($B$23&lt;301,$B$23*$T$18+$T$20,$T$21+$T$19*$B$23))+V27</f>
        <v>525.07999999999993</v>
      </c>
      <c r="J24" s="126"/>
      <c r="K24" s="146">
        <f>ROUND((($E24*$V$14/100))+(($E24*$V$26)/100),2)</f>
        <v>390.36</v>
      </c>
      <c r="L24" s="146"/>
      <c r="M24" s="146">
        <f t="shared" ref="M24:M25" si="2">IF($B$23&lt;51,$B$23*$V$17,IF($B$23&lt;301,$B$23*$V$18+$V$20,$V$21+$V$19*$B$23))+$V$27</f>
        <v>525.07999999999993</v>
      </c>
      <c r="O24" s="110">
        <f>ROUND((K24-G24)/G24,4)</f>
        <v>-4.7600000000000003E-2</v>
      </c>
      <c r="P24" s="110"/>
      <c r="Q24" s="110">
        <f>ROUND((M24-I24)/I24,4)</f>
        <v>0</v>
      </c>
      <c r="T24" s="113"/>
      <c r="U24" s="113"/>
      <c r="V24" s="117"/>
    </row>
    <row r="25" spans="2:24">
      <c r="D25" s="107">
        <v>500</v>
      </c>
      <c r="E25" s="107">
        <f>ROUND((B$23*D25),0)</f>
        <v>10000</v>
      </c>
      <c r="G25" s="146">
        <f>ROUND(((E25*$T$14/100))+(E25*$V$25/100),2)</f>
        <v>683.1</v>
      </c>
      <c r="H25" s="146"/>
      <c r="I25" s="146">
        <f>IF($B$23&lt;51,$B$23*$T$17,IF($B$23&lt;301,$B$23*$T$18+$T$20,$T$21+$T$19*$B$23))+V27</f>
        <v>525.07999999999993</v>
      </c>
      <c r="J25" s="126"/>
      <c r="K25" s="146">
        <f>ROUND((($E25*$V$14/100))+(($E25*$V$26)/100),2)</f>
        <v>650.6</v>
      </c>
      <c r="L25" s="146"/>
      <c r="M25" s="146">
        <f t="shared" si="2"/>
        <v>525.07999999999993</v>
      </c>
      <c r="O25" s="110">
        <f>ROUND((K25-G25)/G25,4)</f>
        <v>-4.7600000000000003E-2</v>
      </c>
      <c r="P25" s="110"/>
      <c r="Q25" s="110">
        <f>ROUND((M25-I25)/I25,4)</f>
        <v>0</v>
      </c>
      <c r="T25" s="113" t="s">
        <v>81</v>
      </c>
      <c r="U25" s="113"/>
      <c r="V25" s="114">
        <v>-0.42199999999999999</v>
      </c>
    </row>
    <row r="26" spans="2:24">
      <c r="G26" s="146"/>
      <c r="H26" s="146"/>
      <c r="I26" s="146"/>
      <c r="J26" s="126"/>
      <c r="K26" s="146"/>
      <c r="L26" s="146"/>
      <c r="M26" s="146"/>
      <c r="T26" s="83" t="s">
        <v>0</v>
      </c>
      <c r="U26" s="83" t="s">
        <v>0</v>
      </c>
      <c r="V26" s="187">
        <f>'Calculation of BPA Credit OCT15'!B16</f>
        <v>-0.747</v>
      </c>
    </row>
    <row r="27" spans="2:24">
      <c r="B27" s="83">
        <v>100</v>
      </c>
      <c r="D27" s="107">
        <v>200</v>
      </c>
      <c r="E27" s="107">
        <f>ROUND((B$27*D27),0)</f>
        <v>20000</v>
      </c>
      <c r="G27" s="146">
        <f>ROUND(((E27*$T$14/100))+(E27*$V$25/100),2)</f>
        <v>1366.2</v>
      </c>
      <c r="H27" s="146"/>
      <c r="I27" s="146">
        <f>IF($B$27&lt;51,$B$27*$T$17,IF($B$27&lt;301,$B$27*$T$18+$T$20,$T$21+$T$19*$B$27))+V27</f>
        <v>2155.2800000000002</v>
      </c>
      <c r="J27" s="126"/>
      <c r="K27" s="146">
        <f>ROUND((($E27*$V$14/100))+(($E27*$V$26)/100),2)</f>
        <v>1301.2</v>
      </c>
      <c r="L27" s="146"/>
      <c r="M27" s="146">
        <f>IF($B$27&lt;51,$B$27*$V$17,IF($B$27&lt;301,$B$27*$V$18+$V$20,$V$21+$V$19*$B$27))+$V$27</f>
        <v>2155.2800000000002</v>
      </c>
      <c r="O27" s="110">
        <f>ROUND((K27-G27)/G27,4)</f>
        <v>-4.7600000000000003E-2</v>
      </c>
      <c r="P27" s="110"/>
      <c r="Q27" s="110">
        <f>ROUND((M27-I27)/I27,4)</f>
        <v>0</v>
      </c>
      <c r="T27" s="83" t="s">
        <v>112</v>
      </c>
      <c r="V27" s="153">
        <v>14.28</v>
      </c>
      <c r="W27" s="83" t="s">
        <v>0</v>
      </c>
    </row>
    <row r="28" spans="2:24">
      <c r="D28" s="107">
        <v>300</v>
      </c>
      <c r="E28" s="107">
        <f>ROUND((B$27*D28),0)</f>
        <v>30000</v>
      </c>
      <c r="G28" s="146">
        <f>ROUND(((E28*$T$14/100))+(E28*$V$25/100),2)</f>
        <v>2049.3000000000002</v>
      </c>
      <c r="H28" s="146"/>
      <c r="I28" s="146">
        <f>IF($B$27&lt;51,$B$27*$T$17,IF($B$27&lt;301,$B$27*$T$18+$T$20,$T$21+$T$19*$B$27))+V27</f>
        <v>2155.2800000000002</v>
      </c>
      <c r="J28" s="126"/>
      <c r="K28" s="146">
        <f>ROUND((($E28*$V$14/100))+(($E28*$V$26)/100),2)</f>
        <v>1951.8</v>
      </c>
      <c r="L28" s="146"/>
      <c r="M28" s="146">
        <f t="shared" ref="M28:M29" si="3">IF($B$27&lt;51,$B$27*$V$17,IF($B$27&lt;301,$B$27*$V$18+$V$20,$V$21+$V$19*$B$27))+$V$27</f>
        <v>2155.2800000000002</v>
      </c>
      <c r="O28" s="110">
        <f>ROUND((K28-G28)/G28,4)</f>
        <v>-4.7600000000000003E-2</v>
      </c>
      <c r="P28" s="110"/>
      <c r="Q28" s="110">
        <f>ROUND((M28-I28)/I28,4)</f>
        <v>0</v>
      </c>
      <c r="V28" s="153">
        <v>14.28</v>
      </c>
    </row>
    <row r="29" spans="2:24">
      <c r="D29" s="107">
        <v>500</v>
      </c>
      <c r="E29" s="107">
        <f>ROUND((B$27*D29),0)</f>
        <v>50000</v>
      </c>
      <c r="G29" s="146">
        <f>ROUND(((E29*$T$14/100))+(E29*$V$25/100),2)</f>
        <v>3415.5</v>
      </c>
      <c r="H29" s="146"/>
      <c r="I29" s="146">
        <f>IF($B$27&lt;51,$B$27*$T$17,IF($B$27&lt;301,$B$27*$T$18+$T$20,$T$21+$T$19*$B$27))+V27</f>
        <v>2155.2800000000002</v>
      </c>
      <c r="J29" s="126"/>
      <c r="K29" s="146">
        <f>ROUND((($E29*$V$14/100))+(($E29*$V$26)/100),2)</f>
        <v>3253</v>
      </c>
      <c r="L29" s="146"/>
      <c r="M29" s="146">
        <f t="shared" si="3"/>
        <v>2155.2800000000002</v>
      </c>
      <c r="O29" s="110">
        <f>ROUND((K29-G29)/G29,4)</f>
        <v>-4.7600000000000003E-2</v>
      </c>
      <c r="P29" s="110"/>
      <c r="Q29" s="110">
        <f>ROUND((M29-I29)/I29,4)</f>
        <v>0</v>
      </c>
    </row>
    <row r="30" spans="2:24">
      <c r="G30" s="146"/>
      <c r="H30" s="146"/>
      <c r="I30" s="146"/>
      <c r="J30" s="126"/>
      <c r="K30" s="146"/>
      <c r="L30" s="146"/>
      <c r="M30" s="146"/>
      <c r="T30" s="83" t="s">
        <v>276</v>
      </c>
      <c r="V30" s="187">
        <v>-8.9999999999999993E-3</v>
      </c>
    </row>
    <row r="31" spans="2:24">
      <c r="B31" s="83">
        <v>300</v>
      </c>
      <c r="D31" s="107">
        <v>200</v>
      </c>
      <c r="E31" s="107">
        <f>ROUND((B$31*D31),0)</f>
        <v>60000</v>
      </c>
      <c r="G31" s="146">
        <f>ROUND(((E31*$T$14/100))+(E31*$V$25/100),2)</f>
        <v>4098.6000000000004</v>
      </c>
      <c r="H31" s="146"/>
      <c r="I31" s="146">
        <f>IF($B$31&lt;51,$B$31*$T$17,IF($B$31&lt;301,$B$31*$T$18+$T$20,$T$21+$T$19*$B$31))+V27</f>
        <v>5713.28</v>
      </c>
      <c r="J31" s="126"/>
      <c r="K31" s="146">
        <f>ROUND((($E31*$V$14/100))+(($E31*$V$26)/100),2)</f>
        <v>3903.6</v>
      </c>
      <c r="L31" s="146"/>
      <c r="M31" s="146">
        <f>IF($B$31&lt;51,$B$31*$V$17,IF($B$31&lt;301,$B$31*$V$18+$V$20,$V$21+$V$19*$B$31))+$V$27</f>
        <v>5713.28</v>
      </c>
      <c r="O31" s="110">
        <f>ROUND((K31-G31)/G31,4)</f>
        <v>-4.7600000000000003E-2</v>
      </c>
      <c r="P31" s="110"/>
      <c r="Q31" s="110">
        <f>ROUND((M31-I31)/I31,4)</f>
        <v>0</v>
      </c>
      <c r="T31" s="83" t="s">
        <v>83</v>
      </c>
      <c r="V31" s="83">
        <f>0.059</f>
        <v>5.8999999999999997E-2</v>
      </c>
    </row>
    <row r="32" spans="2:24">
      <c r="D32" s="107">
        <v>300</v>
      </c>
      <c r="E32" s="107">
        <f>ROUND((B$31*D32),0)</f>
        <v>90000</v>
      </c>
      <c r="G32" s="146">
        <f>ROUND(((E32*$T$14/100))+(E32*$V$25/100),2)</f>
        <v>6147.9</v>
      </c>
      <c r="H32" s="146"/>
      <c r="I32" s="146">
        <f>IF($B$31&lt;51,$B$31*$T$17,IF($B$31&lt;301,$B$31*$T$18+$T$20,$T$21+$T$19*$B$31))+V27</f>
        <v>5713.28</v>
      </c>
      <c r="J32" s="126"/>
      <c r="K32" s="146">
        <f>ROUND((($E32*$V$14/100))+(($E32*$V$26)/100),2)</f>
        <v>5855.4</v>
      </c>
      <c r="L32" s="146"/>
      <c r="M32" s="146">
        <f>IF($B$31&lt;51,$B$31*$V$17,IF($B$31&lt;301,$B$31*$V$18+$V$20,$V$21+$V$19*$B$31))+$V$27</f>
        <v>5713.28</v>
      </c>
      <c r="O32" s="110">
        <f>ROUND((K32-G32)/G32,4)</f>
        <v>-4.7600000000000003E-2</v>
      </c>
      <c r="P32" s="110"/>
      <c r="Q32" s="110">
        <f>ROUND((M32-I32)/I32,4)</f>
        <v>0</v>
      </c>
    </row>
    <row r="33" spans="2:20">
      <c r="D33" s="107">
        <v>500</v>
      </c>
      <c r="E33" s="107">
        <f>ROUND((B$31*D33),0)</f>
        <v>150000</v>
      </c>
      <c r="G33" s="146">
        <f>ROUND(((E33*$T$14/100))+(E33*$V$25/100),2)</f>
        <v>10246.5</v>
      </c>
      <c r="H33" s="146"/>
      <c r="I33" s="146">
        <f>IF($B$31&lt;51,$B$31*$T$17,IF($B$31&lt;301,$B$31*$T$18+$T$20,$T$21+$T$19*$B$31))+V27</f>
        <v>5713.28</v>
      </c>
      <c r="J33" s="126"/>
      <c r="K33" s="146">
        <f>ROUND((($E33*$V$14/100))+(($E33*$V$26)/100),2)</f>
        <v>9759</v>
      </c>
      <c r="L33" s="146"/>
      <c r="M33" s="146">
        <f>IF($B$31&lt;51,$B$31*$V$17,IF($B$31&lt;301,$B$31*$V$18+$V$20,$V$21+$V$19*$B$31))+$V$27</f>
        <v>5713.28</v>
      </c>
      <c r="O33" s="110">
        <f>ROUND((K33-G33)/G33,4)</f>
        <v>-4.7600000000000003E-2</v>
      </c>
      <c r="P33" s="110"/>
      <c r="Q33" s="110">
        <f>ROUND((M33-I33)/I33,4)</f>
        <v>0</v>
      </c>
      <c r="S33" s="118" t="s">
        <v>84</v>
      </c>
      <c r="T33" s="154" t="e">
        <f>#REF!</f>
        <v>#REF!</v>
      </c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</row>
    <row r="36" spans="2:20">
      <c r="C36" s="125"/>
    </row>
    <row r="37" spans="2:20">
      <c r="B37" s="83" t="s">
        <v>86</v>
      </c>
      <c r="C37" s="125"/>
    </row>
    <row r="38" spans="2:20">
      <c r="B38" s="155" t="s">
        <v>113</v>
      </c>
      <c r="C38" s="125"/>
    </row>
    <row r="39" spans="2:20">
      <c r="B39" s="125" t="s">
        <v>114</v>
      </c>
      <c r="C39" s="125"/>
    </row>
    <row r="40" spans="2:20">
      <c r="B40" s="125"/>
      <c r="C40" s="125"/>
    </row>
    <row r="41" spans="2:20">
      <c r="B41" s="125"/>
      <c r="C41" s="125"/>
    </row>
    <row r="42" spans="2:20">
      <c r="B42" s="125"/>
      <c r="C42" s="125"/>
    </row>
    <row r="43" spans="2:20">
      <c r="B43" s="125"/>
      <c r="C43" s="125"/>
    </row>
    <row r="44" spans="2:20">
      <c r="B44" s="125"/>
      <c r="C44" s="125"/>
    </row>
    <row r="45" spans="2:20">
      <c r="B45" s="125"/>
      <c r="C45" s="125"/>
    </row>
    <row r="46" spans="2:20">
      <c r="B46" s="125"/>
      <c r="C46" s="125"/>
    </row>
    <row r="47" spans="2:20">
      <c r="B47" s="125"/>
      <c r="C47" s="125"/>
    </row>
    <row r="48" spans="2:20">
      <c r="B48" s="125"/>
      <c r="C48" s="125"/>
      <c r="P48" s="126"/>
    </row>
    <row r="49" spans="2:3">
      <c r="B49" s="125"/>
      <c r="C49" s="125"/>
    </row>
    <row r="50" spans="2:3">
      <c r="B50" s="125"/>
      <c r="C50" s="125"/>
    </row>
    <row r="51" spans="2:3">
      <c r="B51" s="125"/>
      <c r="C51" s="125"/>
    </row>
  </sheetData>
  <mergeCells count="3">
    <mergeCell ref="G12:I12"/>
    <mergeCell ref="K12:M12"/>
    <mergeCell ref="O12:Q12"/>
  </mergeCells>
  <printOptions horizontalCentered="1"/>
  <pageMargins left="0.5" right="0.5" top="0.5" bottom="0.5" header="0.5" footer="0.5"/>
  <pageSetup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K59"/>
  <sheetViews>
    <sheetView view="pageBreakPreview" topLeftCell="B1" zoomScale="70" zoomScaleNormal="55" zoomScaleSheetLayoutView="70" workbookViewId="0">
      <selection activeCell="B1" sqref="B1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2" customWidth="1"/>
    <col min="5" max="5" width="2.125" style="2" customWidth="1"/>
    <col min="6" max="6" width="5.625" style="2" bestFit="1" customWidth="1"/>
    <col min="7" max="7" width="2.125" style="2" customWidth="1"/>
    <col min="8" max="8" width="9.25" style="1" hidden="1" customWidth="1"/>
    <col min="9" max="9" width="9.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875" style="1" customWidth="1"/>
    <col min="14" max="14" width="10.25" style="1" hidden="1" customWidth="1"/>
    <col min="15" max="15" width="12.625" style="1" bestFit="1" customWidth="1"/>
    <col min="16" max="16" width="2.75" style="1" customWidth="1"/>
    <col min="17" max="17" width="14.625" style="1" customWidth="1"/>
    <col min="18" max="18" width="2" style="1" hidden="1" customWidth="1"/>
    <col min="19" max="19" width="20.25" style="1" hidden="1" customWidth="1"/>
    <col min="20" max="20" width="2.625" style="1" customWidth="1"/>
    <col min="21" max="21" width="10.5" style="1" bestFit="1" customWidth="1"/>
    <col min="22" max="22" width="8.75" style="1" bestFit="1" customWidth="1"/>
    <col min="23" max="23" width="14.125" style="1" hidden="1" customWidth="1"/>
    <col min="24" max="24" width="8.75" style="1" hidden="1" customWidth="1"/>
    <col min="25" max="25" width="8.875" style="1" hidden="1" customWidth="1"/>
    <col min="26" max="26" width="7.75" style="1" hidden="1" customWidth="1"/>
    <col min="27" max="27" width="2.625" style="1" hidden="1" customWidth="1"/>
    <col min="28" max="28" width="11.5" style="1" hidden="1" customWidth="1"/>
    <col min="29" max="29" width="3.875" style="1" customWidth="1"/>
    <col min="30" max="30" width="11.75" style="1" bestFit="1" customWidth="1"/>
    <col min="31" max="31" width="2.125" style="1" customWidth="1"/>
    <col min="32" max="32" width="3.125" style="1" customWidth="1"/>
    <col min="33" max="33" width="7.25" style="1" customWidth="1"/>
    <col min="34" max="34" width="0.125" style="1" customWidth="1"/>
    <col min="35" max="35" width="10.25" style="1" customWidth="1"/>
    <col min="36" max="36" width="13.5" style="1" bestFit="1" customWidth="1"/>
    <col min="37" max="16384" width="10.25" style="1"/>
  </cols>
  <sheetData>
    <row r="1" spans="2:37" ht="18.75">
      <c r="C1" s="202"/>
      <c r="D1" s="203"/>
      <c r="Q1" s="3" t="s">
        <v>0</v>
      </c>
    </row>
    <row r="2" spans="2:37">
      <c r="B2" s="391" t="s">
        <v>1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5"/>
      <c r="X2" s="5"/>
      <c r="Y2" s="5"/>
      <c r="Z2" s="5"/>
      <c r="AA2" s="5"/>
      <c r="AB2" s="5"/>
      <c r="AC2" s="5"/>
      <c r="AD2" s="5"/>
      <c r="AE2" s="5"/>
    </row>
    <row r="3" spans="2:37">
      <c r="B3" s="392" t="s">
        <v>2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2:37">
      <c r="B4" s="392" t="s">
        <v>261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2:37">
      <c r="B5" s="392" t="s">
        <v>3</v>
      </c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2:37">
      <c r="B6" s="392" t="s">
        <v>4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2:37">
      <c r="B7" s="391" t="s">
        <v>262</v>
      </c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2:37">
      <c r="M8" s="6"/>
      <c r="N8" s="7"/>
      <c r="O8" s="7"/>
      <c r="P8" s="8"/>
      <c r="Q8" s="8"/>
      <c r="R8" s="7"/>
      <c r="S8" s="7"/>
      <c r="T8" s="7"/>
      <c r="U8" s="8"/>
      <c r="V8" s="8"/>
      <c r="W8" s="8"/>
      <c r="X8" s="8"/>
      <c r="Y8" s="8"/>
      <c r="Z8" s="8"/>
      <c r="AA8" s="8"/>
      <c r="AB8" s="199" t="s">
        <v>263</v>
      </c>
      <c r="AC8" s="8"/>
      <c r="AD8" s="8"/>
      <c r="AE8" s="8"/>
      <c r="AF8" s="8"/>
      <c r="AG8" s="8"/>
      <c r="AH8" s="8"/>
      <c r="AI8" s="6"/>
      <c r="AJ8" s="6"/>
      <c r="AK8" s="6"/>
    </row>
    <row r="9" spans="2:37">
      <c r="N9" s="9" t="s">
        <v>5</v>
      </c>
      <c r="O9" s="9" t="s">
        <v>6</v>
      </c>
      <c r="P9" s="10"/>
      <c r="Q9" s="199" t="s">
        <v>7</v>
      </c>
      <c r="R9" s="188"/>
      <c r="S9" s="188"/>
      <c r="T9" s="11"/>
      <c r="AA9" s="10"/>
      <c r="AB9" s="200" t="s">
        <v>9</v>
      </c>
      <c r="AC9" s="10"/>
      <c r="AD9" s="199" t="s">
        <v>7</v>
      </c>
      <c r="AE9" s="10"/>
      <c r="AF9" s="10"/>
      <c r="AG9" s="10"/>
      <c r="AH9" s="10"/>
    </row>
    <row r="10" spans="2:37">
      <c r="F10" s="12" t="s">
        <v>10</v>
      </c>
      <c r="G10" s="12"/>
      <c r="H10" s="9" t="s">
        <v>11</v>
      </c>
      <c r="N10" s="199" t="s">
        <v>12</v>
      </c>
      <c r="O10" s="199" t="s">
        <v>12</v>
      </c>
      <c r="P10" s="13"/>
      <c r="Q10" s="199" t="s">
        <v>12</v>
      </c>
      <c r="R10" s="199"/>
      <c r="S10" s="199" t="s">
        <v>13</v>
      </c>
      <c r="T10" s="199"/>
      <c r="U10" s="11" t="s">
        <v>0</v>
      </c>
      <c r="V10" s="11"/>
      <c r="W10" s="387" t="s">
        <v>8</v>
      </c>
      <c r="X10" s="387"/>
      <c r="Y10" s="387"/>
      <c r="Z10" s="387"/>
      <c r="AA10" s="11"/>
      <c r="AB10" s="11"/>
      <c r="AC10" s="11"/>
      <c r="AD10" s="199" t="s">
        <v>8</v>
      </c>
      <c r="AE10" s="11"/>
      <c r="AF10" s="14"/>
      <c r="AG10" s="11"/>
      <c r="AH10" s="14"/>
    </row>
    <row r="11" spans="2:37">
      <c r="B11" s="14" t="s">
        <v>14</v>
      </c>
      <c r="F11" s="12" t="s">
        <v>15</v>
      </c>
      <c r="G11" s="12"/>
      <c r="H11" s="9" t="s">
        <v>16</v>
      </c>
      <c r="I11" s="9" t="s">
        <v>11</v>
      </c>
      <c r="K11" s="9" t="s">
        <v>17</v>
      </c>
      <c r="N11" s="9" t="s">
        <v>18</v>
      </c>
      <c r="O11" s="9" t="s">
        <v>18</v>
      </c>
      <c r="P11" s="14"/>
      <c r="Q11" s="189" t="s">
        <v>18</v>
      </c>
      <c r="R11" s="9"/>
      <c r="S11" s="9" t="s">
        <v>18</v>
      </c>
      <c r="T11" s="9"/>
      <c r="U11" s="15" t="s">
        <v>19</v>
      </c>
      <c r="V11" s="9" t="s">
        <v>12</v>
      </c>
      <c r="W11" s="15" t="s">
        <v>19</v>
      </c>
      <c r="X11" s="9" t="s">
        <v>263</v>
      </c>
      <c r="Y11" s="15" t="s">
        <v>13</v>
      </c>
      <c r="Z11" s="9" t="s">
        <v>13</v>
      </c>
      <c r="AA11" s="14"/>
      <c r="AB11" s="14"/>
      <c r="AC11" s="14"/>
      <c r="AD11" s="9" t="s">
        <v>20</v>
      </c>
      <c r="AE11" s="14"/>
      <c r="AF11" s="14"/>
      <c r="AG11" s="199"/>
      <c r="AH11" s="16"/>
      <c r="AI11" s="6"/>
    </row>
    <row r="12" spans="2:37">
      <c r="B12" s="17" t="s">
        <v>21</v>
      </c>
      <c r="D12" s="18" t="s">
        <v>22</v>
      </c>
      <c r="F12" s="18" t="s">
        <v>21</v>
      </c>
      <c r="G12" s="19"/>
      <c r="H12" s="20" t="s">
        <v>5</v>
      </c>
      <c r="I12" s="200" t="s">
        <v>16</v>
      </c>
      <c r="K12" s="20" t="s">
        <v>5</v>
      </c>
      <c r="L12" s="200" t="s">
        <v>17</v>
      </c>
      <c r="N12" s="21" t="s">
        <v>23</v>
      </c>
      <c r="O12" s="21" t="s">
        <v>23</v>
      </c>
      <c r="P12" s="199"/>
      <c r="Q12" s="190" t="s">
        <v>23</v>
      </c>
      <c r="R12" s="22"/>
      <c r="S12" s="21" t="s">
        <v>23</v>
      </c>
      <c r="T12" s="22"/>
      <c r="U12" s="23" t="s">
        <v>23</v>
      </c>
      <c r="V12" s="200" t="s">
        <v>24</v>
      </c>
      <c r="W12" s="23" t="s">
        <v>23</v>
      </c>
      <c r="X12" s="200" t="s">
        <v>24</v>
      </c>
      <c r="Y12" s="23" t="s">
        <v>23</v>
      </c>
      <c r="Z12" s="200" t="s">
        <v>24</v>
      </c>
      <c r="AA12" s="16"/>
      <c r="AB12" s="24" t="s">
        <v>25</v>
      </c>
      <c r="AC12" s="16"/>
      <c r="AD12" s="21" t="s">
        <v>25</v>
      </c>
      <c r="AE12" s="16"/>
      <c r="AF12" s="16"/>
      <c r="AG12" s="199"/>
      <c r="AH12" s="16"/>
      <c r="AI12" s="6"/>
    </row>
    <row r="13" spans="2:37">
      <c r="B13" s="25"/>
      <c r="D13" s="15" t="s">
        <v>27</v>
      </c>
      <c r="F13" s="15" t="s">
        <v>28</v>
      </c>
      <c r="G13" s="12"/>
      <c r="H13" s="15"/>
      <c r="I13" s="15" t="s">
        <v>29</v>
      </c>
      <c r="K13" s="15"/>
      <c r="L13" s="15" t="s">
        <v>30</v>
      </c>
      <c r="N13" s="15"/>
      <c r="O13" s="15" t="s">
        <v>31</v>
      </c>
      <c r="P13" s="15"/>
      <c r="Q13" s="15" t="s">
        <v>32</v>
      </c>
      <c r="R13" s="15"/>
      <c r="S13" s="15"/>
      <c r="T13" s="15"/>
      <c r="U13" s="15" t="s">
        <v>33</v>
      </c>
      <c r="V13" s="15" t="s">
        <v>34</v>
      </c>
      <c r="W13" s="15" t="s">
        <v>35</v>
      </c>
      <c r="X13" s="15" t="s">
        <v>36</v>
      </c>
      <c r="Y13" s="15" t="s">
        <v>150</v>
      </c>
      <c r="Z13" s="15" t="s">
        <v>151</v>
      </c>
      <c r="AA13" s="15"/>
      <c r="AB13" s="15"/>
      <c r="AC13" s="15"/>
      <c r="AD13" s="15" t="s">
        <v>35</v>
      </c>
      <c r="AE13" s="15"/>
      <c r="AF13" s="15"/>
      <c r="AG13" s="13"/>
      <c r="AH13" s="13"/>
      <c r="AI13" s="6"/>
    </row>
    <row r="14" spans="2:37">
      <c r="P14" s="15"/>
      <c r="Q14" s="15" t="s">
        <v>0</v>
      </c>
      <c r="V14" s="15" t="s">
        <v>37</v>
      </c>
      <c r="X14" s="15" t="s">
        <v>0</v>
      </c>
      <c r="Y14" s="15" t="s">
        <v>264</v>
      </c>
      <c r="Z14" s="15" t="s">
        <v>265</v>
      </c>
      <c r="AD14" s="15" t="s">
        <v>38</v>
      </c>
      <c r="AG14" s="6"/>
      <c r="AH14" s="6"/>
      <c r="AI14" s="6"/>
    </row>
    <row r="15" spans="2:37">
      <c r="D15" s="26" t="s">
        <v>39</v>
      </c>
      <c r="AG15" s="6"/>
      <c r="AH15" s="6"/>
      <c r="AI15" s="6"/>
    </row>
    <row r="16" spans="2:37">
      <c r="B16" s="14">
        <v>1</v>
      </c>
      <c r="D16" s="2" t="s">
        <v>40</v>
      </c>
      <c r="F16" s="27" t="s">
        <v>152</v>
      </c>
      <c r="G16" s="27"/>
      <c r="H16" s="28">
        <v>101336.91666666667</v>
      </c>
      <c r="I16" s="28">
        <v>104635.09245519141</v>
      </c>
      <c r="J16" s="3"/>
      <c r="K16" s="28">
        <v>1569938.6044392167</v>
      </c>
      <c r="L16" s="28">
        <v>1572834.8567787264</v>
      </c>
      <c r="N16" s="29">
        <v>102672.94442530281</v>
      </c>
      <c r="O16" s="29">
        <v>140088.11881608813</v>
      </c>
      <c r="P16" s="30"/>
      <c r="Q16" s="29">
        <v>144770.12781608815</v>
      </c>
      <c r="R16" s="29"/>
      <c r="S16" s="31">
        <f>Q16+W16</f>
        <v>147239.47854123075</v>
      </c>
      <c r="T16" s="29"/>
      <c r="U16" s="29">
        <v>4682.009</v>
      </c>
      <c r="V16" s="32">
        <f>U16/O16</f>
        <v>3.342188502186029E-2</v>
      </c>
      <c r="W16" s="29">
        <f>(AB16/100)*L16</f>
        <v>2469.3507251426004</v>
      </c>
      <c r="X16" s="32">
        <f>W16/O16</f>
        <v>1.7627124598513868E-2</v>
      </c>
      <c r="Y16" s="29">
        <f>U16+W16</f>
        <v>7151.3597251425999</v>
      </c>
      <c r="Z16" s="32">
        <f>Y16/O16</f>
        <v>5.1049009620374147E-2</v>
      </c>
      <c r="AA16" s="30"/>
      <c r="AB16" s="33">
        <f>ROUND((((Q16/$Q$44)*$W$51)/L16)*100,3)</f>
        <v>0.157</v>
      </c>
      <c r="AC16" s="30"/>
      <c r="AD16" s="34">
        <f>Q16/L16*100</f>
        <v>9.204407391669033</v>
      </c>
      <c r="AE16" s="30"/>
      <c r="AF16" s="30"/>
      <c r="AG16" s="35" t="s">
        <v>0</v>
      </c>
      <c r="AH16" s="36"/>
      <c r="AI16" s="37" t="s">
        <v>0</v>
      </c>
      <c r="AJ16" s="3" t="s">
        <v>0</v>
      </c>
    </row>
    <row r="17" spans="2:37">
      <c r="H17" s="38"/>
      <c r="I17" s="38"/>
      <c r="K17" s="38"/>
      <c r="L17" s="38"/>
      <c r="N17" s="38"/>
      <c r="O17" s="38"/>
      <c r="P17" s="6"/>
      <c r="Q17" s="38"/>
      <c r="R17" s="6"/>
      <c r="S17" s="39"/>
      <c r="T17" s="6"/>
      <c r="U17" s="38"/>
      <c r="V17" s="191"/>
      <c r="W17" s="38"/>
      <c r="X17" s="40"/>
      <c r="Y17" s="38"/>
      <c r="Z17" s="40"/>
      <c r="AA17" s="6"/>
      <c r="AB17" s="41"/>
      <c r="AC17" s="6"/>
      <c r="AD17" s="39"/>
      <c r="AE17" s="6"/>
      <c r="AF17" s="6"/>
      <c r="AG17" s="204"/>
      <c r="AH17" s="6"/>
      <c r="AI17" s="6"/>
    </row>
    <row r="18" spans="2:37">
      <c r="V18" s="42"/>
      <c r="X18" s="42"/>
      <c r="Z18" s="42"/>
      <c r="AB18" s="43"/>
      <c r="AG18" s="204"/>
      <c r="AH18" s="6"/>
      <c r="AI18" s="6"/>
    </row>
    <row r="19" spans="2:37">
      <c r="B19" s="44">
        <f>MAX(B$13:B18)+1</f>
        <v>2</v>
      </c>
      <c r="D19" s="26" t="s">
        <v>41</v>
      </c>
      <c r="H19" s="45">
        <f>SUM(H16:H16)</f>
        <v>101336.91666666667</v>
      </c>
      <c r="I19" s="45">
        <f>SUM(I16:I16)</f>
        <v>104635.09245519141</v>
      </c>
      <c r="K19" s="45">
        <f>SUM(K16:K16)</f>
        <v>1569938.6044392167</v>
      </c>
      <c r="L19" s="45">
        <f>SUM(L16:L16)</f>
        <v>1572834.8567787264</v>
      </c>
      <c r="M19" s="45"/>
      <c r="N19" s="46">
        <f>SUM(N16:N16)</f>
        <v>102672.94442530281</v>
      </c>
      <c r="O19" s="46">
        <f>SUM(O16:O16)</f>
        <v>140088.11881608813</v>
      </c>
      <c r="P19" s="30"/>
      <c r="Q19" s="46">
        <f>SUM(Q16:Q16)</f>
        <v>144770.12781608815</v>
      </c>
      <c r="R19" s="46"/>
      <c r="S19" s="46">
        <f>SUM(S16:S16)</f>
        <v>147239.47854123075</v>
      </c>
      <c r="T19" s="46"/>
      <c r="U19" s="29">
        <f>SUM(U16)</f>
        <v>4682.009</v>
      </c>
      <c r="V19" s="32">
        <f>U19/O19</f>
        <v>3.342188502186029E-2</v>
      </c>
      <c r="W19" s="29">
        <f>SUM(W16)</f>
        <v>2469.3507251426004</v>
      </c>
      <c r="X19" s="32">
        <f>W19/O19</f>
        <v>1.7627124598513868E-2</v>
      </c>
      <c r="Y19" s="29">
        <f>U19+W19</f>
        <v>7151.3597251425999</v>
      </c>
      <c r="Z19" s="32">
        <f>Y19/O19</f>
        <v>5.1049009620374147E-2</v>
      </c>
      <c r="AA19" s="30"/>
      <c r="AB19" s="47"/>
      <c r="AC19" s="30"/>
      <c r="AD19" s="34">
        <f>Q19/L19*100</f>
        <v>9.204407391669033</v>
      </c>
      <c r="AE19" s="30"/>
      <c r="AF19" s="30"/>
      <c r="AG19" s="205"/>
      <c r="AH19" s="36"/>
      <c r="AI19" s="6"/>
    </row>
    <row r="20" spans="2:37">
      <c r="L20" s="3" t="s">
        <v>0</v>
      </c>
      <c r="V20" s="42"/>
      <c r="X20" s="42"/>
      <c r="Z20" s="42"/>
      <c r="AB20" s="43"/>
      <c r="AG20" s="204"/>
      <c r="AH20" s="6"/>
      <c r="AI20" s="6"/>
    </row>
    <row r="21" spans="2:37">
      <c r="D21" s="26" t="s">
        <v>42</v>
      </c>
      <c r="H21" s="48"/>
      <c r="I21" s="48"/>
      <c r="V21" s="42"/>
      <c r="X21" s="42"/>
      <c r="Z21" s="42"/>
      <c r="AB21" s="43"/>
      <c r="AG21" s="204"/>
      <c r="AH21" s="6"/>
      <c r="AI21" s="6"/>
    </row>
    <row r="22" spans="2:37">
      <c r="B22" s="44">
        <f>MAX(B$13:B21)+1</f>
        <v>3</v>
      </c>
      <c r="D22" s="2" t="s">
        <v>43</v>
      </c>
      <c r="F22" s="12">
        <v>24</v>
      </c>
      <c r="G22" s="12"/>
      <c r="H22" s="28">
        <v>17306.416666666664</v>
      </c>
      <c r="I22" s="28">
        <v>18788.493749999969</v>
      </c>
      <c r="K22" s="28">
        <v>513041.74113523914</v>
      </c>
      <c r="L22" s="28">
        <v>543201.5574379696</v>
      </c>
      <c r="N22" s="46">
        <v>33647.646251191611</v>
      </c>
      <c r="O22" s="29">
        <v>48473.096458215186</v>
      </c>
      <c r="P22" s="30"/>
      <c r="Q22" s="29">
        <v>49195.665458215182</v>
      </c>
      <c r="R22" s="29"/>
      <c r="S22" s="31">
        <f t="shared" ref="S22:S29" si="0">Q22+W22</f>
        <v>50037.627872244033</v>
      </c>
      <c r="T22" s="29"/>
      <c r="U22" s="29">
        <v>722.56899999999996</v>
      </c>
      <c r="V22" s="32">
        <f>U22/O22</f>
        <v>1.4906598769131025E-2</v>
      </c>
      <c r="W22" s="29">
        <f t="shared" ref="W22:W29" si="1">(AB22/100)*L22</f>
        <v>841.96241402885289</v>
      </c>
      <c r="X22" s="32">
        <f>W22/O22</f>
        <v>1.7369684949973062E-2</v>
      </c>
      <c r="Y22" s="29">
        <f t="shared" ref="Y22:Y29" si="2">U22+W22</f>
        <v>1564.5314140288529</v>
      </c>
      <c r="Z22" s="32">
        <f>Y22/O22</f>
        <v>3.2276283719104085E-2</v>
      </c>
      <c r="AA22" s="30"/>
      <c r="AB22" s="33">
        <f t="shared" ref="AB22:AB29" si="3">ROUND((((Q22/$Q$44)*$W$51)/L22)*100,3)</f>
        <v>0.155</v>
      </c>
      <c r="AC22" s="30"/>
      <c r="AD22" s="34">
        <f>Q22/L22*100</f>
        <v>9.0566134770026014</v>
      </c>
      <c r="AE22" s="30"/>
      <c r="AF22" s="30"/>
      <c r="AG22" s="205"/>
      <c r="AH22" s="36"/>
      <c r="AI22" s="6"/>
      <c r="AJ22" s="49"/>
      <c r="AK22" s="50"/>
    </row>
    <row r="23" spans="2:37">
      <c r="B23" s="44">
        <f>MAX(B$13:B22)+1</f>
        <v>4</v>
      </c>
      <c r="D23" s="2" t="s">
        <v>44</v>
      </c>
      <c r="E23" s="51"/>
      <c r="F23" s="12">
        <v>33</v>
      </c>
      <c r="G23" s="12"/>
      <c r="H23" s="28">
        <v>0</v>
      </c>
      <c r="I23" s="28">
        <v>0</v>
      </c>
      <c r="K23" s="28">
        <v>0</v>
      </c>
      <c r="L23" s="28">
        <v>0</v>
      </c>
      <c r="N23" s="29">
        <v>0</v>
      </c>
      <c r="O23" s="29">
        <v>0</v>
      </c>
      <c r="P23" s="30"/>
      <c r="Q23" s="29">
        <v>0</v>
      </c>
      <c r="R23" s="29"/>
      <c r="S23" s="31">
        <f t="shared" si="0"/>
        <v>0</v>
      </c>
      <c r="T23" s="29"/>
      <c r="U23" s="29">
        <v>0</v>
      </c>
      <c r="V23" s="32">
        <f>V24</f>
        <v>3.3421465564214353E-2</v>
      </c>
      <c r="W23" s="29">
        <f t="shared" si="1"/>
        <v>0</v>
      </c>
      <c r="X23" s="32">
        <f>X24</f>
        <v>1.7698210490469296E-2</v>
      </c>
      <c r="Y23" s="29">
        <f t="shared" si="2"/>
        <v>0</v>
      </c>
      <c r="Z23" s="32">
        <f>V23+X23</f>
        <v>5.1119676054683649E-2</v>
      </c>
      <c r="AA23" s="30"/>
      <c r="AB23" s="33">
        <f>AB24</f>
        <v>0.13200000000000001</v>
      </c>
      <c r="AC23" s="30"/>
      <c r="AD23" s="34">
        <v>0</v>
      </c>
      <c r="AE23" s="30"/>
      <c r="AF23" s="30"/>
      <c r="AG23" s="205"/>
      <c r="AH23" s="36"/>
      <c r="AI23" s="6"/>
      <c r="AJ23" s="49"/>
      <c r="AK23" s="50"/>
    </row>
    <row r="24" spans="2:37">
      <c r="B24" s="44">
        <f>MAX(B$13:B23)+1</f>
        <v>5</v>
      </c>
      <c r="D24" s="2" t="s">
        <v>45</v>
      </c>
      <c r="F24" s="12">
        <v>36</v>
      </c>
      <c r="G24" s="12"/>
      <c r="H24" s="28">
        <v>1058.6666666666667</v>
      </c>
      <c r="I24" s="28">
        <v>1053.9138888888895</v>
      </c>
      <c r="K24" s="28">
        <v>901191.51506367233</v>
      </c>
      <c r="L24" s="28">
        <v>895773.15120793856</v>
      </c>
      <c r="N24" s="46">
        <v>49005.26783999426</v>
      </c>
      <c r="O24" s="29">
        <v>66810.176104031925</v>
      </c>
      <c r="P24" s="30"/>
      <c r="Q24" s="29">
        <v>69043.070104031925</v>
      </c>
      <c r="R24" s="29"/>
      <c r="S24" s="31">
        <f t="shared" si="0"/>
        <v>70225.490663626406</v>
      </c>
      <c r="T24" s="29"/>
      <c r="U24" s="29">
        <v>2232.8939999999998</v>
      </c>
      <c r="V24" s="32">
        <f>U24/O24</f>
        <v>3.3421465564214353E-2</v>
      </c>
      <c r="W24" s="29">
        <f t="shared" si="1"/>
        <v>1182.4205595944788</v>
      </c>
      <c r="X24" s="32">
        <f t="shared" ref="X24:X29" si="4">W24/O24</f>
        <v>1.7698210490469296E-2</v>
      </c>
      <c r="Y24" s="29">
        <f t="shared" si="2"/>
        <v>3415.3145595944789</v>
      </c>
      <c r="Z24" s="32">
        <f t="shared" ref="Z24:Z29" si="5">Y24/O24</f>
        <v>5.1119676054683656E-2</v>
      </c>
      <c r="AA24" s="30"/>
      <c r="AB24" s="33">
        <f t="shared" si="3"/>
        <v>0.13200000000000001</v>
      </c>
      <c r="AC24" s="30"/>
      <c r="AD24" s="34">
        <f>Q24/L24*100</f>
        <v>7.7076512073317032</v>
      </c>
      <c r="AE24" s="30"/>
      <c r="AF24" s="30"/>
      <c r="AG24" s="205"/>
      <c r="AH24" s="36"/>
      <c r="AI24" s="6"/>
      <c r="AJ24" s="49"/>
      <c r="AK24" s="50"/>
    </row>
    <row r="25" spans="2:37">
      <c r="B25" s="44">
        <f>MAX(B$13:B24)+1</f>
        <v>6</v>
      </c>
      <c r="D25" s="2" t="s">
        <v>46</v>
      </c>
      <c r="F25" s="12" t="s">
        <v>47</v>
      </c>
      <c r="G25" s="12"/>
      <c r="H25" s="28">
        <v>5259</v>
      </c>
      <c r="I25" s="28">
        <v>5247.0299819759166</v>
      </c>
      <c r="K25" s="28">
        <v>168033.04399999999</v>
      </c>
      <c r="L25" s="28">
        <v>148533.3665584703</v>
      </c>
      <c r="N25" s="46">
        <v>10140.337</v>
      </c>
      <c r="O25" s="29">
        <v>12666.289000000001</v>
      </c>
      <c r="P25" s="30"/>
      <c r="Q25" s="29">
        <v>12854.989</v>
      </c>
      <c r="R25" s="29"/>
      <c r="S25" s="31">
        <f t="shared" si="0"/>
        <v>13074.818382506535</v>
      </c>
      <c r="T25" s="29"/>
      <c r="U25" s="29">
        <v>188.7</v>
      </c>
      <c r="V25" s="32">
        <f>U25/O25</f>
        <v>1.489781261109706E-2</v>
      </c>
      <c r="W25" s="29">
        <f t="shared" si="1"/>
        <v>219.82938250653604</v>
      </c>
      <c r="X25" s="32">
        <f t="shared" si="4"/>
        <v>1.7355468717517499E-2</v>
      </c>
      <c r="Y25" s="29">
        <f t="shared" si="2"/>
        <v>408.52938250653602</v>
      </c>
      <c r="Z25" s="32">
        <f t="shared" si="5"/>
        <v>3.2253281328614561E-2</v>
      </c>
      <c r="AA25" s="30"/>
      <c r="AB25" s="33">
        <f t="shared" si="3"/>
        <v>0.14799999999999999</v>
      </c>
      <c r="AC25" s="30"/>
      <c r="AD25" s="34">
        <f>Q25/L25*100</f>
        <v>8.6546136385723287</v>
      </c>
      <c r="AE25" s="30"/>
      <c r="AF25" s="30"/>
      <c r="AG25" s="205"/>
      <c r="AH25" s="36"/>
      <c r="AI25" s="6"/>
    </row>
    <row r="26" spans="2:37">
      <c r="B26" s="44">
        <f>MAX(B$13:B25)+1</f>
        <v>7</v>
      </c>
      <c r="D26" s="2" t="s">
        <v>48</v>
      </c>
      <c r="F26" s="12">
        <v>47</v>
      </c>
      <c r="G26" s="12"/>
      <c r="H26" s="28">
        <v>1.0833333333333333</v>
      </c>
      <c r="I26" s="28">
        <v>1</v>
      </c>
      <c r="K26" s="28">
        <v>1616.6904507017675</v>
      </c>
      <c r="L26" s="28">
        <v>1994.5324465218168</v>
      </c>
      <c r="N26" s="46">
        <v>165.62561725051643</v>
      </c>
      <c r="O26" s="29">
        <v>292.12801280278654</v>
      </c>
      <c r="P26" s="30"/>
      <c r="Q26" s="29">
        <v>302.01501280278654</v>
      </c>
      <c r="R26" s="29"/>
      <c r="S26" s="31">
        <f t="shared" si="0"/>
        <v>307.18085183927803</v>
      </c>
      <c r="T26" s="29"/>
      <c r="U26" s="29">
        <v>9.8870000000000005</v>
      </c>
      <c r="V26" s="32">
        <f>U26/O26</f>
        <v>3.3844751501714558E-2</v>
      </c>
      <c r="W26" s="29">
        <f t="shared" si="1"/>
        <v>5.1658390364915059</v>
      </c>
      <c r="X26" s="32">
        <f t="shared" si="4"/>
        <v>1.7683477140478566E-2</v>
      </c>
      <c r="Y26" s="29">
        <f t="shared" si="2"/>
        <v>15.052839036491505</v>
      </c>
      <c r="Z26" s="32">
        <f t="shared" si="5"/>
        <v>5.1528228642193127E-2</v>
      </c>
      <c r="AA26" s="30"/>
      <c r="AB26" s="33">
        <f t="shared" si="3"/>
        <v>0.25900000000000001</v>
      </c>
      <c r="AC26" s="30"/>
      <c r="AD26" s="34">
        <f>Q26/L26*100</f>
        <v>15.142145886343345</v>
      </c>
      <c r="AE26" s="30"/>
      <c r="AF26" s="30"/>
      <c r="AG26" s="205"/>
      <c r="AH26" s="36"/>
      <c r="AI26" s="6"/>
    </row>
    <row r="27" spans="2:37">
      <c r="B27" s="44">
        <f>MAX(B$13:B26)+1</f>
        <v>8</v>
      </c>
      <c r="D27" s="2" t="s">
        <v>49</v>
      </c>
      <c r="F27" s="12">
        <v>48</v>
      </c>
      <c r="G27" s="12"/>
      <c r="H27" s="28">
        <v>63.666666666666671</v>
      </c>
      <c r="I27" s="28">
        <v>62.012626262626249</v>
      </c>
      <c r="K27" s="28">
        <v>856497.09877425549</v>
      </c>
      <c r="L27" s="28">
        <v>834884.0372572965</v>
      </c>
      <c r="N27" s="46">
        <v>38996.209349631463</v>
      </c>
      <c r="O27" s="29">
        <v>50976.274610443281</v>
      </c>
      <c r="P27" s="30"/>
      <c r="Q27" s="29">
        <v>52679.245610443271</v>
      </c>
      <c r="R27" s="29"/>
      <c r="S27" s="31">
        <f t="shared" si="0"/>
        <v>53580.920370681153</v>
      </c>
      <c r="T27" s="29"/>
      <c r="U27" s="29">
        <v>1702.9710000000036</v>
      </c>
      <c r="V27" s="32">
        <f>U27/O27</f>
        <v>3.3407129356038186E-2</v>
      </c>
      <c r="W27" s="29">
        <f t="shared" si="1"/>
        <v>901.67476023788026</v>
      </c>
      <c r="X27" s="32">
        <f t="shared" si="4"/>
        <v>1.7688125841450922E-2</v>
      </c>
      <c r="Y27" s="29">
        <f t="shared" si="2"/>
        <v>2604.6457602378841</v>
      </c>
      <c r="Z27" s="32">
        <f t="shared" si="5"/>
        <v>5.1095255197489108E-2</v>
      </c>
      <c r="AA27" s="30"/>
      <c r="AB27" s="33">
        <f t="shared" si="3"/>
        <v>0.108</v>
      </c>
      <c r="AC27" s="30"/>
      <c r="AD27" s="34">
        <f>Q27/L27*100</f>
        <v>6.3097679749036173</v>
      </c>
      <c r="AE27" s="30"/>
      <c r="AF27" s="30"/>
      <c r="AG27" s="205"/>
      <c r="AH27" s="36"/>
      <c r="AI27" s="6"/>
      <c r="AJ27" s="3" t="s">
        <v>0</v>
      </c>
    </row>
    <row r="28" spans="2:37" hidden="1">
      <c r="B28" s="44">
        <f>MAX(B$13:B26)+1</f>
        <v>8</v>
      </c>
      <c r="D28" s="2" t="s">
        <v>50</v>
      </c>
      <c r="F28" s="27" t="s">
        <v>51</v>
      </c>
      <c r="G28" s="12"/>
      <c r="H28" s="28">
        <v>63.666666666666671</v>
      </c>
      <c r="I28" s="28">
        <v>0</v>
      </c>
      <c r="K28" s="28">
        <v>856497.09877425549</v>
      </c>
      <c r="L28" s="28">
        <v>0</v>
      </c>
      <c r="N28" s="46">
        <v>38996.209349631463</v>
      </c>
      <c r="O28" s="29">
        <v>0</v>
      </c>
      <c r="P28" s="30"/>
      <c r="Q28" s="29">
        <v>0</v>
      </c>
      <c r="R28" s="29"/>
      <c r="S28" s="31">
        <f t="shared" si="0"/>
        <v>0</v>
      </c>
      <c r="T28" s="29"/>
      <c r="U28" s="29">
        <v>0</v>
      </c>
      <c r="V28" s="32">
        <v>0</v>
      </c>
      <c r="W28" s="29">
        <v>0</v>
      </c>
      <c r="X28" s="32">
        <v>0</v>
      </c>
      <c r="Y28" s="29">
        <f t="shared" si="2"/>
        <v>0</v>
      </c>
      <c r="Z28" s="32">
        <v>0</v>
      </c>
      <c r="AA28" s="30"/>
      <c r="AB28" s="33" t="e">
        <f t="shared" si="3"/>
        <v>#DIV/0!</v>
      </c>
      <c r="AC28" s="30"/>
      <c r="AD28" s="34">
        <v>0</v>
      </c>
      <c r="AE28" s="30"/>
      <c r="AF28" s="30"/>
      <c r="AG28" s="205"/>
      <c r="AH28" s="36"/>
      <c r="AI28" s="6"/>
    </row>
    <row r="29" spans="2:37">
      <c r="B29" s="44">
        <f>MAX(B$13:B28)+1</f>
        <v>9</v>
      </c>
      <c r="D29" s="2" t="s">
        <v>52</v>
      </c>
      <c r="F29" s="12" t="s">
        <v>53</v>
      </c>
      <c r="G29" s="12"/>
      <c r="H29" s="28">
        <v>28</v>
      </c>
      <c r="I29" s="28">
        <v>29.977777777777749</v>
      </c>
      <c r="K29" s="28">
        <v>233.86177246899351</v>
      </c>
      <c r="L29" s="28">
        <v>294.55045303791917</v>
      </c>
      <c r="N29" s="46">
        <v>18.659249899021408</v>
      </c>
      <c r="O29" s="29">
        <v>25.790024491772925</v>
      </c>
      <c r="P29" s="30"/>
      <c r="Q29" s="29">
        <v>26.174024491772926</v>
      </c>
      <c r="R29" s="29"/>
      <c r="S29" s="31">
        <f t="shared" si="0"/>
        <v>26.621741180390561</v>
      </c>
      <c r="T29" s="29"/>
      <c r="U29" s="29">
        <v>0.38400000000000001</v>
      </c>
      <c r="V29" s="32">
        <f>U29/O29</f>
        <v>1.4889477911217062E-2</v>
      </c>
      <c r="W29" s="29">
        <f t="shared" si="1"/>
        <v>0.44771668861763708</v>
      </c>
      <c r="X29" s="32">
        <f t="shared" si="4"/>
        <v>1.736007225431134E-2</v>
      </c>
      <c r="Y29" s="29">
        <f t="shared" si="2"/>
        <v>0.83171668861763703</v>
      </c>
      <c r="Z29" s="32">
        <f t="shared" si="5"/>
        <v>3.2249550165528398E-2</v>
      </c>
      <c r="AA29" s="30"/>
      <c r="AB29" s="33">
        <f t="shared" si="3"/>
        <v>0.152</v>
      </c>
      <c r="AC29" s="30"/>
      <c r="AD29" s="34">
        <f>Q29/L29*100</f>
        <v>8.8860920843341553</v>
      </c>
      <c r="AE29" s="30"/>
      <c r="AF29" s="30"/>
      <c r="AG29" s="205"/>
      <c r="AH29" s="36"/>
      <c r="AI29" s="6"/>
    </row>
    <row r="30" spans="2:37">
      <c r="B30" s="14"/>
      <c r="F30" s="12"/>
      <c r="G30" s="12"/>
      <c r="H30" s="38"/>
      <c r="I30" s="38"/>
      <c r="K30" s="38"/>
      <c r="L30" s="38"/>
      <c r="N30" s="38"/>
      <c r="O30" s="38"/>
      <c r="P30" s="6"/>
      <c r="Q30" s="38"/>
      <c r="R30" s="6"/>
      <c r="S30" s="39"/>
      <c r="T30" s="6"/>
      <c r="U30" s="38"/>
      <c r="V30" s="40"/>
      <c r="W30" s="38"/>
      <c r="X30" s="40"/>
      <c r="Y30" s="38"/>
      <c r="Z30" s="40"/>
      <c r="AA30" s="6"/>
      <c r="AB30" s="41"/>
      <c r="AC30" s="6"/>
      <c r="AD30" s="39"/>
      <c r="AE30" s="6"/>
      <c r="AF30" s="6"/>
      <c r="AG30" s="204"/>
      <c r="AH30" s="6"/>
      <c r="AI30" s="6"/>
    </row>
    <row r="31" spans="2:37">
      <c r="B31" s="14"/>
      <c r="V31" s="42"/>
      <c r="X31" s="42"/>
      <c r="Z31" s="42"/>
      <c r="AB31" s="43"/>
      <c r="AG31" s="204"/>
      <c r="AH31" s="6"/>
      <c r="AI31" s="6"/>
    </row>
    <row r="32" spans="2:37">
      <c r="B32" s="44">
        <f>MAX(B$13:B31)+1</f>
        <v>10</v>
      </c>
      <c r="D32" s="26" t="s">
        <v>54</v>
      </c>
      <c r="H32" s="45">
        <f>SUM(H22:H29)</f>
        <v>23780.5</v>
      </c>
      <c r="I32" s="45">
        <f>SUM(I22:I29)</f>
        <v>25182.428024905177</v>
      </c>
      <c r="K32" s="45">
        <f>SUM(K22:K29)</f>
        <v>3297111.0499705928</v>
      </c>
      <c r="L32" s="45">
        <f>SUM(L22:L29)</f>
        <v>2424681.1953612347</v>
      </c>
      <c r="M32" s="45"/>
      <c r="N32" s="29">
        <f>SUM(N22:N29)</f>
        <v>170969.95465759834</v>
      </c>
      <c r="O32" s="29">
        <f>SUM(O22:O29)</f>
        <v>179243.75420998497</v>
      </c>
      <c r="P32" s="30"/>
      <c r="Q32" s="29">
        <f>SUM(Q22:Q29)</f>
        <v>184101.15920998494</v>
      </c>
      <c r="R32" s="46"/>
      <c r="S32" s="31">
        <f>SUM(S22:S29)</f>
        <v>187252.6598820778</v>
      </c>
      <c r="T32" s="46"/>
      <c r="U32" s="29">
        <f>SUM(U22:U29)</f>
        <v>4857.4050000000034</v>
      </c>
      <c r="V32" s="32">
        <f>U32/O32</f>
        <v>2.7099437977122085E-2</v>
      </c>
      <c r="W32" s="29">
        <f>SUM(W22:W29)</f>
        <v>3151.5006720928573</v>
      </c>
      <c r="X32" s="32">
        <f>W32/O32</f>
        <v>1.7582206342324533E-2</v>
      </c>
      <c r="Y32" s="29">
        <f>U32+W32</f>
        <v>8008.9056720928602</v>
      </c>
      <c r="Z32" s="32"/>
      <c r="AA32" s="30"/>
      <c r="AB32" s="33"/>
      <c r="AC32" s="30"/>
      <c r="AD32" s="34">
        <f>Q32/L32*100</f>
        <v>7.5927985733628427</v>
      </c>
      <c r="AE32" s="30"/>
      <c r="AF32" s="30"/>
      <c r="AG32" s="205"/>
      <c r="AH32" s="36"/>
      <c r="AI32" s="6"/>
    </row>
    <row r="33" spans="2:36">
      <c r="B33" s="14"/>
      <c r="V33" s="42"/>
      <c r="X33" s="42"/>
      <c r="Z33" s="42"/>
      <c r="AB33" s="43"/>
      <c r="AG33" s="204"/>
      <c r="AH33" s="6"/>
      <c r="AI33" s="6"/>
    </row>
    <row r="34" spans="2:36">
      <c r="B34" s="14"/>
      <c r="D34" s="26" t="s">
        <v>55</v>
      </c>
      <c r="V34" s="42"/>
      <c r="X34" s="42"/>
      <c r="Z34" s="42"/>
      <c r="AB34" s="43"/>
      <c r="AG34" s="204"/>
      <c r="AH34" s="6"/>
      <c r="AI34" s="6"/>
    </row>
    <row r="35" spans="2:36">
      <c r="B35" s="44">
        <f>MAX(B$13:B34)+1</f>
        <v>11</v>
      </c>
      <c r="D35" s="2" t="s">
        <v>56</v>
      </c>
      <c r="F35" s="12" t="s">
        <v>57</v>
      </c>
      <c r="G35" s="12"/>
      <c r="H35" s="28">
        <v>2828</v>
      </c>
      <c r="I35" s="28">
        <v>2531.9166666666665</v>
      </c>
      <c r="K35" s="28">
        <v>3735.0893644456642</v>
      </c>
      <c r="L35" s="28">
        <v>3355.2350684260427</v>
      </c>
      <c r="N35" s="46">
        <v>473.92026673033644</v>
      </c>
      <c r="O35" s="29">
        <v>468.63441510785196</v>
      </c>
      <c r="P35" s="30"/>
      <c r="Q35" s="29">
        <v>475.65941433249048</v>
      </c>
      <c r="R35" s="29"/>
      <c r="S35" s="31">
        <f>Q35+W35</f>
        <v>483.77908319808148</v>
      </c>
      <c r="T35" s="29"/>
      <c r="U35" s="29">
        <v>7.024999224638508</v>
      </c>
      <c r="V35" s="32">
        <f>U35/O35</f>
        <v>1.499036135240253E-2</v>
      </c>
      <c r="W35" s="29">
        <f>(AB35/100)*L35</f>
        <v>8.1196688655910236</v>
      </c>
      <c r="X35" s="32">
        <f>W35/O35</f>
        <v>1.7326232568135987E-2</v>
      </c>
      <c r="Y35" s="29">
        <f>U35+W35</f>
        <v>15.144668090229532</v>
      </c>
      <c r="Z35" s="32">
        <f>Y35/O35</f>
        <v>3.2316593920538518E-2</v>
      </c>
      <c r="AA35" s="30"/>
      <c r="AB35" s="33">
        <f t="shared" ref="AB35:AB39" si="6">ROUND((((Q35/$Q$44)*$W$51)/L35)*100,3)</f>
        <v>0.24199999999999999</v>
      </c>
      <c r="AC35" s="30"/>
      <c r="AD35" s="34">
        <f>Q35/L35*100</f>
        <v>14.176634561572602</v>
      </c>
      <c r="AE35" s="30"/>
      <c r="AF35" s="30"/>
      <c r="AG35" s="205"/>
      <c r="AH35" s="36"/>
      <c r="AI35" s="6"/>
    </row>
    <row r="36" spans="2:36">
      <c r="B36" s="44">
        <f>MAX(B$13:B35)+1</f>
        <v>12</v>
      </c>
      <c r="D36" s="2" t="s">
        <v>58</v>
      </c>
      <c r="F36" s="12" t="s">
        <v>59</v>
      </c>
      <c r="G36" s="12"/>
      <c r="H36" s="28">
        <v>178</v>
      </c>
      <c r="I36" s="28">
        <v>163</v>
      </c>
      <c r="K36" s="28">
        <v>2902.2385934150548</v>
      </c>
      <c r="L36" s="28">
        <v>3186.5956037362384</v>
      </c>
      <c r="N36" s="46">
        <v>522.31224201957195</v>
      </c>
      <c r="O36" s="29">
        <v>620.98089382532601</v>
      </c>
      <c r="P36" s="30"/>
      <c r="Q36" s="29">
        <v>630.25889382532603</v>
      </c>
      <c r="R36" s="29"/>
      <c r="S36" s="31">
        <f>Q36+W36</f>
        <v>641.02958696595454</v>
      </c>
      <c r="T36" s="29"/>
      <c r="U36" s="29">
        <v>9.2780000000000005</v>
      </c>
      <c r="V36" s="32">
        <f>U36/O36</f>
        <v>1.4940878362370008E-2</v>
      </c>
      <c r="W36" s="29">
        <f>(AB36/100)*L36</f>
        <v>10.770693140628486</v>
      </c>
      <c r="X36" s="32">
        <f>W36/O36</f>
        <v>1.7344644976562105E-2</v>
      </c>
      <c r="Y36" s="29">
        <f>U36+W36</f>
        <v>20.048693140628487</v>
      </c>
      <c r="Z36" s="32">
        <f>Y36/O36</f>
        <v>3.2285523338932115E-2</v>
      </c>
      <c r="AA36" s="30"/>
      <c r="AB36" s="33">
        <f t="shared" si="6"/>
        <v>0.33800000000000002</v>
      </c>
      <c r="AC36" s="30"/>
      <c r="AD36" s="34">
        <f>Q36/L36*100</f>
        <v>19.778439821054054</v>
      </c>
      <c r="AE36" s="30"/>
      <c r="AF36" s="30"/>
      <c r="AG36" s="205"/>
      <c r="AH36" s="36"/>
      <c r="AI36" s="35" t="s">
        <v>0</v>
      </c>
    </row>
    <row r="37" spans="2:36">
      <c r="B37" s="44">
        <f>MAX(B$13:B36)+1</f>
        <v>13</v>
      </c>
      <c r="D37" s="2" t="s">
        <v>58</v>
      </c>
      <c r="F37" s="12">
        <v>52</v>
      </c>
      <c r="G37" s="12"/>
      <c r="H37" s="28">
        <v>30</v>
      </c>
      <c r="I37" s="28">
        <v>15</v>
      </c>
      <c r="K37" s="28">
        <v>466.2387672357238</v>
      </c>
      <c r="L37" s="28">
        <v>198.34085987577339</v>
      </c>
      <c r="N37" s="46">
        <v>60.670270195709442</v>
      </c>
      <c r="O37" s="29">
        <v>33.511850718803466</v>
      </c>
      <c r="P37" s="30"/>
      <c r="Q37" s="29">
        <v>34.010850718803461</v>
      </c>
      <c r="R37" s="29"/>
      <c r="S37" s="31">
        <f>Q37+W37</f>
        <v>34.59198943823948</v>
      </c>
      <c r="T37" s="29"/>
      <c r="U37" s="29">
        <v>0.499</v>
      </c>
      <c r="V37" s="32">
        <f>U37/O37</f>
        <v>1.4890254918687961E-2</v>
      </c>
      <c r="W37" s="29">
        <f>(AB37/100)*L37</f>
        <v>0.58113871943601603</v>
      </c>
      <c r="X37" s="32">
        <f>W37/O37</f>
        <v>1.7341289930906133E-2</v>
      </c>
      <c r="Y37" s="29">
        <f>U37+W37</f>
        <v>1.0801387194360159</v>
      </c>
      <c r="Z37" s="32">
        <f>Y37/O37</f>
        <v>3.223154484959409E-2</v>
      </c>
      <c r="AA37" s="30"/>
      <c r="AB37" s="33">
        <f t="shared" si="6"/>
        <v>0.29299999999999998</v>
      </c>
      <c r="AC37" s="30"/>
      <c r="AD37" s="34">
        <f>Q37/L37*100</f>
        <v>17.147677357104048</v>
      </c>
      <c r="AE37" s="30"/>
      <c r="AF37" s="30"/>
      <c r="AG37" s="205"/>
      <c r="AH37" s="36"/>
      <c r="AI37" s="6"/>
    </row>
    <row r="38" spans="2:36">
      <c r="B38" s="44">
        <f>MAX(B$13:B37)+1</f>
        <v>14</v>
      </c>
      <c r="D38" s="2" t="s">
        <v>58</v>
      </c>
      <c r="F38" s="12">
        <v>53</v>
      </c>
      <c r="G38" s="12"/>
      <c r="H38" s="28">
        <v>272.33333333333337</v>
      </c>
      <c r="I38" s="28">
        <v>217.08333333333334</v>
      </c>
      <c r="K38" s="28">
        <v>4499.9316487570059</v>
      </c>
      <c r="L38" s="28">
        <v>4161.9537848388163</v>
      </c>
      <c r="N38" s="28">
        <v>278.83306975907675</v>
      </c>
      <c r="O38" s="29">
        <v>286.22928702344217</v>
      </c>
      <c r="P38" s="30"/>
      <c r="Q38" s="29">
        <v>290.49259358894909</v>
      </c>
      <c r="R38" s="29"/>
      <c r="S38" s="31">
        <f>Q38+W38</f>
        <v>295.44531859290726</v>
      </c>
      <c r="T38" s="29"/>
      <c r="U38" s="29">
        <v>4.2636456391777608</v>
      </c>
      <c r="V38" s="32">
        <f>U38/O38</f>
        <v>1.4895909791469273E-2</v>
      </c>
      <c r="W38" s="29">
        <f>(AB38/100)*L38</f>
        <v>4.9527250039581912</v>
      </c>
      <c r="X38" s="32">
        <f>W38/O38</f>
        <v>1.7303348149529378E-2</v>
      </c>
      <c r="Y38" s="29">
        <f>U38+W38</f>
        <v>9.2163706431359529</v>
      </c>
      <c r="Z38" s="32">
        <f>Y38/O38</f>
        <v>3.2199257940998656E-2</v>
      </c>
      <c r="AA38" s="30"/>
      <c r="AB38" s="33">
        <f t="shared" si="6"/>
        <v>0.11899999999999999</v>
      </c>
      <c r="AC38" s="30"/>
      <c r="AD38" s="34">
        <f>Q38/L38*100</f>
        <v>6.979716945612342</v>
      </c>
      <c r="AE38" s="30"/>
      <c r="AF38" s="30"/>
      <c r="AG38" s="205"/>
      <c r="AH38" s="36"/>
      <c r="AI38" s="6"/>
      <c r="AJ38" s="3" t="s">
        <v>0</v>
      </c>
    </row>
    <row r="39" spans="2:36">
      <c r="B39" s="44">
        <f>MAX(B$13:B38)+1</f>
        <v>15</v>
      </c>
      <c r="D39" s="2" t="s">
        <v>58</v>
      </c>
      <c r="F39" s="12">
        <v>57</v>
      </c>
      <c r="G39" s="12"/>
      <c r="H39" s="28">
        <v>50.666666666666664</v>
      </c>
      <c r="I39" s="28">
        <v>33.916666666666664</v>
      </c>
      <c r="K39" s="28">
        <v>2174.0459905922153</v>
      </c>
      <c r="L39" s="28">
        <v>1743.2558167712143</v>
      </c>
      <c r="N39" s="28">
        <v>235.8029580256418</v>
      </c>
      <c r="O39" s="29">
        <v>212.91005677457667</v>
      </c>
      <c r="P39" s="30"/>
      <c r="Q39" s="29">
        <v>216.05905677457665</v>
      </c>
      <c r="R39" s="29"/>
      <c r="S39" s="31">
        <f>Q39+W39</f>
        <v>219.75475910613162</v>
      </c>
      <c r="T39" s="29"/>
      <c r="U39" s="29">
        <v>3.149</v>
      </c>
      <c r="V39" s="32">
        <f>U39/O39</f>
        <v>1.4790283031740839E-2</v>
      </c>
      <c r="W39" s="29">
        <f>(AB39/100)*L39</f>
        <v>3.6957023315549744</v>
      </c>
      <c r="X39" s="32">
        <f>W39/O39</f>
        <v>1.735804493006116E-2</v>
      </c>
      <c r="Y39" s="29">
        <f>U39+W39</f>
        <v>6.8447023315549744</v>
      </c>
      <c r="Z39" s="32">
        <f>Y39/O39</f>
        <v>3.2148327961801997E-2</v>
      </c>
      <c r="AA39" s="30"/>
      <c r="AB39" s="33">
        <f t="shared" si="6"/>
        <v>0.21199999999999999</v>
      </c>
      <c r="AC39" s="30"/>
      <c r="AD39" s="34">
        <f>Q39/L39*100</f>
        <v>12.393996032937507</v>
      </c>
      <c r="AE39" s="30"/>
      <c r="AF39" s="30"/>
      <c r="AG39" s="205"/>
      <c r="AH39" s="36"/>
      <c r="AI39" s="6"/>
    </row>
    <row r="40" spans="2:36">
      <c r="B40" s="14"/>
      <c r="H40" s="38"/>
      <c r="I40" s="38"/>
      <c r="K40" s="38"/>
      <c r="L40" s="38"/>
      <c r="N40" s="38"/>
      <c r="O40" s="38"/>
      <c r="P40" s="6"/>
      <c r="Q40" s="39"/>
      <c r="R40" s="6"/>
      <c r="S40" s="39"/>
      <c r="T40" s="6"/>
      <c r="U40" s="38"/>
      <c r="V40" s="40"/>
      <c r="W40" s="38"/>
      <c r="X40" s="40"/>
      <c r="Y40" s="38"/>
      <c r="Z40" s="40"/>
      <c r="AA40" s="6"/>
      <c r="AB40" s="41"/>
      <c r="AC40" s="6"/>
      <c r="AD40" s="39"/>
      <c r="AE40" s="6"/>
      <c r="AF40" s="6"/>
      <c r="AG40" s="204"/>
      <c r="AH40" s="6"/>
      <c r="AI40" s="6"/>
    </row>
    <row r="41" spans="2:36">
      <c r="B41" s="14"/>
      <c r="V41" s="42"/>
      <c r="X41" s="42"/>
      <c r="Z41" s="42"/>
      <c r="AB41" s="43"/>
      <c r="AG41" s="204"/>
      <c r="AH41" s="6"/>
      <c r="AI41" s="6"/>
    </row>
    <row r="42" spans="2:36">
      <c r="B42" s="44">
        <f>MAX(B$13:B41)+1</f>
        <v>16</v>
      </c>
      <c r="D42" s="26" t="s">
        <v>60</v>
      </c>
      <c r="H42" s="52">
        <f>SUM(H35:H39)</f>
        <v>3359</v>
      </c>
      <c r="I42" s="52">
        <f>SUM(I35:I39)</f>
        <v>2960.9166666666665</v>
      </c>
      <c r="K42" s="52">
        <f>SUM(K35:K39)</f>
        <v>13777.544364445665</v>
      </c>
      <c r="L42" s="52">
        <f>SUM(L35:L39)</f>
        <v>12645.381133648085</v>
      </c>
      <c r="M42" s="45"/>
      <c r="N42" s="53">
        <f>SUM(N35:N39)</f>
        <v>1571.5388067303365</v>
      </c>
      <c r="O42" s="53">
        <f>SUM(O35:O39)</f>
        <v>1622.2665034500001</v>
      </c>
      <c r="P42" s="36"/>
      <c r="Q42" s="53">
        <f>SUM(Q35:Q39)</f>
        <v>1646.4808092401458</v>
      </c>
      <c r="R42" s="54"/>
      <c r="S42" s="53">
        <f>SUM(S35:S39)</f>
        <v>1674.6007373013144</v>
      </c>
      <c r="T42" s="54"/>
      <c r="U42" s="53">
        <f>SUM(U35:U39)</f>
        <v>24.214644863816268</v>
      </c>
      <c r="V42" s="55">
        <f>U42/O42</f>
        <v>1.4926428433503428E-2</v>
      </c>
      <c r="W42" s="53">
        <f>SUM(W35:W39)</f>
        <v>28.119928061168693</v>
      </c>
      <c r="X42" s="55">
        <f>W42/O42</f>
        <v>1.7333729076799236E-2</v>
      </c>
      <c r="Y42" s="53">
        <f>U42+W42</f>
        <v>52.334572924984961</v>
      </c>
      <c r="Z42" s="55">
        <f>Y42/O42</f>
        <v>3.2260157510302666E-2</v>
      </c>
      <c r="AA42" s="36"/>
      <c r="AB42" s="33"/>
      <c r="AC42" s="36"/>
      <c r="AD42" s="56">
        <f>Q42/L42*100</f>
        <v>13.020412685379853</v>
      </c>
      <c r="AE42" s="36"/>
      <c r="AF42" s="36"/>
      <c r="AG42" s="206"/>
      <c r="AH42" s="36"/>
      <c r="AI42" s="6"/>
    </row>
    <row r="43" spans="2:36">
      <c r="B43" s="14"/>
      <c r="D43" s="26"/>
      <c r="H43" s="57"/>
      <c r="I43" s="57"/>
      <c r="K43" s="57"/>
      <c r="L43" s="57"/>
      <c r="M43" s="45"/>
      <c r="N43" s="54"/>
      <c r="O43" s="54"/>
      <c r="P43" s="54"/>
      <c r="Q43" s="54"/>
      <c r="R43" s="54"/>
      <c r="S43" s="54"/>
      <c r="T43" s="54"/>
      <c r="U43" s="54"/>
      <c r="V43" s="58"/>
      <c r="W43" s="54"/>
      <c r="X43" s="58"/>
      <c r="Y43" s="54"/>
      <c r="Z43" s="59"/>
      <c r="AA43" s="54"/>
      <c r="AB43" s="60"/>
      <c r="AC43" s="54"/>
      <c r="AD43" s="54"/>
      <c r="AE43" s="54"/>
      <c r="AF43" s="54"/>
      <c r="AG43" s="204"/>
      <c r="AH43" s="54"/>
      <c r="AI43" s="6"/>
    </row>
    <row r="44" spans="2:36" ht="16.5" thickBot="1">
      <c r="B44" s="44">
        <f>MAX(B$13:B43)+1</f>
        <v>17</v>
      </c>
      <c r="D44" s="186" t="s">
        <v>149</v>
      </c>
      <c r="H44" s="61">
        <f>H42+H32+H19</f>
        <v>128476.41666666667</v>
      </c>
      <c r="I44" s="61">
        <f>I42+I32+I19</f>
        <v>132778.43714676326</v>
      </c>
      <c r="K44" s="61">
        <f>K42+K32+K19</f>
        <v>4880827.1987742558</v>
      </c>
      <c r="L44" s="61">
        <f>L42+L32+L19</f>
        <v>4010161.4332736093</v>
      </c>
      <c r="N44" s="62">
        <f>N42+N32+N19</f>
        <v>275214.43788963149</v>
      </c>
      <c r="O44" s="62">
        <f>O42+O32+O19</f>
        <v>320954.13952952309</v>
      </c>
      <c r="P44" s="36"/>
      <c r="Q44" s="62">
        <f>Q42+Q32+Q19</f>
        <v>330517.76783531322</v>
      </c>
      <c r="R44" s="63"/>
      <c r="S44" s="62">
        <f>S42+S32+S19</f>
        <v>336166.7391606099</v>
      </c>
      <c r="T44" s="63"/>
      <c r="U44" s="62">
        <f>U42+U32+U19</f>
        <v>9563.6286448638202</v>
      </c>
      <c r="V44" s="64">
        <f>U44/O44</f>
        <v>2.9797492747352793E-2</v>
      </c>
      <c r="W44" s="62">
        <f>W42+W32+W19</f>
        <v>5648.9713252966267</v>
      </c>
      <c r="X44" s="64">
        <f>W44/O44</f>
        <v>1.7600556059433545E-2</v>
      </c>
      <c r="Y44" s="62">
        <f>U44+W44</f>
        <v>15212.599970160447</v>
      </c>
      <c r="Z44" s="64">
        <f>Y44/O44</f>
        <v>4.7398048806786337E-2</v>
      </c>
      <c r="AA44" s="36"/>
      <c r="AB44" s="33">
        <f>ROUND((((Q44/$Q$44)*$W$51)/L44)*100,4)</f>
        <v>0.1409</v>
      </c>
      <c r="AC44" s="36"/>
      <c r="AD44" s="207">
        <f>Q44/L44*100</f>
        <v>8.2420065459933891</v>
      </c>
      <c r="AE44" s="36"/>
      <c r="AF44" s="36"/>
      <c r="AG44" s="35" t="s">
        <v>0</v>
      </c>
      <c r="AH44" s="36"/>
      <c r="AI44" s="37" t="s">
        <v>0</v>
      </c>
    </row>
    <row r="45" spans="2:36" ht="16.5" thickTop="1">
      <c r="B45" s="388" t="s">
        <v>0</v>
      </c>
      <c r="C45" s="389"/>
      <c r="D45" s="389"/>
      <c r="H45" s="65"/>
      <c r="I45" s="65"/>
      <c r="K45" s="65"/>
      <c r="L45" s="65"/>
      <c r="N45" s="63"/>
      <c r="O45" s="63"/>
      <c r="P45" s="36"/>
      <c r="Q45" s="63"/>
      <c r="R45" s="63"/>
      <c r="S45" s="63"/>
      <c r="T45" s="63"/>
      <c r="U45" s="63"/>
      <c r="V45" s="42"/>
      <c r="W45" s="63"/>
      <c r="X45" s="42"/>
      <c r="Y45" s="36"/>
      <c r="AA45" s="36"/>
      <c r="AB45" s="36"/>
      <c r="AC45" s="36"/>
      <c r="AD45" s="36"/>
      <c r="AE45" s="36"/>
      <c r="AF45" s="36"/>
      <c r="AG45" s="205"/>
      <c r="AH45" s="36"/>
      <c r="AI45" s="6"/>
    </row>
    <row r="46" spans="2:36">
      <c r="B46" s="44">
        <v>18</v>
      </c>
      <c r="D46" s="2" t="s">
        <v>61</v>
      </c>
      <c r="H46" s="65"/>
      <c r="I46" s="65"/>
      <c r="K46" s="65"/>
      <c r="L46" s="65"/>
      <c r="N46" s="63">
        <v>311.00673999999998</v>
      </c>
      <c r="O46" s="31">
        <v>651.51829000000009</v>
      </c>
      <c r="P46" s="66"/>
      <c r="Q46" s="31">
        <f>O46</f>
        <v>651.51829000000009</v>
      </c>
      <c r="R46" s="63"/>
      <c r="S46" s="31">
        <f>Q46</f>
        <v>651.51829000000009</v>
      </c>
      <c r="T46" s="63"/>
      <c r="U46" s="49"/>
      <c r="V46" s="32"/>
      <c r="W46" s="49"/>
      <c r="X46" s="32"/>
      <c r="Y46" s="36"/>
      <c r="AA46" s="36"/>
      <c r="AB46" s="36"/>
      <c r="AC46" s="36"/>
      <c r="AD46" s="34"/>
      <c r="AE46" s="30"/>
      <c r="AF46" s="36"/>
      <c r="AG46" s="205"/>
      <c r="AH46" s="36"/>
      <c r="AI46" s="6"/>
    </row>
    <row r="47" spans="2:36">
      <c r="B47" s="44"/>
      <c r="H47" s="65"/>
      <c r="I47" s="65"/>
      <c r="K47" s="65"/>
      <c r="L47" s="65"/>
      <c r="N47" s="63"/>
      <c r="O47" s="63"/>
      <c r="P47" s="66"/>
      <c r="Q47" s="31"/>
      <c r="R47" s="63"/>
      <c r="S47" s="31"/>
      <c r="T47" s="63"/>
      <c r="U47" s="49"/>
      <c r="V47" s="32"/>
      <c r="W47" s="49"/>
      <c r="X47" s="32"/>
      <c r="Y47" s="36"/>
      <c r="AA47" s="36"/>
      <c r="AB47" s="36"/>
      <c r="AC47" s="36"/>
      <c r="AD47" s="34"/>
      <c r="AE47" s="30"/>
      <c r="AF47" s="36"/>
      <c r="AG47" s="205"/>
      <c r="AH47" s="36"/>
      <c r="AI47" s="6"/>
    </row>
    <row r="48" spans="2:36" ht="16.5" thickBot="1">
      <c r="B48" s="44">
        <v>19</v>
      </c>
      <c r="D48" s="67" t="s">
        <v>62</v>
      </c>
      <c r="H48" s="68">
        <f>SUM(H44:H46)</f>
        <v>128476.41666666667</v>
      </c>
      <c r="I48" s="68">
        <f>SUM(I44:I46)</f>
        <v>132778.43714676326</v>
      </c>
      <c r="K48" s="68">
        <f>SUM(K44:K46)</f>
        <v>4880827.1987742558</v>
      </c>
      <c r="L48" s="68">
        <f>SUM(L44:L46)</f>
        <v>4010161.4332736093</v>
      </c>
      <c r="N48" s="62">
        <f>SUM(N44:N46)</f>
        <v>275525.44462963147</v>
      </c>
      <c r="O48" s="62">
        <f>SUM(O44:O46)</f>
        <v>321605.65781952307</v>
      </c>
      <c r="Q48" s="69">
        <f>SUM(Q44:Q46)</f>
        <v>331169.2861253132</v>
      </c>
      <c r="R48" s="63"/>
      <c r="S48" s="69">
        <f>SUM(S44:S46)</f>
        <v>336818.25745060988</v>
      </c>
      <c r="T48" s="63"/>
      <c r="U48" s="62">
        <f>SUM(U44:U46)</f>
        <v>9563.6286448638202</v>
      </c>
      <c r="V48" s="64">
        <f>U48/O48</f>
        <v>2.9737128101865316E-2</v>
      </c>
      <c r="W48" s="62">
        <f>SUM(W44:W46)</f>
        <v>5648.9713252966267</v>
      </c>
      <c r="X48" s="64">
        <f>W48/O48</f>
        <v>1.7564900330412365E-2</v>
      </c>
      <c r="AD48" s="207">
        <f>Q48/L48*100</f>
        <v>8.2582532308423868</v>
      </c>
      <c r="AE48" s="30"/>
      <c r="AG48" s="6"/>
      <c r="AH48" s="6"/>
      <c r="AI48" s="6"/>
    </row>
    <row r="49" spans="10:34" ht="18.75" customHeight="1" thickTop="1">
      <c r="J49" s="3"/>
      <c r="U49" s="29" t="s">
        <v>0</v>
      </c>
      <c r="V49" s="70" t="s">
        <v>0</v>
      </c>
      <c r="X49" s="70" t="s">
        <v>0</v>
      </c>
    </row>
    <row r="50" spans="10:34" ht="18.75" customHeight="1">
      <c r="U50" s="208" t="s">
        <v>0</v>
      </c>
      <c r="V50" s="170" t="s">
        <v>0</v>
      </c>
      <c r="X50" s="70"/>
    </row>
    <row r="51" spans="10:34">
      <c r="N51" s="72"/>
      <c r="O51" s="72"/>
      <c r="P51" s="6"/>
      <c r="S51" s="49"/>
      <c r="U51" s="49"/>
      <c r="V51" s="73"/>
      <c r="W51" s="49">
        <v>5649.1189999999997</v>
      </c>
      <c r="X51" s="73"/>
      <c r="Y51" s="6"/>
      <c r="AA51" s="6"/>
      <c r="AB51" s="6"/>
      <c r="AC51" s="6"/>
      <c r="AD51" s="6"/>
      <c r="AE51" s="6"/>
      <c r="AF51" s="6"/>
      <c r="AG51" s="6"/>
      <c r="AH51" s="6"/>
    </row>
    <row r="52" spans="10:34">
      <c r="P52" s="6"/>
      <c r="U52" s="74"/>
      <c r="Y52" s="6"/>
      <c r="Z52" s="6"/>
      <c r="AA52" s="6"/>
      <c r="AB52" s="6"/>
      <c r="AC52" s="6"/>
      <c r="AD52" s="63"/>
      <c r="AE52" s="6"/>
      <c r="AF52" s="6"/>
      <c r="AG52" s="6"/>
      <c r="AH52" s="6"/>
    </row>
    <row r="53" spans="10:34">
      <c r="Q53" s="35"/>
      <c r="U53" s="75"/>
      <c r="V53" s="76"/>
      <c r="W53" s="75"/>
    </row>
    <row r="54" spans="10:34">
      <c r="Q54" s="6"/>
      <c r="U54" s="77"/>
      <c r="V54" s="78"/>
      <c r="W54" s="77"/>
    </row>
    <row r="55" spans="10:34">
      <c r="Q55" s="25"/>
      <c r="U55" s="79"/>
      <c r="V55" s="80"/>
      <c r="W55" s="79"/>
    </row>
    <row r="56" spans="10:34">
      <c r="Q56" s="81"/>
      <c r="V56" s="42"/>
    </row>
    <row r="57" spans="10:34">
      <c r="Q57" s="3"/>
      <c r="V57" s="82"/>
    </row>
    <row r="59" spans="10:34">
      <c r="Q59" s="25"/>
      <c r="X59" s="50"/>
    </row>
  </sheetData>
  <mergeCells count="8">
    <mergeCell ref="W10:Z10"/>
    <mergeCell ref="B45:D45"/>
    <mergeCell ref="B2:V2"/>
    <mergeCell ref="B3:V3"/>
    <mergeCell ref="B4:V4"/>
    <mergeCell ref="B5:V5"/>
    <mergeCell ref="B6:V6"/>
    <mergeCell ref="B7:V7"/>
  </mergeCells>
  <printOptions horizontalCentered="1"/>
  <pageMargins left="0.25" right="0.25" top="0.5" bottom="0.5" header="0.5" footer="0.25"/>
  <pageSetup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L169"/>
  <sheetViews>
    <sheetView zoomScale="70" zoomScaleNormal="70" workbookViewId="0">
      <pane xSplit="2" ySplit="6" topLeftCell="C95" activePane="bottomRight" state="frozen"/>
      <selection activeCell="F26" sqref="F26"/>
      <selection pane="topRight" activeCell="F26" sqref="F26"/>
      <selection pane="bottomLeft" activeCell="F26" sqref="F26"/>
      <selection pane="bottomRight"/>
    </sheetView>
  </sheetViews>
  <sheetFormatPr defaultRowHeight="15.75"/>
  <cols>
    <col min="1" max="1" width="8.875" style="209" bestFit="1" customWidth="1"/>
    <col min="2" max="2" width="18.625" style="210" customWidth="1"/>
    <col min="3" max="3" width="21.625" style="209" customWidth="1"/>
    <col min="4" max="4" width="55.125" style="209" customWidth="1"/>
    <col min="5" max="5" width="19" style="209" customWidth="1"/>
    <col min="6" max="6" width="15.875" style="209" customWidth="1"/>
    <col min="7" max="7" width="15.875" style="209" hidden="1" customWidth="1"/>
    <col min="8" max="8" width="17.625" style="209" customWidth="1"/>
    <col min="9" max="9" width="20.125" style="209" customWidth="1"/>
    <col min="10" max="10" width="16" style="209" customWidth="1"/>
    <col min="11" max="11" width="9" style="209"/>
    <col min="12" max="12" width="15.125" style="209" bestFit="1" customWidth="1"/>
    <col min="13" max="16384" width="9" style="209"/>
  </cols>
  <sheetData>
    <row r="2" spans="1:10">
      <c r="B2" s="209" t="s">
        <v>266</v>
      </c>
    </row>
    <row r="3" spans="1:10">
      <c r="B3" s="209" t="s">
        <v>153</v>
      </c>
    </row>
    <row r="4" spans="1:10">
      <c r="B4" s="209" t="s">
        <v>267</v>
      </c>
    </row>
    <row r="5" spans="1:10">
      <c r="A5" s="209" t="s">
        <v>154</v>
      </c>
      <c r="B5" s="210" t="s">
        <v>155</v>
      </c>
      <c r="C5" s="211" t="s">
        <v>268</v>
      </c>
      <c r="D5" s="212"/>
      <c r="E5" s="212"/>
      <c r="F5" s="212"/>
      <c r="G5" s="212"/>
      <c r="H5" s="212"/>
      <c r="I5" s="212"/>
      <c r="J5" s="213"/>
    </row>
    <row r="6" spans="1:10">
      <c r="A6" s="209" t="s">
        <v>156</v>
      </c>
      <c r="B6" s="210" t="s">
        <v>157</v>
      </c>
      <c r="C6" s="214" t="s">
        <v>158</v>
      </c>
      <c r="D6" s="215" t="s">
        <v>159</v>
      </c>
      <c r="E6" s="215"/>
      <c r="F6" s="215" t="s">
        <v>160</v>
      </c>
      <c r="G6" s="215"/>
      <c r="H6" s="215" t="s">
        <v>26</v>
      </c>
      <c r="I6" s="215" t="s">
        <v>161</v>
      </c>
      <c r="J6" s="215" t="s">
        <v>162</v>
      </c>
    </row>
    <row r="7" spans="1:10" hidden="1">
      <c r="A7" s="216" t="s">
        <v>163</v>
      </c>
      <c r="B7" s="216" t="s">
        <v>163</v>
      </c>
      <c r="C7" s="214" t="s">
        <v>126</v>
      </c>
      <c r="D7" s="217" t="s">
        <v>164</v>
      </c>
      <c r="E7" s="192" t="s">
        <v>0</v>
      </c>
      <c r="F7" s="215" t="s">
        <v>165</v>
      </c>
      <c r="G7" s="215"/>
      <c r="H7" s="218">
        <v>-4263000</v>
      </c>
      <c r="I7" s="219">
        <v>-277000</v>
      </c>
      <c r="J7" s="218">
        <v>0</v>
      </c>
    </row>
    <row r="8" spans="1:10" hidden="1">
      <c r="A8" s="216" t="s">
        <v>166</v>
      </c>
      <c r="B8" s="216" t="s">
        <v>166</v>
      </c>
      <c r="C8" s="214"/>
      <c r="D8" s="217" t="s">
        <v>167</v>
      </c>
      <c r="E8" s="192" t="s">
        <v>0</v>
      </c>
      <c r="F8" s="215" t="s">
        <v>123</v>
      </c>
      <c r="G8" s="215"/>
      <c r="H8" s="218">
        <v>0</v>
      </c>
      <c r="I8" s="219">
        <v>63027.97</v>
      </c>
      <c r="J8" s="218">
        <v>0</v>
      </c>
    </row>
    <row r="9" spans="1:10" hidden="1">
      <c r="A9" s="216" t="s">
        <v>168</v>
      </c>
      <c r="B9" s="216" t="s">
        <v>168</v>
      </c>
      <c r="C9" s="214"/>
      <c r="D9" s="217" t="s">
        <v>169</v>
      </c>
      <c r="E9" s="192" t="str">
        <f t="shared" ref="E9:E14" si="0">LEFT(D9,10)</f>
        <v>SMUD REVEN</v>
      </c>
      <c r="F9" s="215" t="s">
        <v>170</v>
      </c>
      <c r="G9" s="215"/>
      <c r="H9" s="218">
        <v>0</v>
      </c>
      <c r="I9" s="219">
        <v>115878.41</v>
      </c>
      <c r="J9" s="218">
        <v>0</v>
      </c>
    </row>
    <row r="10" spans="1:10" hidden="1">
      <c r="A10" s="193" t="s">
        <v>155</v>
      </c>
      <c r="B10" s="193" t="s">
        <v>155</v>
      </c>
      <c r="C10" s="214"/>
      <c r="D10" s="217" t="s">
        <v>171</v>
      </c>
      <c r="E10" s="192" t="str">
        <f t="shared" si="0"/>
        <v>REVENUE AD</v>
      </c>
      <c r="F10" s="215" t="s">
        <v>170</v>
      </c>
      <c r="G10" s="215"/>
      <c r="H10" s="218">
        <v>0</v>
      </c>
      <c r="I10" s="219">
        <v>-321503.46999999997</v>
      </c>
      <c r="J10" s="218">
        <v>0</v>
      </c>
    </row>
    <row r="11" spans="1:10" hidden="1">
      <c r="A11" s="193" t="s">
        <v>172</v>
      </c>
      <c r="B11" s="193" t="s">
        <v>172</v>
      </c>
      <c r="C11" s="214"/>
      <c r="D11" s="217" t="s">
        <v>173</v>
      </c>
      <c r="E11" s="192" t="str">
        <f t="shared" si="0"/>
        <v>WASHINGTON</v>
      </c>
      <c r="F11" s="215" t="s">
        <v>170</v>
      </c>
      <c r="G11" s="215"/>
      <c r="H11" s="218">
        <v>0</v>
      </c>
      <c r="I11" s="219">
        <v>-1020000</v>
      </c>
      <c r="J11" s="218">
        <v>0</v>
      </c>
    </row>
    <row r="12" spans="1:10" hidden="1">
      <c r="A12" s="193" t="s">
        <v>155</v>
      </c>
      <c r="B12" s="193" t="s">
        <v>155</v>
      </c>
      <c r="C12" s="214"/>
      <c r="D12" s="217" t="s">
        <v>174</v>
      </c>
      <c r="E12" s="192" t="str">
        <f t="shared" si="0"/>
        <v>REVENUE_AC</v>
      </c>
      <c r="F12" s="215" t="s">
        <v>170</v>
      </c>
      <c r="G12" s="215"/>
      <c r="H12" s="218">
        <v>0</v>
      </c>
      <c r="I12" s="219">
        <v>-3994653.12</v>
      </c>
      <c r="J12" s="218">
        <v>0</v>
      </c>
    </row>
    <row r="13" spans="1:10" hidden="1">
      <c r="A13" s="216" t="s">
        <v>175</v>
      </c>
      <c r="B13" s="216" t="s">
        <v>175</v>
      </c>
      <c r="C13" s="214"/>
      <c r="D13" s="217" t="s">
        <v>176</v>
      </c>
      <c r="E13" s="192" t="str">
        <f t="shared" si="0"/>
        <v>301270-DSM</v>
      </c>
      <c r="F13" s="215" t="s">
        <v>170</v>
      </c>
      <c r="G13" s="215"/>
      <c r="H13" s="218">
        <v>0</v>
      </c>
      <c r="I13" s="219">
        <v>3876602.16</v>
      </c>
      <c r="J13" s="218">
        <v>0</v>
      </c>
    </row>
    <row r="14" spans="1:10" hidden="1">
      <c r="A14" s="216" t="s">
        <v>177</v>
      </c>
      <c r="B14" s="216" t="s">
        <v>177</v>
      </c>
      <c r="C14" s="214"/>
      <c r="D14" s="217" t="s">
        <v>178</v>
      </c>
      <c r="E14" s="192" t="str">
        <f t="shared" si="0"/>
        <v>301280-BLU</v>
      </c>
      <c r="F14" s="215" t="s">
        <v>170</v>
      </c>
      <c r="G14" s="215"/>
      <c r="H14" s="218">
        <v>0</v>
      </c>
      <c r="I14" s="219">
        <v>11667.31</v>
      </c>
      <c r="J14" s="218">
        <v>4.6666666666666696</v>
      </c>
    </row>
    <row r="15" spans="1:10" hidden="1">
      <c r="A15" s="216">
        <v>24</v>
      </c>
      <c r="B15" s="216">
        <v>24</v>
      </c>
      <c r="C15" s="214"/>
      <c r="D15" s="217" t="s">
        <v>179</v>
      </c>
      <c r="E15" s="192" t="str">
        <f>LEFT(D15,10)</f>
        <v>02GNSV0024</v>
      </c>
      <c r="F15" s="215" t="s">
        <v>170</v>
      </c>
      <c r="G15" s="215"/>
      <c r="H15" s="218">
        <v>483688086</v>
      </c>
      <c r="I15" s="219">
        <v>41590703.93</v>
      </c>
      <c r="J15" s="218">
        <v>13901.5</v>
      </c>
    </row>
    <row r="16" spans="1:10" hidden="1">
      <c r="A16" s="216" t="s">
        <v>180</v>
      </c>
      <c r="B16" s="216" t="s">
        <v>180</v>
      </c>
      <c r="C16" s="214"/>
      <c r="D16" s="217" t="s">
        <v>181</v>
      </c>
      <c r="E16" s="192" t="str">
        <f t="shared" ref="E16:E29" si="1">LEFT(D16,10)</f>
        <v>02GNSV024F</v>
      </c>
      <c r="F16" s="215" t="s">
        <v>170</v>
      </c>
      <c r="G16" s="215"/>
      <c r="H16" s="218">
        <v>1115037</v>
      </c>
      <c r="I16" s="219">
        <v>142334.81</v>
      </c>
      <c r="J16" s="218">
        <v>111</v>
      </c>
    </row>
    <row r="17" spans="1:10" hidden="1">
      <c r="A17" s="216">
        <v>36</v>
      </c>
      <c r="B17" s="216">
        <v>36</v>
      </c>
      <c r="C17" s="214"/>
      <c r="D17" s="217" t="s">
        <v>182</v>
      </c>
      <c r="E17" s="192" t="str">
        <f t="shared" si="1"/>
        <v>02LGSV0036</v>
      </c>
      <c r="F17" s="215" t="s">
        <v>170</v>
      </c>
      <c r="G17" s="215"/>
      <c r="H17" s="218">
        <v>714508754</v>
      </c>
      <c r="I17" s="219">
        <v>51909016.170000002</v>
      </c>
      <c r="J17" s="218">
        <v>808.66666666666697</v>
      </c>
    </row>
    <row r="18" spans="1:10" hidden="1">
      <c r="A18" s="216" t="s">
        <v>183</v>
      </c>
      <c r="B18" s="216" t="s">
        <v>183</v>
      </c>
      <c r="C18" s="214"/>
      <c r="D18" s="217" t="s">
        <v>184</v>
      </c>
      <c r="E18" s="192" t="str">
        <f t="shared" si="1"/>
        <v>02LGSV048T</v>
      </c>
      <c r="F18" s="215" t="s">
        <v>170</v>
      </c>
      <c r="G18" s="215"/>
      <c r="H18" s="218">
        <v>172307762</v>
      </c>
      <c r="I18" s="219">
        <v>11358740.6</v>
      </c>
      <c r="J18" s="218">
        <v>31.0833333333333</v>
      </c>
    </row>
    <row r="19" spans="1:10" hidden="1">
      <c r="A19" s="216" t="s">
        <v>185</v>
      </c>
      <c r="B19" s="216" t="s">
        <v>185</v>
      </c>
      <c r="C19" s="214"/>
      <c r="D19" s="217" t="s">
        <v>186</v>
      </c>
      <c r="E19" s="192" t="str">
        <f t="shared" si="1"/>
        <v>02LNX00102</v>
      </c>
      <c r="F19" s="215" t="s">
        <v>170</v>
      </c>
      <c r="G19" s="215"/>
      <c r="H19" s="218">
        <v>0</v>
      </c>
      <c r="I19" s="219">
        <v>34589.050000000003</v>
      </c>
      <c r="J19" s="218"/>
    </row>
    <row r="20" spans="1:10" hidden="1">
      <c r="A20" s="216" t="s">
        <v>185</v>
      </c>
      <c r="B20" s="216" t="s">
        <v>185</v>
      </c>
      <c r="C20" s="214"/>
      <c r="D20" s="217" t="s">
        <v>187</v>
      </c>
      <c r="E20" s="192" t="str">
        <f t="shared" si="1"/>
        <v>02LNX00103</v>
      </c>
      <c r="F20" s="215" t="s">
        <v>170</v>
      </c>
      <c r="G20" s="215"/>
      <c r="H20" s="218">
        <v>0</v>
      </c>
      <c r="I20" s="219">
        <v>9449.93</v>
      </c>
      <c r="J20" s="218"/>
    </row>
    <row r="21" spans="1:10" hidden="1">
      <c r="A21" s="216" t="s">
        <v>185</v>
      </c>
      <c r="B21" s="216" t="s">
        <v>185</v>
      </c>
      <c r="C21" s="214"/>
      <c r="D21" s="217" t="s">
        <v>188</v>
      </c>
      <c r="E21" s="192" t="str">
        <f t="shared" si="1"/>
        <v>02LNX00105</v>
      </c>
      <c r="F21" s="215" t="s">
        <v>170</v>
      </c>
      <c r="G21" s="215"/>
      <c r="H21" s="218">
        <v>0</v>
      </c>
      <c r="I21" s="219">
        <v>1783.3</v>
      </c>
      <c r="J21" s="218"/>
    </row>
    <row r="22" spans="1:10" hidden="1">
      <c r="A22" s="216" t="s">
        <v>185</v>
      </c>
      <c r="B22" s="216" t="s">
        <v>185</v>
      </c>
      <c r="C22" s="214"/>
      <c r="D22" s="217" t="s">
        <v>189</v>
      </c>
      <c r="E22" s="192" t="str">
        <f t="shared" si="1"/>
        <v>02LNX00109</v>
      </c>
      <c r="F22" s="215" t="s">
        <v>170</v>
      </c>
      <c r="G22" s="215"/>
      <c r="H22" s="218">
        <v>0</v>
      </c>
      <c r="I22" s="219">
        <v>291326.93</v>
      </c>
      <c r="J22" s="218"/>
    </row>
    <row r="23" spans="1:10" hidden="1">
      <c r="A23" s="216" t="s">
        <v>185</v>
      </c>
      <c r="B23" s="216" t="s">
        <v>185</v>
      </c>
      <c r="C23" s="214"/>
      <c r="D23" s="217" t="s">
        <v>190</v>
      </c>
      <c r="E23" s="192" t="str">
        <f t="shared" si="1"/>
        <v>02LNX00110</v>
      </c>
      <c r="F23" s="215" t="s">
        <v>170</v>
      </c>
      <c r="G23" s="215"/>
      <c r="H23" s="218">
        <v>0</v>
      </c>
      <c r="I23" s="219">
        <v>4141.6000000000004</v>
      </c>
      <c r="J23" s="218"/>
    </row>
    <row r="24" spans="1:10" hidden="1">
      <c r="A24" s="216" t="s">
        <v>185</v>
      </c>
      <c r="B24" s="216" t="s">
        <v>185</v>
      </c>
      <c r="C24" s="214"/>
      <c r="D24" s="217" t="s">
        <v>191</v>
      </c>
      <c r="E24" s="192" t="str">
        <f t="shared" si="1"/>
        <v>02LNX00112</v>
      </c>
      <c r="F24" s="215" t="s">
        <v>170</v>
      </c>
      <c r="G24" s="215"/>
      <c r="H24" s="218">
        <v>0</v>
      </c>
      <c r="I24" s="219">
        <v>668.76</v>
      </c>
      <c r="J24" s="218"/>
    </row>
    <row r="25" spans="1:10" hidden="1">
      <c r="A25" s="216" t="s">
        <v>192</v>
      </c>
      <c r="B25" s="216" t="s">
        <v>192</v>
      </c>
      <c r="C25" s="214"/>
      <c r="D25" s="217" t="s">
        <v>193</v>
      </c>
      <c r="E25" s="192" t="str">
        <f t="shared" si="1"/>
        <v>02OALT015N</v>
      </c>
      <c r="F25" s="215" t="s">
        <v>170</v>
      </c>
      <c r="G25" s="215"/>
      <c r="H25" s="218">
        <v>1570450</v>
      </c>
      <c r="I25" s="219">
        <v>217533.81</v>
      </c>
      <c r="J25" s="218">
        <v>825.66666666666697</v>
      </c>
    </row>
    <row r="26" spans="1:10" hidden="1">
      <c r="A26" s="216">
        <v>54</v>
      </c>
      <c r="B26" s="216">
        <v>54</v>
      </c>
      <c r="C26" s="214"/>
      <c r="D26" s="217" t="s">
        <v>194</v>
      </c>
      <c r="E26" s="192" t="str">
        <f t="shared" si="1"/>
        <v>02RCFL0054</v>
      </c>
      <c r="F26" s="215" t="s">
        <v>170</v>
      </c>
      <c r="G26" s="215"/>
      <c r="H26" s="218">
        <v>296094</v>
      </c>
      <c r="I26" s="219">
        <v>26869.71</v>
      </c>
      <c r="J26" s="218">
        <v>30.1666666666667</v>
      </c>
    </row>
    <row r="27" spans="1:10" hidden="1">
      <c r="A27" s="216" t="s">
        <v>185</v>
      </c>
      <c r="B27" s="216" t="s">
        <v>185</v>
      </c>
      <c r="C27" s="214"/>
      <c r="D27" s="217" t="s">
        <v>195</v>
      </c>
      <c r="E27" s="192" t="str">
        <f t="shared" si="1"/>
        <v>02LNX00300</v>
      </c>
      <c r="F27" s="215" t="s">
        <v>170</v>
      </c>
      <c r="G27" s="215"/>
      <c r="H27" s="218">
        <v>0</v>
      </c>
      <c r="I27" s="219">
        <v>10693.56</v>
      </c>
      <c r="J27" s="218"/>
    </row>
    <row r="28" spans="1:10" hidden="1">
      <c r="A28" s="216">
        <v>24</v>
      </c>
      <c r="B28" s="216">
        <v>24</v>
      </c>
      <c r="C28" s="214"/>
      <c r="D28" s="217" t="s">
        <v>196</v>
      </c>
      <c r="E28" s="192" t="str">
        <f t="shared" si="1"/>
        <v>02NMT24135</v>
      </c>
      <c r="F28" s="215" t="s">
        <v>170</v>
      </c>
      <c r="G28" s="215"/>
      <c r="H28" s="218">
        <v>760934</v>
      </c>
      <c r="I28" s="219">
        <v>62011.81</v>
      </c>
      <c r="J28" s="218">
        <v>13.4166666666667</v>
      </c>
    </row>
    <row r="29" spans="1:10" hidden="1">
      <c r="A29" s="193">
        <v>24</v>
      </c>
      <c r="B29" s="193">
        <v>24</v>
      </c>
      <c r="C29" s="214"/>
      <c r="D29" s="217" t="s">
        <v>197</v>
      </c>
      <c r="E29" s="192" t="str">
        <f t="shared" si="1"/>
        <v>02GNSB0024</v>
      </c>
      <c r="F29" s="215" t="s">
        <v>170</v>
      </c>
      <c r="G29" s="215"/>
      <c r="H29" s="218">
        <v>40697449</v>
      </c>
      <c r="I29" s="219">
        <v>3772957.34</v>
      </c>
      <c r="J29" s="218">
        <v>2792.25</v>
      </c>
    </row>
    <row r="30" spans="1:10" hidden="1">
      <c r="A30" s="216" t="s">
        <v>198</v>
      </c>
      <c r="B30" s="216">
        <v>24</v>
      </c>
      <c r="C30" s="214"/>
      <c r="D30" s="217" t="s">
        <v>125</v>
      </c>
      <c r="E30" s="217"/>
      <c r="F30" s="215" t="s">
        <v>123</v>
      </c>
      <c r="G30" s="215"/>
      <c r="H30" s="218">
        <v>40696982</v>
      </c>
      <c r="I30" s="219">
        <v>-167901.85</v>
      </c>
      <c r="J30" s="218">
        <v>2792.25</v>
      </c>
    </row>
    <row r="31" spans="1:10" hidden="1">
      <c r="A31" s="216" t="s">
        <v>199</v>
      </c>
      <c r="B31" s="216" t="s">
        <v>199</v>
      </c>
      <c r="C31" s="214"/>
      <c r="D31" s="217" t="s">
        <v>200</v>
      </c>
      <c r="E31" s="192" t="str">
        <f>LEFT(D31,10)</f>
        <v>02GNSB24FP</v>
      </c>
      <c r="F31" s="215" t="s">
        <v>170</v>
      </c>
      <c r="G31" s="215"/>
      <c r="H31" s="218">
        <v>455587</v>
      </c>
      <c r="I31" s="219">
        <v>114723.55</v>
      </c>
      <c r="J31" s="218">
        <v>85.4166666666667</v>
      </c>
    </row>
    <row r="32" spans="1:10" hidden="1">
      <c r="A32" s="216" t="s">
        <v>201</v>
      </c>
      <c r="B32" s="216" t="s">
        <v>199</v>
      </c>
      <c r="C32" s="214"/>
      <c r="D32" s="217" t="s">
        <v>129</v>
      </c>
      <c r="E32" s="217"/>
      <c r="F32" s="215" t="s">
        <v>123</v>
      </c>
      <c r="G32" s="215"/>
      <c r="H32" s="218">
        <v>455555</v>
      </c>
      <c r="I32" s="219">
        <v>-1870.31</v>
      </c>
      <c r="J32" s="218">
        <v>85.4166666666667</v>
      </c>
    </row>
    <row r="33" spans="1:12" hidden="1">
      <c r="A33" s="216">
        <v>36</v>
      </c>
      <c r="B33" s="216">
        <v>36</v>
      </c>
      <c r="C33" s="214"/>
      <c r="D33" s="217" t="s">
        <v>202</v>
      </c>
      <c r="E33" s="192" t="str">
        <f>LEFT(D33,10)</f>
        <v>02LGSB0036</v>
      </c>
      <c r="F33" s="215" t="s">
        <v>170</v>
      </c>
      <c r="G33" s="215"/>
      <c r="H33" s="218">
        <v>89972420</v>
      </c>
      <c r="I33" s="219">
        <v>6477033.1200000001</v>
      </c>
      <c r="J33" s="218">
        <v>113.25</v>
      </c>
    </row>
    <row r="34" spans="1:12" hidden="1">
      <c r="A34" s="216" t="s">
        <v>203</v>
      </c>
      <c r="B34" s="216">
        <v>36</v>
      </c>
      <c r="C34" s="214"/>
      <c r="D34" s="217" t="s">
        <v>130</v>
      </c>
      <c r="E34" s="217"/>
      <c r="F34" s="215" t="s">
        <v>123</v>
      </c>
      <c r="G34" s="215"/>
      <c r="H34" s="218">
        <v>89971070</v>
      </c>
      <c r="I34" s="219">
        <v>-371516.11</v>
      </c>
      <c r="J34" s="218">
        <v>113.25</v>
      </c>
    </row>
    <row r="35" spans="1:12" hidden="1">
      <c r="A35" s="216" t="s">
        <v>192</v>
      </c>
      <c r="B35" s="216" t="s">
        <v>192</v>
      </c>
      <c r="C35" s="214"/>
      <c r="D35" s="217" t="s">
        <v>204</v>
      </c>
      <c r="E35" s="192" t="str">
        <f>LEFT(D35,10)</f>
        <v>02OALTB15N</v>
      </c>
      <c r="F35" s="215" t="s">
        <v>170</v>
      </c>
      <c r="G35" s="215"/>
      <c r="H35" s="218">
        <v>560036</v>
      </c>
      <c r="I35" s="219">
        <v>83768.600000000006</v>
      </c>
      <c r="J35" s="218">
        <v>502.16666666666703</v>
      </c>
    </row>
    <row r="36" spans="1:12" hidden="1">
      <c r="A36" s="216" t="s">
        <v>205</v>
      </c>
      <c r="B36" s="216" t="s">
        <v>192</v>
      </c>
      <c r="C36" s="214"/>
      <c r="D36" s="217" t="s">
        <v>133</v>
      </c>
      <c r="E36" s="217"/>
      <c r="F36" s="215" t="s">
        <v>123</v>
      </c>
      <c r="G36" s="215"/>
      <c r="H36" s="218">
        <v>561314</v>
      </c>
      <c r="I36" s="219">
        <v>-2304.14</v>
      </c>
      <c r="J36" s="218"/>
    </row>
    <row r="37" spans="1:12" hidden="1">
      <c r="A37" s="216" t="s">
        <v>180</v>
      </c>
      <c r="B37" s="216" t="s">
        <v>180</v>
      </c>
      <c r="C37" s="214"/>
      <c r="D37" s="217" t="s">
        <v>206</v>
      </c>
      <c r="E37" s="192" t="str">
        <f>LEFT(D37,10)</f>
        <v>02GNSB024F</v>
      </c>
      <c r="F37" s="215" t="s">
        <v>170</v>
      </c>
      <c r="G37" s="215"/>
      <c r="H37" s="218">
        <v>167069</v>
      </c>
      <c r="I37" s="219">
        <v>19924.349999999999</v>
      </c>
      <c r="J37" s="218">
        <v>6</v>
      </c>
    </row>
    <row r="38" spans="1:12" hidden="1">
      <c r="A38" s="216" t="s">
        <v>207</v>
      </c>
      <c r="B38" s="216" t="s">
        <v>180</v>
      </c>
      <c r="C38" s="214"/>
      <c r="D38" s="217" t="s">
        <v>128</v>
      </c>
      <c r="E38" s="217"/>
      <c r="F38" s="215" t="s">
        <v>123</v>
      </c>
      <c r="G38" s="215"/>
      <c r="H38" s="218">
        <v>864</v>
      </c>
      <c r="I38" s="219">
        <v>-3.6</v>
      </c>
      <c r="J38" s="218">
        <v>1</v>
      </c>
    </row>
    <row r="39" spans="1:12" hidden="1">
      <c r="A39" s="216" t="s">
        <v>185</v>
      </c>
      <c r="B39" s="216" t="s">
        <v>185</v>
      </c>
      <c r="C39" s="214"/>
      <c r="D39" s="217" t="s">
        <v>208</v>
      </c>
      <c r="E39" s="192" t="str">
        <f t="shared" ref="E39:E42" si="2">LEFT(D39,10)</f>
        <v>02LNX00311</v>
      </c>
      <c r="F39" s="215" t="s">
        <v>170</v>
      </c>
      <c r="G39" s="215"/>
      <c r="H39" s="218">
        <v>0</v>
      </c>
      <c r="I39" s="219">
        <v>57277.56</v>
      </c>
      <c r="J39" s="218"/>
    </row>
    <row r="40" spans="1:12" hidden="1">
      <c r="A40" s="216" t="s">
        <v>185</v>
      </c>
      <c r="B40" s="216" t="s">
        <v>185</v>
      </c>
      <c r="C40" s="214"/>
      <c r="D40" s="217" t="s">
        <v>209</v>
      </c>
      <c r="E40" s="192" t="str">
        <f t="shared" si="2"/>
        <v>02LNX00310</v>
      </c>
      <c r="F40" s="215" t="s">
        <v>170</v>
      </c>
      <c r="G40" s="215"/>
      <c r="H40" s="218">
        <v>0</v>
      </c>
      <c r="I40" s="219">
        <v>1112.06</v>
      </c>
      <c r="J40" s="218"/>
    </row>
    <row r="41" spans="1:12" hidden="1">
      <c r="A41" s="216" t="s">
        <v>185</v>
      </c>
      <c r="B41" s="216" t="s">
        <v>185</v>
      </c>
      <c r="C41" s="214"/>
      <c r="D41" s="217" t="s">
        <v>210</v>
      </c>
      <c r="E41" s="192" t="str">
        <f t="shared" si="2"/>
        <v>02LNX00312</v>
      </c>
      <c r="F41" s="215" t="s">
        <v>170</v>
      </c>
      <c r="G41" s="215"/>
      <c r="H41" s="218">
        <v>0</v>
      </c>
      <c r="I41" s="219">
        <v>4398.5</v>
      </c>
      <c r="J41" s="218"/>
    </row>
    <row r="42" spans="1:12" hidden="1">
      <c r="A42" s="216">
        <v>36</v>
      </c>
      <c r="B42" s="216">
        <v>36</v>
      </c>
      <c r="C42" s="214"/>
      <c r="D42" s="217" t="s">
        <v>211</v>
      </c>
      <c r="E42" s="192" t="str">
        <f t="shared" si="2"/>
        <v>02NMT36135</v>
      </c>
      <c r="F42" s="215" t="s">
        <v>170</v>
      </c>
      <c r="G42" s="215"/>
      <c r="H42" s="218">
        <v>1141600</v>
      </c>
      <c r="I42" s="219">
        <v>83300.59</v>
      </c>
      <c r="J42" s="218">
        <v>1.9166666666666701</v>
      </c>
    </row>
    <row r="43" spans="1:12" hidden="1">
      <c r="A43" s="216" t="s">
        <v>198</v>
      </c>
      <c r="B43" s="216">
        <v>24</v>
      </c>
      <c r="C43" s="214"/>
      <c r="D43" s="217" t="s">
        <v>212</v>
      </c>
      <c r="E43" s="217"/>
      <c r="F43" s="215" t="s">
        <v>123</v>
      </c>
      <c r="G43" s="215"/>
      <c r="H43" s="218">
        <v>3725</v>
      </c>
      <c r="I43" s="219">
        <v>-15.51</v>
      </c>
      <c r="J43" s="218">
        <v>3.25</v>
      </c>
    </row>
    <row r="44" spans="1:12" hidden="1">
      <c r="A44" s="216" t="s">
        <v>183</v>
      </c>
      <c r="B44" s="216" t="s">
        <v>183</v>
      </c>
      <c r="C44" s="214"/>
      <c r="D44" s="217" t="s">
        <v>269</v>
      </c>
      <c r="E44" s="192" t="str">
        <f>LEFT(D44,10)</f>
        <v>02NMT48135</v>
      </c>
      <c r="F44" s="215" t="s">
        <v>170</v>
      </c>
      <c r="G44" s="215"/>
      <c r="H44" s="218">
        <v>717600</v>
      </c>
      <c r="I44" s="219">
        <v>45862.07</v>
      </c>
      <c r="J44" s="218">
        <v>0.25</v>
      </c>
    </row>
    <row r="45" spans="1:12" hidden="1">
      <c r="A45" s="216"/>
      <c r="B45" s="216"/>
      <c r="C45" s="214"/>
      <c r="D45" s="217" t="s">
        <v>213</v>
      </c>
      <c r="E45" s="217"/>
      <c r="F45" s="215" t="s">
        <v>170</v>
      </c>
      <c r="G45" s="215"/>
      <c r="H45" s="218"/>
      <c r="I45" s="219"/>
      <c r="J45" s="218">
        <v>0</v>
      </c>
    </row>
    <row r="46" spans="1:12" hidden="1">
      <c r="A46" s="210"/>
      <c r="C46" s="214"/>
      <c r="D46" s="217" t="s">
        <v>214</v>
      </c>
      <c r="E46" s="217"/>
      <c r="F46" s="215" t="s">
        <v>123</v>
      </c>
      <c r="G46" s="220"/>
      <c r="H46" s="218"/>
      <c r="I46" s="219"/>
      <c r="J46" s="218">
        <v>0</v>
      </c>
    </row>
    <row r="47" spans="1:12" hidden="1">
      <c r="A47" s="210"/>
      <c r="C47" s="214" t="s">
        <v>126</v>
      </c>
      <c r="D47" s="216"/>
      <c r="E47" s="216"/>
      <c r="F47" s="215"/>
      <c r="G47" s="215"/>
      <c r="H47" s="221">
        <f>SUM(H7:H44)-H8-H30-H32-H34-H36-H38-H43</f>
        <v>1503695878</v>
      </c>
      <c r="I47" s="222">
        <f>SUM(I7:I45)</f>
        <v>114230629.45</v>
      </c>
      <c r="J47" s="221">
        <f>SUM(J7:J44)-J8-J30-J32-J34-J36-J38-J43-J14</f>
        <v>19222.75</v>
      </c>
      <c r="L47" s="209">
        <f>J47/12</f>
        <v>1601.8958333333333</v>
      </c>
    </row>
    <row r="48" spans="1:12" hidden="1">
      <c r="A48" s="210"/>
      <c r="C48" s="214"/>
      <c r="D48" s="216"/>
      <c r="E48" s="216"/>
      <c r="F48" s="215"/>
      <c r="G48" s="215"/>
      <c r="H48" s="221"/>
      <c r="I48" s="222"/>
      <c r="J48" s="221"/>
    </row>
    <row r="49" spans="1:10" hidden="1">
      <c r="A49" s="210"/>
      <c r="C49" s="214"/>
      <c r="D49" s="215"/>
      <c r="E49" s="215"/>
      <c r="F49" s="215"/>
      <c r="G49" s="215"/>
      <c r="H49" s="71"/>
      <c r="I49" s="71"/>
      <c r="J49" s="223"/>
    </row>
    <row r="50" spans="1:10" hidden="1">
      <c r="A50" s="210"/>
      <c r="C50" s="214" t="s">
        <v>158</v>
      </c>
      <c r="D50" s="215" t="s">
        <v>159</v>
      </c>
      <c r="E50" s="215"/>
      <c r="F50" s="215" t="s">
        <v>160</v>
      </c>
      <c r="G50" s="215"/>
      <c r="H50" s="224" t="s">
        <v>215</v>
      </c>
      <c r="I50" s="225" t="s">
        <v>161</v>
      </c>
      <c r="J50" s="224" t="s">
        <v>162</v>
      </c>
    </row>
    <row r="51" spans="1:10" hidden="1">
      <c r="A51" s="210" t="s">
        <v>163</v>
      </c>
      <c r="B51" s="226" t="s">
        <v>163</v>
      </c>
      <c r="C51" s="214" t="s">
        <v>127</v>
      </c>
      <c r="D51" s="217" t="s">
        <v>164</v>
      </c>
      <c r="E51" s="217"/>
      <c r="F51" s="215" t="s">
        <v>165</v>
      </c>
      <c r="G51" s="215"/>
      <c r="H51" s="218">
        <v>-12861000</v>
      </c>
      <c r="I51" s="219">
        <v>-1046000</v>
      </c>
      <c r="J51" s="218">
        <v>0</v>
      </c>
    </row>
    <row r="52" spans="1:10" hidden="1">
      <c r="A52" s="210" t="s">
        <v>166</v>
      </c>
      <c r="B52" s="226" t="s">
        <v>166</v>
      </c>
      <c r="C52" s="214"/>
      <c r="D52" s="217" t="s">
        <v>167</v>
      </c>
      <c r="E52" s="217"/>
      <c r="F52" s="215" t="s">
        <v>123</v>
      </c>
      <c r="G52" s="215"/>
      <c r="H52" s="218">
        <v>0</v>
      </c>
      <c r="I52" s="219">
        <v>2749.52</v>
      </c>
      <c r="J52" s="218">
        <v>0</v>
      </c>
    </row>
    <row r="53" spans="1:10" hidden="1">
      <c r="A53" s="210" t="s">
        <v>168</v>
      </c>
      <c r="B53" s="226" t="s">
        <v>168</v>
      </c>
      <c r="C53" s="214"/>
      <c r="D53" s="217" t="s">
        <v>169</v>
      </c>
      <c r="E53" s="192" t="str">
        <f t="shared" ref="E53:E64" si="3">LEFT(D53,10)</f>
        <v>SMUD REVEN</v>
      </c>
      <c r="F53" s="215" t="s">
        <v>170</v>
      </c>
      <c r="G53" s="215"/>
      <c r="H53" s="218">
        <v>0</v>
      </c>
      <c r="I53" s="219">
        <v>66245.84</v>
      </c>
      <c r="J53" s="218">
        <v>0</v>
      </c>
    </row>
    <row r="54" spans="1:10" hidden="1">
      <c r="A54" s="210" t="s">
        <v>155</v>
      </c>
      <c r="B54" s="226" t="s">
        <v>155</v>
      </c>
      <c r="C54" s="214"/>
      <c r="D54" s="217" t="s">
        <v>171</v>
      </c>
      <c r="E54" s="192" t="str">
        <f t="shared" si="3"/>
        <v>REVENUE AD</v>
      </c>
      <c r="F54" s="215" t="s">
        <v>170</v>
      </c>
      <c r="G54" s="215"/>
      <c r="H54" s="218">
        <v>0</v>
      </c>
      <c r="I54" s="219">
        <v>-160706.79999999999</v>
      </c>
      <c r="J54" s="218">
        <v>0</v>
      </c>
    </row>
    <row r="55" spans="1:10" hidden="1">
      <c r="A55" s="210" t="s">
        <v>172</v>
      </c>
      <c r="B55" s="226" t="s">
        <v>172</v>
      </c>
      <c r="C55" s="214"/>
      <c r="D55" s="217" t="s">
        <v>173</v>
      </c>
      <c r="E55" s="192" t="str">
        <f t="shared" si="3"/>
        <v>WASHINGTON</v>
      </c>
      <c r="F55" s="215" t="s">
        <v>170</v>
      </c>
      <c r="G55" s="215"/>
      <c r="H55" s="218">
        <v>0</v>
      </c>
      <c r="I55" s="219">
        <v>-510000</v>
      </c>
      <c r="J55" s="218">
        <v>0</v>
      </c>
    </row>
    <row r="56" spans="1:10" hidden="1">
      <c r="A56" s="210" t="s">
        <v>155</v>
      </c>
      <c r="B56" s="226" t="s">
        <v>155</v>
      </c>
      <c r="C56" s="214"/>
      <c r="D56" s="217" t="s">
        <v>174</v>
      </c>
      <c r="E56" s="192" t="str">
        <f t="shared" si="3"/>
        <v>REVENUE_AC</v>
      </c>
      <c r="F56" s="215" t="s">
        <v>170</v>
      </c>
      <c r="G56" s="215"/>
      <c r="H56" s="218">
        <v>0</v>
      </c>
      <c r="I56" s="219">
        <v>-1734474.04</v>
      </c>
      <c r="J56" s="218">
        <v>0</v>
      </c>
    </row>
    <row r="57" spans="1:10" hidden="1">
      <c r="A57" s="210" t="s">
        <v>175</v>
      </c>
      <c r="B57" s="226" t="s">
        <v>175</v>
      </c>
      <c r="C57" s="214"/>
      <c r="D57" s="217" t="s">
        <v>216</v>
      </c>
      <c r="E57" s="192" t="str">
        <f t="shared" si="3"/>
        <v>301370-DSM</v>
      </c>
      <c r="F57" s="215" t="s">
        <v>170</v>
      </c>
      <c r="G57" s="215"/>
      <c r="H57" s="218">
        <v>0</v>
      </c>
      <c r="I57" s="219">
        <v>1683434.48</v>
      </c>
      <c r="J57" s="218">
        <v>0</v>
      </c>
    </row>
    <row r="58" spans="1:10" hidden="1">
      <c r="A58" s="210">
        <v>24</v>
      </c>
      <c r="B58" s="226">
        <v>24</v>
      </c>
      <c r="C58" s="214"/>
      <c r="D58" s="217" t="s">
        <v>179</v>
      </c>
      <c r="E58" s="192" t="str">
        <f t="shared" si="3"/>
        <v>02GNSV0024</v>
      </c>
      <c r="F58" s="215" t="s">
        <v>170</v>
      </c>
      <c r="G58" s="215"/>
      <c r="H58" s="218">
        <v>17252552</v>
      </c>
      <c r="I58" s="219">
        <v>1482309.98</v>
      </c>
      <c r="J58" s="218">
        <v>349.91666666666703</v>
      </c>
    </row>
    <row r="59" spans="1:10" hidden="1">
      <c r="A59" s="210" t="s">
        <v>180</v>
      </c>
      <c r="B59" s="226" t="s">
        <v>180</v>
      </c>
      <c r="C59" s="214"/>
      <c r="D59" s="217" t="s">
        <v>181</v>
      </c>
      <c r="E59" s="192" t="str">
        <f t="shared" si="3"/>
        <v>02GNSV024F</v>
      </c>
      <c r="F59" s="215" t="s">
        <v>170</v>
      </c>
      <c r="G59" s="215"/>
      <c r="H59" s="218">
        <v>33313</v>
      </c>
      <c r="I59" s="219">
        <v>7853.95</v>
      </c>
      <c r="J59" s="218">
        <v>4</v>
      </c>
    </row>
    <row r="60" spans="1:10" hidden="1">
      <c r="A60" s="210">
        <v>36</v>
      </c>
      <c r="B60" s="226">
        <v>36</v>
      </c>
      <c r="C60" s="214"/>
      <c r="D60" s="217" t="s">
        <v>182</v>
      </c>
      <c r="E60" s="192" t="str">
        <f t="shared" si="3"/>
        <v>02LGSV0036</v>
      </c>
      <c r="F60" s="215" t="s">
        <v>170</v>
      </c>
      <c r="G60" s="215"/>
      <c r="H60" s="218">
        <v>102694320</v>
      </c>
      <c r="I60" s="219">
        <v>7783071.4400000004</v>
      </c>
      <c r="J60" s="218">
        <v>106.25</v>
      </c>
    </row>
    <row r="61" spans="1:10" hidden="1">
      <c r="A61" s="210" t="s">
        <v>183</v>
      </c>
      <c r="B61" s="226" t="s">
        <v>183</v>
      </c>
      <c r="C61" s="214"/>
      <c r="D61" s="217" t="s">
        <v>184</v>
      </c>
      <c r="E61" s="192" t="str">
        <f t="shared" si="3"/>
        <v>02LGSV048T</v>
      </c>
      <c r="F61" s="215" t="s">
        <v>170</v>
      </c>
      <c r="G61" s="215"/>
      <c r="H61" s="218">
        <v>677585754</v>
      </c>
      <c r="I61" s="219">
        <v>39610319.329999998</v>
      </c>
      <c r="J61" s="218">
        <v>32.0833333333333</v>
      </c>
    </row>
    <row r="62" spans="1:10" hidden="1">
      <c r="A62" s="210" t="s">
        <v>192</v>
      </c>
      <c r="B62" s="226" t="s">
        <v>192</v>
      </c>
      <c r="C62" s="214"/>
      <c r="D62" s="217" t="s">
        <v>193</v>
      </c>
      <c r="E62" s="192" t="str">
        <f t="shared" si="3"/>
        <v>02OALT015N</v>
      </c>
      <c r="F62" s="215" t="s">
        <v>170</v>
      </c>
      <c r="G62" s="215"/>
      <c r="H62" s="218">
        <v>114035</v>
      </c>
      <c r="I62" s="219">
        <v>14760.99</v>
      </c>
      <c r="J62" s="218">
        <v>41.1666666666667</v>
      </c>
    </row>
    <row r="63" spans="1:10" hidden="1">
      <c r="A63" s="210">
        <v>47</v>
      </c>
      <c r="B63" s="226">
        <v>47</v>
      </c>
      <c r="C63" s="214"/>
      <c r="D63" s="217" t="s">
        <v>217</v>
      </c>
      <c r="E63" s="192" t="str">
        <f t="shared" si="3"/>
        <v>02PRSV47TM</v>
      </c>
      <c r="F63" s="215" t="s">
        <v>170</v>
      </c>
      <c r="G63" s="215"/>
      <c r="H63" s="218">
        <v>2049000</v>
      </c>
      <c r="I63" s="219">
        <v>292762.90999999997</v>
      </c>
      <c r="J63" s="218">
        <v>1</v>
      </c>
    </row>
    <row r="64" spans="1:10" hidden="1">
      <c r="A64" s="210">
        <v>24</v>
      </c>
      <c r="B64" s="226">
        <v>24</v>
      </c>
      <c r="C64" s="214"/>
      <c r="D64" s="217" t="s">
        <v>197</v>
      </c>
      <c r="E64" s="192" t="str">
        <f t="shared" si="3"/>
        <v>02GNSB0024</v>
      </c>
      <c r="F64" s="215" t="s">
        <v>170</v>
      </c>
      <c r="G64" s="215"/>
      <c r="H64" s="218">
        <v>2044427</v>
      </c>
      <c r="I64" s="219">
        <v>192405.58</v>
      </c>
      <c r="J64" s="218">
        <v>89.9166666666667</v>
      </c>
    </row>
    <row r="65" spans="1:10" hidden="1">
      <c r="A65" s="210" t="s">
        <v>198</v>
      </c>
      <c r="B65" s="226">
        <v>24</v>
      </c>
      <c r="C65" s="214"/>
      <c r="D65" s="217" t="s">
        <v>125</v>
      </c>
      <c r="E65" s="217"/>
      <c r="F65" s="215" t="s">
        <v>123</v>
      </c>
      <c r="G65" s="215"/>
      <c r="H65" s="218">
        <v>2044414</v>
      </c>
      <c r="I65" s="219">
        <v>-8427.4699999999993</v>
      </c>
      <c r="J65" s="218">
        <v>89.9166666666667</v>
      </c>
    </row>
    <row r="66" spans="1:10" hidden="1">
      <c r="A66" s="210" t="s">
        <v>199</v>
      </c>
      <c r="B66" s="226" t="s">
        <v>199</v>
      </c>
      <c r="C66" s="214"/>
      <c r="D66" s="217" t="s">
        <v>200</v>
      </c>
      <c r="E66" s="192" t="str">
        <f>LEFT(D66,10)</f>
        <v>02GNSB24FP</v>
      </c>
      <c r="F66" s="215" t="s">
        <v>170</v>
      </c>
      <c r="G66" s="215"/>
      <c r="H66" s="218">
        <v>9552</v>
      </c>
      <c r="I66" s="219">
        <v>2841.78</v>
      </c>
      <c r="J66" s="218">
        <v>1</v>
      </c>
    </row>
    <row r="67" spans="1:10" hidden="1">
      <c r="A67" s="210" t="s">
        <v>201</v>
      </c>
      <c r="B67" s="226" t="s">
        <v>199</v>
      </c>
      <c r="C67" s="214"/>
      <c r="D67" s="217" t="s">
        <v>129</v>
      </c>
      <c r="E67" s="217"/>
      <c r="F67" s="215" t="s">
        <v>123</v>
      </c>
      <c r="G67" s="215"/>
      <c r="H67" s="218">
        <v>9552</v>
      </c>
      <c r="I67" s="219">
        <v>-39.22</v>
      </c>
      <c r="J67" s="218">
        <v>1</v>
      </c>
    </row>
    <row r="68" spans="1:10" hidden="1">
      <c r="A68" s="210">
        <v>36</v>
      </c>
      <c r="B68" s="226">
        <v>36</v>
      </c>
      <c r="C68" s="214"/>
      <c r="D68" s="217" t="s">
        <v>202</v>
      </c>
      <c r="E68" s="192" t="str">
        <f>LEFT(D68,10)</f>
        <v>02LGSB0036</v>
      </c>
      <c r="F68" s="215" t="s">
        <v>170</v>
      </c>
      <c r="G68" s="215"/>
      <c r="H68" s="218">
        <v>3531840</v>
      </c>
      <c r="I68" s="219">
        <v>419914.45</v>
      </c>
      <c r="J68" s="218">
        <v>25.5</v>
      </c>
    </row>
    <row r="69" spans="1:10" hidden="1">
      <c r="A69" s="210" t="s">
        <v>203</v>
      </c>
      <c r="B69" s="226">
        <v>36</v>
      </c>
      <c r="C69" s="214"/>
      <c r="D69" s="217" t="s">
        <v>130</v>
      </c>
      <c r="E69" s="217"/>
      <c r="F69" s="215" t="s">
        <v>123</v>
      </c>
      <c r="G69" s="215"/>
      <c r="H69" s="218">
        <v>3531840</v>
      </c>
      <c r="I69" s="219">
        <v>-14545.82</v>
      </c>
      <c r="J69" s="218">
        <v>25.5</v>
      </c>
    </row>
    <row r="70" spans="1:10" hidden="1">
      <c r="A70" s="210" t="s">
        <v>192</v>
      </c>
      <c r="B70" s="226" t="s">
        <v>192</v>
      </c>
      <c r="C70" s="214"/>
      <c r="D70" s="217" t="s">
        <v>204</v>
      </c>
      <c r="E70" s="192" t="str">
        <f>LEFT(D70,10)</f>
        <v>02OALTB15N</v>
      </c>
      <c r="F70" s="215" t="s">
        <v>170</v>
      </c>
      <c r="G70" s="215"/>
      <c r="H70" s="218">
        <v>28565</v>
      </c>
      <c r="I70" s="219">
        <v>4230.87</v>
      </c>
      <c r="J70" s="218">
        <v>15</v>
      </c>
    </row>
    <row r="71" spans="1:10" hidden="1">
      <c r="A71" s="210" t="s">
        <v>205</v>
      </c>
      <c r="B71" s="226" t="s">
        <v>192</v>
      </c>
      <c r="C71" s="214"/>
      <c r="D71" s="217" t="s">
        <v>133</v>
      </c>
      <c r="E71" s="217"/>
      <c r="F71" s="215" t="s">
        <v>123</v>
      </c>
      <c r="G71" s="215"/>
      <c r="H71" s="218">
        <v>28565</v>
      </c>
      <c r="I71" s="219">
        <v>-117.67</v>
      </c>
      <c r="J71" s="218"/>
    </row>
    <row r="72" spans="1:10" hidden="1">
      <c r="A72" s="210"/>
      <c r="B72" s="226"/>
      <c r="C72" s="214"/>
      <c r="D72" s="217" t="s">
        <v>213</v>
      </c>
      <c r="E72" s="192" t="str">
        <f>LEFT(D72,10)</f>
        <v>CUSTOMER C</v>
      </c>
      <c r="F72" s="215" t="s">
        <v>170</v>
      </c>
      <c r="G72" s="215"/>
      <c r="H72" s="218"/>
      <c r="I72" s="219"/>
      <c r="J72" s="218">
        <v>0</v>
      </c>
    </row>
    <row r="73" spans="1:10" hidden="1">
      <c r="A73" s="210"/>
      <c r="B73" s="226"/>
      <c r="C73" s="214"/>
      <c r="D73" s="217" t="s">
        <v>214</v>
      </c>
      <c r="E73" s="227"/>
      <c r="F73" s="215" t="s">
        <v>123</v>
      </c>
      <c r="G73" s="215"/>
      <c r="H73" s="218"/>
      <c r="I73" s="219"/>
      <c r="J73" s="218">
        <v>0</v>
      </c>
    </row>
    <row r="74" spans="1:10" hidden="1">
      <c r="A74" s="210"/>
      <c r="C74" s="214" t="s">
        <v>127</v>
      </c>
      <c r="F74" s="228" t="s">
        <v>218</v>
      </c>
      <c r="G74" s="228"/>
      <c r="H74" s="229">
        <f>SUM(H51:H71)-H52-H65-H67-H69-H71</f>
        <v>792482358</v>
      </c>
      <c r="I74" s="230">
        <f>SUM(I51:I71)</f>
        <v>48088590.099999994</v>
      </c>
      <c r="J74" s="229">
        <f>SUM(J51:J71)-J52-J65-J67-J69-J71</f>
        <v>665.83333333333383</v>
      </c>
    </row>
    <row r="75" spans="1:10" hidden="1">
      <c r="A75" s="210"/>
      <c r="C75" s="214"/>
      <c r="D75" s="215"/>
      <c r="E75" s="215"/>
      <c r="F75" s="228"/>
      <c r="G75" s="228"/>
      <c r="H75" s="229"/>
      <c r="I75" s="230"/>
      <c r="J75" s="229"/>
    </row>
    <row r="76" spans="1:10" hidden="1">
      <c r="A76" s="210"/>
      <c r="C76" s="214" t="s">
        <v>158</v>
      </c>
      <c r="D76" s="215" t="s">
        <v>159</v>
      </c>
      <c r="E76" s="215"/>
      <c r="F76" s="215" t="s">
        <v>160</v>
      </c>
      <c r="G76" s="215"/>
      <c r="H76" s="224" t="s">
        <v>215</v>
      </c>
      <c r="I76" s="225" t="s">
        <v>161</v>
      </c>
      <c r="J76" s="215" t="s">
        <v>162</v>
      </c>
    </row>
    <row r="77" spans="1:10" hidden="1">
      <c r="A77" s="210" t="s">
        <v>163</v>
      </c>
      <c r="B77" s="210" t="s">
        <v>163</v>
      </c>
      <c r="C77" s="214" t="s">
        <v>122</v>
      </c>
      <c r="D77" s="217" t="s">
        <v>219</v>
      </c>
      <c r="E77" s="217"/>
      <c r="F77" s="215" t="s">
        <v>165</v>
      </c>
      <c r="G77" s="215"/>
      <c r="H77" s="218">
        <v>-212000</v>
      </c>
      <c r="I77" s="219">
        <v>-33000</v>
      </c>
      <c r="J77" s="218">
        <v>0</v>
      </c>
    </row>
    <row r="78" spans="1:10" hidden="1">
      <c r="A78" s="210" t="s">
        <v>166</v>
      </c>
      <c r="B78" s="210" t="s">
        <v>166</v>
      </c>
      <c r="C78" s="214"/>
      <c r="D78" s="217" t="s">
        <v>220</v>
      </c>
      <c r="E78" s="217"/>
      <c r="F78" s="215" t="s">
        <v>123</v>
      </c>
      <c r="G78" s="215"/>
      <c r="H78" s="218">
        <v>0</v>
      </c>
      <c r="I78" s="219">
        <v>81144.960000000006</v>
      </c>
      <c r="J78" s="218">
        <v>0</v>
      </c>
    </row>
    <row r="79" spans="1:10" hidden="1">
      <c r="A79" s="210" t="s">
        <v>172</v>
      </c>
      <c r="B79" s="210" t="s">
        <v>172</v>
      </c>
      <c r="C79" s="214"/>
      <c r="D79" s="217" t="s">
        <v>173</v>
      </c>
      <c r="E79" s="192" t="str">
        <f t="shared" ref="E79:E84" si="4">LEFT(D79,10)</f>
        <v>WASHINGTON</v>
      </c>
      <c r="F79" s="215" t="s">
        <v>170</v>
      </c>
      <c r="G79" s="215"/>
      <c r="H79" s="218">
        <v>0</v>
      </c>
      <c r="I79" s="219">
        <v>-120000</v>
      </c>
      <c r="J79" s="218">
        <v>0</v>
      </c>
    </row>
    <row r="80" spans="1:10" hidden="1">
      <c r="A80" s="210" t="s">
        <v>221</v>
      </c>
      <c r="B80" s="210" t="s">
        <v>221</v>
      </c>
      <c r="C80" s="214"/>
      <c r="D80" s="217" t="s">
        <v>222</v>
      </c>
      <c r="E80" s="192" t="str">
        <f t="shared" si="4"/>
        <v>301461-IRR</v>
      </c>
      <c r="F80" s="215" t="s">
        <v>170</v>
      </c>
      <c r="G80" s="215"/>
      <c r="H80" s="218">
        <v>0</v>
      </c>
      <c r="I80" s="219">
        <v>0</v>
      </c>
      <c r="J80" s="218">
        <v>0</v>
      </c>
    </row>
    <row r="81" spans="1:10" hidden="1">
      <c r="A81" s="210" t="s">
        <v>155</v>
      </c>
      <c r="B81" s="210" t="s">
        <v>155</v>
      </c>
      <c r="C81" s="214"/>
      <c r="D81" s="217" t="s">
        <v>174</v>
      </c>
      <c r="E81" s="192" t="str">
        <f t="shared" si="4"/>
        <v>REVENUE_AC</v>
      </c>
      <c r="F81" s="215" t="s">
        <v>170</v>
      </c>
      <c r="G81" s="215"/>
      <c r="H81" s="218">
        <v>0</v>
      </c>
      <c r="I81" s="219">
        <v>-457544.29</v>
      </c>
      <c r="J81" s="218">
        <v>0</v>
      </c>
    </row>
    <row r="82" spans="1:10" hidden="1">
      <c r="A82" s="210" t="s">
        <v>175</v>
      </c>
      <c r="B82" s="210" t="s">
        <v>175</v>
      </c>
      <c r="C82" s="214"/>
      <c r="D82" s="217" t="s">
        <v>223</v>
      </c>
      <c r="E82" s="192" t="str">
        <f t="shared" si="4"/>
        <v>301470-DSM</v>
      </c>
      <c r="F82" s="215" t="s">
        <v>170</v>
      </c>
      <c r="G82" s="215"/>
      <c r="H82" s="218">
        <v>0</v>
      </c>
      <c r="I82" s="219">
        <v>450938.03</v>
      </c>
      <c r="J82" s="218">
        <v>0</v>
      </c>
    </row>
    <row r="83" spans="1:10" hidden="1">
      <c r="A83" s="210" t="s">
        <v>177</v>
      </c>
      <c r="B83" s="210" t="s">
        <v>177</v>
      </c>
      <c r="C83" s="214"/>
      <c r="D83" s="217" t="s">
        <v>224</v>
      </c>
      <c r="E83" s="192" t="str">
        <f t="shared" si="4"/>
        <v>301480-BLU</v>
      </c>
      <c r="F83" s="215" t="s">
        <v>170</v>
      </c>
      <c r="G83" s="215"/>
      <c r="H83" s="218">
        <v>0</v>
      </c>
      <c r="I83" s="219">
        <v>85.09</v>
      </c>
      <c r="J83" s="218">
        <v>3.5833333333333299</v>
      </c>
    </row>
    <row r="84" spans="1:10">
      <c r="A84" s="210">
        <v>40</v>
      </c>
      <c r="B84" s="210">
        <v>40</v>
      </c>
      <c r="C84" s="214"/>
      <c r="D84" s="217" t="s">
        <v>121</v>
      </c>
      <c r="E84" s="192" t="str">
        <f t="shared" si="4"/>
        <v>02APSV0040</v>
      </c>
      <c r="F84" s="215" t="s">
        <v>170</v>
      </c>
      <c r="G84" s="215"/>
      <c r="H84" s="218">
        <v>155908290</v>
      </c>
      <c r="I84" s="219">
        <v>12822362.73</v>
      </c>
      <c r="J84" s="218">
        <v>5071.1666666666697</v>
      </c>
    </row>
    <row r="85" spans="1:10">
      <c r="A85" s="210" t="s">
        <v>225</v>
      </c>
      <c r="B85" s="210">
        <v>40</v>
      </c>
      <c r="C85" s="214"/>
      <c r="D85" s="217" t="s">
        <v>121</v>
      </c>
      <c r="E85" s="217"/>
      <c r="F85" s="215" t="s">
        <v>123</v>
      </c>
      <c r="G85" s="215"/>
      <c r="H85" s="218">
        <v>155907282</v>
      </c>
      <c r="I85" s="219">
        <v>-640538.27</v>
      </c>
      <c r="J85" s="218">
        <v>5071.1666666666697</v>
      </c>
    </row>
    <row r="86" spans="1:10">
      <c r="A86" s="210" t="s">
        <v>226</v>
      </c>
      <c r="B86" s="210" t="s">
        <v>226</v>
      </c>
      <c r="C86" s="214"/>
      <c r="D86" s="217" t="s">
        <v>227</v>
      </c>
      <c r="E86" s="192" t="str">
        <f t="shared" ref="E86:E90" si="5">LEFT(D86,10)</f>
        <v>02APSV040X</v>
      </c>
      <c r="F86" s="215" t="s">
        <v>170</v>
      </c>
      <c r="G86" s="215"/>
      <c r="H86" s="218">
        <v>5473573</v>
      </c>
      <c r="I86" s="219">
        <v>453169.46</v>
      </c>
      <c r="J86" s="218">
        <v>186.833333333333</v>
      </c>
    </row>
    <row r="87" spans="1:10" hidden="1">
      <c r="A87" s="210" t="s">
        <v>185</v>
      </c>
      <c r="B87" s="210" t="s">
        <v>185</v>
      </c>
      <c r="C87" s="214"/>
      <c r="D87" s="217" t="s">
        <v>187</v>
      </c>
      <c r="E87" s="192" t="str">
        <f t="shared" si="5"/>
        <v>02LNX00103</v>
      </c>
      <c r="F87" s="215" t="s">
        <v>170</v>
      </c>
      <c r="G87" s="215"/>
      <c r="H87" s="218">
        <v>0</v>
      </c>
      <c r="I87" s="219">
        <v>6771.42</v>
      </c>
      <c r="J87" s="218"/>
    </row>
    <row r="88" spans="1:10" hidden="1">
      <c r="A88" s="210" t="s">
        <v>185</v>
      </c>
      <c r="B88" s="210" t="s">
        <v>185</v>
      </c>
      <c r="C88" s="214"/>
      <c r="D88" s="217" t="s">
        <v>188</v>
      </c>
      <c r="E88" s="192" t="str">
        <f t="shared" si="5"/>
        <v>02LNX00105</v>
      </c>
      <c r="F88" s="215" t="s">
        <v>170</v>
      </c>
      <c r="G88" s="215"/>
      <c r="H88" s="218">
        <v>0</v>
      </c>
      <c r="I88" s="219">
        <v>80.66</v>
      </c>
      <c r="J88" s="218"/>
    </row>
    <row r="89" spans="1:10" hidden="1">
      <c r="A89" s="210" t="s">
        <v>185</v>
      </c>
      <c r="B89" s="210" t="s">
        <v>185</v>
      </c>
      <c r="C89" s="214"/>
      <c r="D89" s="217" t="s">
        <v>189</v>
      </c>
      <c r="E89" s="192" t="str">
        <f t="shared" si="5"/>
        <v>02LNX00109</v>
      </c>
      <c r="F89" s="215" t="s">
        <v>170</v>
      </c>
      <c r="G89" s="215"/>
      <c r="H89" s="218">
        <v>0</v>
      </c>
      <c r="I89" s="219">
        <v>5226.3999999999996</v>
      </c>
      <c r="J89" s="218"/>
    </row>
    <row r="90" spans="1:10" hidden="1">
      <c r="A90" s="210" t="s">
        <v>185</v>
      </c>
      <c r="B90" s="210" t="s">
        <v>185</v>
      </c>
      <c r="C90" s="214"/>
      <c r="D90" s="217" t="s">
        <v>190</v>
      </c>
      <c r="E90" s="192" t="str">
        <f t="shared" si="5"/>
        <v>02LNX00110</v>
      </c>
      <c r="F90" s="215" t="s">
        <v>170</v>
      </c>
      <c r="G90" s="215"/>
      <c r="H90" s="218">
        <v>0</v>
      </c>
      <c r="I90" s="219">
        <v>177556.92</v>
      </c>
      <c r="J90" s="218"/>
    </row>
    <row r="91" spans="1:10" hidden="1">
      <c r="A91" s="210" t="s">
        <v>228</v>
      </c>
      <c r="B91" s="210" t="s">
        <v>229</v>
      </c>
      <c r="C91" s="214"/>
      <c r="D91" s="217" t="s">
        <v>124</v>
      </c>
      <c r="E91" s="217"/>
      <c r="F91" s="215" t="s">
        <v>123</v>
      </c>
      <c r="G91" s="215"/>
      <c r="H91" s="218">
        <v>-7572279</v>
      </c>
      <c r="I91" s="219">
        <v>31076.54</v>
      </c>
      <c r="J91" s="218"/>
    </row>
    <row r="92" spans="1:10" hidden="1">
      <c r="A92" s="210" t="s">
        <v>185</v>
      </c>
      <c r="B92" s="210" t="s">
        <v>185</v>
      </c>
      <c r="C92" s="214"/>
      <c r="D92" s="217" t="s">
        <v>208</v>
      </c>
      <c r="E92" s="192" t="str">
        <f t="shared" ref="E92:E95" si="6">LEFT(D92,10)</f>
        <v>02LNX00311</v>
      </c>
      <c r="F92" s="215" t="s">
        <v>170</v>
      </c>
      <c r="G92" s="215"/>
      <c r="H92" s="218">
        <v>0</v>
      </c>
      <c r="I92" s="219">
        <v>204.65</v>
      </c>
      <c r="J92" s="218"/>
    </row>
    <row r="93" spans="1:10" hidden="1">
      <c r="A93" s="210" t="s">
        <v>185</v>
      </c>
      <c r="B93" s="210" t="s">
        <v>185</v>
      </c>
      <c r="C93" s="214"/>
      <c r="D93" s="217" t="s">
        <v>209</v>
      </c>
      <c r="E93" s="192" t="str">
        <f t="shared" si="6"/>
        <v>02LNX00310</v>
      </c>
      <c r="F93" s="215" t="s">
        <v>170</v>
      </c>
      <c r="G93" s="215"/>
      <c r="H93" s="218">
        <v>0</v>
      </c>
      <c r="I93" s="219">
        <v>7271.4</v>
      </c>
      <c r="J93" s="218"/>
    </row>
    <row r="94" spans="1:10" hidden="1">
      <c r="A94" s="210" t="s">
        <v>185</v>
      </c>
      <c r="B94" s="210" t="s">
        <v>185</v>
      </c>
      <c r="C94" s="214"/>
      <c r="D94" s="217" t="s">
        <v>210</v>
      </c>
      <c r="E94" s="192" t="str">
        <f t="shared" si="6"/>
        <v>02LNX00312</v>
      </c>
      <c r="F94" s="215" t="s">
        <v>170</v>
      </c>
      <c r="G94" s="215"/>
      <c r="H94" s="218">
        <v>0</v>
      </c>
      <c r="I94" s="219">
        <v>38091.72</v>
      </c>
      <c r="J94" s="218"/>
    </row>
    <row r="95" spans="1:10">
      <c r="A95" s="210">
        <v>40</v>
      </c>
      <c r="B95" s="210">
        <v>40</v>
      </c>
      <c r="D95" s="217" t="s">
        <v>270</v>
      </c>
      <c r="E95" s="192" t="str">
        <f t="shared" si="6"/>
        <v>02NMT40135</v>
      </c>
      <c r="F95" s="215" t="s">
        <v>170</v>
      </c>
      <c r="G95" s="215"/>
      <c r="H95" s="231">
        <v>13056</v>
      </c>
      <c r="I95" s="232">
        <v>1043.21</v>
      </c>
      <c r="J95" s="231">
        <v>1.5833333333333299</v>
      </c>
    </row>
    <row r="96" spans="1:10">
      <c r="A96" s="210" t="s">
        <v>225</v>
      </c>
      <c r="B96" s="210">
        <v>40</v>
      </c>
      <c r="D96" s="215" t="s">
        <v>271</v>
      </c>
      <c r="E96" s="227"/>
      <c r="F96" s="215" t="s">
        <v>123</v>
      </c>
      <c r="G96" s="215"/>
      <c r="H96" s="233">
        <v>2904</v>
      </c>
      <c r="I96" s="234">
        <v>-11.96</v>
      </c>
      <c r="J96" s="233">
        <v>1</v>
      </c>
    </row>
    <row r="97" spans="1:10" hidden="1">
      <c r="A97" s="210"/>
      <c r="D97" s="215" t="s">
        <v>0</v>
      </c>
      <c r="E97" s="227"/>
      <c r="F97" s="215" t="s">
        <v>0</v>
      </c>
      <c r="G97" s="215"/>
      <c r="H97" s="229"/>
      <c r="I97" s="230"/>
      <c r="J97" s="229"/>
    </row>
    <row r="98" spans="1:10" hidden="1">
      <c r="A98" s="210"/>
      <c r="C98" s="214" t="s">
        <v>122</v>
      </c>
      <c r="D98" s="215" t="s">
        <v>0</v>
      </c>
      <c r="E98" s="227"/>
      <c r="F98" s="228" t="s">
        <v>0</v>
      </c>
      <c r="G98" s="228"/>
      <c r="H98" s="229">
        <f>SUM(H77:H96)-H78-H85-H91-H96</f>
        <v>161182919</v>
      </c>
      <c r="I98" s="230">
        <f>SUM(I77:I96)</f>
        <v>12823928.670000004</v>
      </c>
      <c r="J98" s="229">
        <f>SUM(J77:J96)-J78-J85-J91-J96-J83</f>
        <v>5259.5833333333348</v>
      </c>
    </row>
    <row r="99" spans="1:10" hidden="1">
      <c r="A99" s="210"/>
      <c r="D99" s="227"/>
      <c r="E99" s="227"/>
      <c r="F99" s="228"/>
      <c r="G99" s="228"/>
      <c r="H99" s="229"/>
      <c r="I99" s="230"/>
      <c r="J99" s="229"/>
    </row>
    <row r="100" spans="1:10" hidden="1">
      <c r="A100" s="210"/>
      <c r="C100" s="214" t="s">
        <v>158</v>
      </c>
      <c r="D100" s="215" t="s">
        <v>159</v>
      </c>
      <c r="E100" s="215"/>
      <c r="F100" s="215" t="s">
        <v>160</v>
      </c>
      <c r="G100" s="215"/>
      <c r="H100" s="224" t="s">
        <v>215</v>
      </c>
      <c r="I100" s="235" t="s">
        <v>161</v>
      </c>
      <c r="J100" s="236" t="s">
        <v>162</v>
      </c>
    </row>
    <row r="101" spans="1:10" hidden="1">
      <c r="A101" s="210" t="s">
        <v>163</v>
      </c>
      <c r="B101" s="210" t="s">
        <v>163</v>
      </c>
      <c r="C101" s="214" t="s">
        <v>230</v>
      </c>
      <c r="D101" s="217" t="s">
        <v>164</v>
      </c>
      <c r="E101" s="217"/>
      <c r="F101" s="215" t="s">
        <v>165</v>
      </c>
      <c r="G101" s="215"/>
      <c r="H101" s="218">
        <v>-1008000</v>
      </c>
      <c r="I101" s="219">
        <v>-126000</v>
      </c>
      <c r="J101" s="237">
        <v>0</v>
      </c>
    </row>
    <row r="102" spans="1:10" hidden="1">
      <c r="A102" s="210" t="s">
        <v>172</v>
      </c>
      <c r="B102" s="210" t="s">
        <v>172</v>
      </c>
      <c r="C102" s="214"/>
      <c r="D102" s="217" t="s">
        <v>173</v>
      </c>
      <c r="E102" s="192" t="str">
        <f t="shared" ref="E102:E111" si="7">LEFT(D102,10)</f>
        <v>WASHINGTON</v>
      </c>
      <c r="F102" s="215" t="s">
        <v>170</v>
      </c>
      <c r="G102" s="215"/>
      <c r="H102" s="218">
        <v>0</v>
      </c>
      <c r="I102" s="219">
        <v>-30000</v>
      </c>
      <c r="J102" s="237">
        <v>0</v>
      </c>
    </row>
    <row r="103" spans="1:10" hidden="1">
      <c r="A103" s="210" t="s">
        <v>155</v>
      </c>
      <c r="B103" s="210" t="s">
        <v>155</v>
      </c>
      <c r="C103" s="214"/>
      <c r="D103" s="217" t="s">
        <v>174</v>
      </c>
      <c r="E103" s="192" t="str">
        <f t="shared" si="7"/>
        <v>REVENUE_AC</v>
      </c>
      <c r="F103" s="215" t="s">
        <v>170</v>
      </c>
      <c r="G103" s="215"/>
      <c r="H103" s="218">
        <v>0</v>
      </c>
      <c r="I103" s="219">
        <v>-27450.3</v>
      </c>
      <c r="J103" s="237">
        <v>0</v>
      </c>
    </row>
    <row r="104" spans="1:10" hidden="1">
      <c r="A104" s="210" t="s">
        <v>175</v>
      </c>
      <c r="B104" s="210" t="s">
        <v>175</v>
      </c>
      <c r="C104" s="214"/>
      <c r="D104" s="217" t="s">
        <v>231</v>
      </c>
      <c r="E104" s="192" t="str">
        <f t="shared" si="7"/>
        <v>301670-DSM</v>
      </c>
      <c r="F104" s="215" t="s">
        <v>170</v>
      </c>
      <c r="G104" s="215"/>
      <c r="H104" s="218">
        <v>0</v>
      </c>
      <c r="I104" s="219">
        <v>26850.98</v>
      </c>
      <c r="J104" s="237">
        <v>0</v>
      </c>
    </row>
    <row r="105" spans="1:10" hidden="1">
      <c r="A105" s="210" t="s">
        <v>185</v>
      </c>
      <c r="B105" s="210" t="s">
        <v>185</v>
      </c>
      <c r="C105" s="214"/>
      <c r="D105" s="217" t="s">
        <v>232</v>
      </c>
      <c r="E105" s="192" t="str">
        <f t="shared" si="7"/>
        <v>02CFR00012</v>
      </c>
      <c r="F105" s="215" t="s">
        <v>170</v>
      </c>
      <c r="G105" s="215"/>
      <c r="H105" s="218">
        <v>0</v>
      </c>
      <c r="I105" s="219">
        <v>90.84</v>
      </c>
      <c r="J105" s="237"/>
    </row>
    <row r="106" spans="1:10" hidden="1">
      <c r="A106" s="210">
        <v>52</v>
      </c>
      <c r="B106" s="210">
        <v>52</v>
      </c>
      <c r="C106" s="214"/>
      <c r="D106" s="217" t="s">
        <v>233</v>
      </c>
      <c r="E106" s="194" t="str">
        <f t="shared" si="7"/>
        <v>02COSL0052</v>
      </c>
      <c r="F106" s="215" t="s">
        <v>170</v>
      </c>
      <c r="G106" s="215"/>
      <c r="H106" s="218">
        <v>219864</v>
      </c>
      <c r="I106" s="219">
        <v>37772.9</v>
      </c>
      <c r="J106" s="237">
        <v>15</v>
      </c>
    </row>
    <row r="107" spans="1:10" hidden="1">
      <c r="A107" s="210" t="s">
        <v>272</v>
      </c>
      <c r="B107" s="210" t="s">
        <v>272</v>
      </c>
      <c r="C107" s="214"/>
      <c r="D107" s="217" t="s">
        <v>234</v>
      </c>
      <c r="E107" s="192" t="str">
        <f t="shared" si="7"/>
        <v>02CUSL053F</v>
      </c>
      <c r="F107" s="215" t="s">
        <v>170</v>
      </c>
      <c r="G107" s="215"/>
      <c r="H107" s="218">
        <v>3235066</v>
      </c>
      <c r="I107" s="219">
        <v>232145.18</v>
      </c>
      <c r="J107" s="237">
        <v>112.25</v>
      </c>
    </row>
    <row r="108" spans="1:10" hidden="1">
      <c r="A108" s="210" t="s">
        <v>235</v>
      </c>
      <c r="B108" s="210" t="s">
        <v>235</v>
      </c>
      <c r="C108" s="214"/>
      <c r="D108" s="217" t="s">
        <v>236</v>
      </c>
      <c r="E108" s="192" t="str">
        <f t="shared" si="7"/>
        <v>02CUSL053M</v>
      </c>
      <c r="F108" s="215" t="s">
        <v>170</v>
      </c>
      <c r="G108" s="215"/>
      <c r="H108" s="218">
        <v>1152902</v>
      </c>
      <c r="I108" s="219">
        <v>81926.52</v>
      </c>
      <c r="J108" s="237">
        <v>105</v>
      </c>
    </row>
    <row r="109" spans="1:10" hidden="1">
      <c r="A109" s="210">
        <v>51</v>
      </c>
      <c r="B109" s="210">
        <v>51</v>
      </c>
      <c r="C109" s="214"/>
      <c r="D109" s="217" t="s">
        <v>237</v>
      </c>
      <c r="E109" s="192" t="str">
        <f t="shared" si="7"/>
        <v>02HPSV0051</v>
      </c>
      <c r="F109" s="215" t="s">
        <v>170</v>
      </c>
      <c r="G109" s="215"/>
      <c r="H109" s="218">
        <v>3526557</v>
      </c>
      <c r="I109" s="219">
        <v>697459.73</v>
      </c>
      <c r="J109" s="237">
        <v>160.333333333333</v>
      </c>
    </row>
    <row r="110" spans="1:10" hidden="1">
      <c r="A110" s="210">
        <v>57</v>
      </c>
      <c r="B110" s="210">
        <v>57</v>
      </c>
      <c r="C110" s="214"/>
      <c r="D110" s="217" t="s">
        <v>238</v>
      </c>
      <c r="E110" s="194" t="str">
        <f t="shared" si="7"/>
        <v>02MVSL0057</v>
      </c>
      <c r="F110" s="215" t="s">
        <v>170</v>
      </c>
      <c r="G110" s="215"/>
      <c r="H110" s="218">
        <v>1939253</v>
      </c>
      <c r="I110" s="219">
        <v>241433.75</v>
      </c>
      <c r="J110" s="237">
        <v>41.8333333333333</v>
      </c>
    </row>
    <row r="111" spans="1:10" hidden="1">
      <c r="A111" s="210"/>
      <c r="D111" s="215" t="s">
        <v>213</v>
      </c>
      <c r="E111" s="192" t="str">
        <f t="shared" si="7"/>
        <v>CUSTOMER C</v>
      </c>
      <c r="F111" s="215" t="s">
        <v>170</v>
      </c>
      <c r="G111" s="215"/>
      <c r="H111" s="218"/>
      <c r="I111" s="219"/>
      <c r="J111" s="237">
        <v>0</v>
      </c>
    </row>
    <row r="112" spans="1:10" hidden="1">
      <c r="C112" s="214"/>
      <c r="D112" s="215"/>
      <c r="E112" s="215"/>
      <c r="F112" s="215"/>
      <c r="G112" s="215"/>
      <c r="H112" s="218"/>
      <c r="I112" s="238"/>
      <c r="J112" s="237"/>
    </row>
    <row r="113" spans="1:10" hidden="1">
      <c r="C113" s="214" t="s">
        <v>230</v>
      </c>
      <c r="D113" s="215"/>
      <c r="E113" s="215"/>
      <c r="F113" s="228" t="s">
        <v>218</v>
      </c>
      <c r="G113" s="228"/>
      <c r="H113" s="229">
        <f>SUM(H101:H110)</f>
        <v>9065642</v>
      </c>
      <c r="I113" s="230">
        <f>SUM(I101:I110)</f>
        <v>1134229.6000000001</v>
      </c>
      <c r="J113" s="229">
        <f>SUM(J101:J110)</f>
        <v>434.41666666666634</v>
      </c>
    </row>
    <row r="114" spans="1:10" hidden="1">
      <c r="C114" s="214"/>
      <c r="D114" s="215"/>
      <c r="E114" s="215"/>
      <c r="F114" s="215"/>
      <c r="G114" s="215"/>
      <c r="H114" s="224"/>
      <c r="I114" s="225"/>
      <c r="J114" s="224"/>
    </row>
    <row r="115" spans="1:10" hidden="1">
      <c r="C115" s="214" t="s">
        <v>158</v>
      </c>
      <c r="D115" s="215" t="s">
        <v>159</v>
      </c>
      <c r="E115" s="215"/>
      <c r="F115" s="215" t="s">
        <v>160</v>
      </c>
      <c r="G115" s="215"/>
      <c r="H115" s="224" t="s">
        <v>215</v>
      </c>
      <c r="I115" s="225" t="s">
        <v>161</v>
      </c>
      <c r="J115" s="236" t="s">
        <v>162</v>
      </c>
    </row>
    <row r="116" spans="1:10" hidden="1">
      <c r="A116" s="210" t="s">
        <v>163</v>
      </c>
      <c r="B116" s="210" t="s">
        <v>163</v>
      </c>
      <c r="C116" s="214" t="s">
        <v>132</v>
      </c>
      <c r="D116" s="217" t="s">
        <v>164</v>
      </c>
      <c r="E116" s="217"/>
      <c r="F116" s="215" t="s">
        <v>165</v>
      </c>
      <c r="G116" s="215"/>
      <c r="H116" s="218">
        <v>-5896000</v>
      </c>
      <c r="I116" s="219">
        <v>-286000</v>
      </c>
      <c r="J116" s="218">
        <v>0</v>
      </c>
    </row>
    <row r="117" spans="1:10" hidden="1">
      <c r="A117" s="210" t="s">
        <v>166</v>
      </c>
      <c r="B117" s="210" t="s">
        <v>166</v>
      </c>
      <c r="C117" s="214"/>
      <c r="D117" s="217" t="s">
        <v>167</v>
      </c>
      <c r="E117" s="217"/>
      <c r="F117" s="215" t="s">
        <v>123</v>
      </c>
      <c r="G117" s="215"/>
      <c r="H117" s="218">
        <v>0</v>
      </c>
      <c r="I117" s="219">
        <v>769276.97</v>
      </c>
      <c r="J117" s="218">
        <v>0</v>
      </c>
    </row>
    <row r="118" spans="1:10" hidden="1">
      <c r="A118" s="210" t="s">
        <v>168</v>
      </c>
      <c r="B118" s="210" t="s">
        <v>168</v>
      </c>
      <c r="C118" s="214"/>
      <c r="D118" s="217" t="s">
        <v>169</v>
      </c>
      <c r="E118" s="192" t="str">
        <f t="shared" ref="E118:E125" si="8">LEFT(D118,10)</f>
        <v>SMUD REVEN</v>
      </c>
      <c r="F118" s="215" t="s">
        <v>170</v>
      </c>
      <c r="G118" s="215"/>
      <c r="H118" s="218">
        <v>0</v>
      </c>
      <c r="I118" s="219">
        <v>128745.18</v>
      </c>
      <c r="J118" s="218">
        <v>0</v>
      </c>
    </row>
    <row r="119" spans="1:10" hidden="1">
      <c r="A119" s="210" t="s">
        <v>155</v>
      </c>
      <c r="B119" s="210" t="s">
        <v>155</v>
      </c>
      <c r="C119" s="214"/>
      <c r="D119" s="217" t="s">
        <v>171</v>
      </c>
      <c r="E119" s="192" t="str">
        <f t="shared" si="8"/>
        <v>REVENUE AD</v>
      </c>
      <c r="F119" s="215" t="s">
        <v>170</v>
      </c>
      <c r="G119" s="215"/>
      <c r="H119" s="218">
        <v>0</v>
      </c>
      <c r="I119" s="219">
        <v>-416095.02</v>
      </c>
      <c r="J119" s="218">
        <v>0</v>
      </c>
    </row>
    <row r="120" spans="1:10" hidden="1">
      <c r="A120" s="210" t="s">
        <v>172</v>
      </c>
      <c r="B120" s="210" t="s">
        <v>172</v>
      </c>
      <c r="C120" s="214"/>
      <c r="D120" s="217" t="s">
        <v>173</v>
      </c>
      <c r="E120" s="192" t="str">
        <f t="shared" si="8"/>
        <v>WASHINGTON</v>
      </c>
      <c r="F120" s="215" t="s">
        <v>170</v>
      </c>
      <c r="G120" s="215"/>
      <c r="H120" s="218">
        <v>0</v>
      </c>
      <c r="I120" s="219">
        <v>-1320000</v>
      </c>
      <c r="J120" s="218">
        <v>0</v>
      </c>
    </row>
    <row r="121" spans="1:10" hidden="1">
      <c r="A121" s="210" t="s">
        <v>155</v>
      </c>
      <c r="B121" s="210" t="s">
        <v>155</v>
      </c>
      <c r="C121" s="214"/>
      <c r="D121" s="217" t="s">
        <v>174</v>
      </c>
      <c r="E121" s="192" t="str">
        <f t="shared" si="8"/>
        <v>REVENUE_AC</v>
      </c>
      <c r="F121" s="215" t="s">
        <v>170</v>
      </c>
      <c r="G121" s="215"/>
      <c r="H121" s="218">
        <v>0</v>
      </c>
      <c r="I121" s="219">
        <v>-4765913.25</v>
      </c>
      <c r="J121" s="218">
        <v>0</v>
      </c>
    </row>
    <row r="122" spans="1:10" hidden="1">
      <c r="A122" s="210" t="s">
        <v>175</v>
      </c>
      <c r="B122" s="210" t="s">
        <v>175</v>
      </c>
      <c r="C122" s="214"/>
      <c r="D122" s="217" t="s">
        <v>239</v>
      </c>
      <c r="E122" s="192" t="str">
        <f t="shared" si="8"/>
        <v>301170-DSM</v>
      </c>
      <c r="F122" s="215" t="s">
        <v>170</v>
      </c>
      <c r="G122" s="215"/>
      <c r="H122" s="218">
        <v>0</v>
      </c>
      <c r="I122" s="219">
        <v>4639762.9400000004</v>
      </c>
      <c r="J122" s="218">
        <v>0</v>
      </c>
    </row>
    <row r="123" spans="1:10" hidden="1">
      <c r="A123" s="210" t="s">
        <v>177</v>
      </c>
      <c r="B123" s="210" t="s">
        <v>177</v>
      </c>
      <c r="C123" s="214"/>
      <c r="D123" s="217" t="s">
        <v>240</v>
      </c>
      <c r="E123" s="192" t="str">
        <f t="shared" si="8"/>
        <v>301180-BLU</v>
      </c>
      <c r="F123" s="215" t="s">
        <v>170</v>
      </c>
      <c r="G123" s="215"/>
      <c r="H123" s="218">
        <v>0</v>
      </c>
      <c r="I123" s="219">
        <v>42672.12</v>
      </c>
      <c r="J123" s="218">
        <v>0</v>
      </c>
    </row>
    <row r="124" spans="1:10" hidden="1">
      <c r="A124" s="210" t="s">
        <v>185</v>
      </c>
      <c r="B124" s="210" t="s">
        <v>185</v>
      </c>
      <c r="C124" s="214"/>
      <c r="D124" s="217" t="s">
        <v>189</v>
      </c>
      <c r="E124" s="192" t="str">
        <f t="shared" si="8"/>
        <v>02LNX00109</v>
      </c>
      <c r="F124" s="215" t="s">
        <v>170</v>
      </c>
      <c r="G124" s="215"/>
      <c r="H124" s="218">
        <v>0</v>
      </c>
      <c r="I124" s="219">
        <v>783.03</v>
      </c>
      <c r="J124" s="218"/>
    </row>
    <row r="125" spans="1:10" hidden="1">
      <c r="A125" s="210">
        <v>16</v>
      </c>
      <c r="B125" s="210">
        <v>16</v>
      </c>
      <c r="C125" s="214"/>
      <c r="D125" s="217" t="s">
        <v>135</v>
      </c>
      <c r="E125" s="192" t="str">
        <f t="shared" si="8"/>
        <v>02RESD0016</v>
      </c>
      <c r="F125" s="215" t="s">
        <v>170</v>
      </c>
      <c r="G125" s="215"/>
      <c r="H125" s="218">
        <v>1553800739</v>
      </c>
      <c r="I125" s="219">
        <v>135331409.69999999</v>
      </c>
      <c r="J125" s="218">
        <v>100211.08333333299</v>
      </c>
    </row>
    <row r="126" spans="1:10" hidden="1">
      <c r="A126" s="210" t="s">
        <v>241</v>
      </c>
      <c r="B126" s="210">
        <v>16</v>
      </c>
      <c r="C126" s="214"/>
      <c r="D126" s="217" t="s">
        <v>135</v>
      </c>
      <c r="E126" s="217"/>
      <c r="F126" s="215" t="s">
        <v>123</v>
      </c>
      <c r="G126" s="215"/>
      <c r="H126" s="218">
        <v>1553797618</v>
      </c>
      <c r="I126" s="219">
        <v>-6412876.3799999999</v>
      </c>
      <c r="J126" s="218">
        <v>100211.08333333299</v>
      </c>
    </row>
    <row r="127" spans="1:10" hidden="1">
      <c r="A127" s="210">
        <v>18</v>
      </c>
      <c r="B127" s="210">
        <v>18</v>
      </c>
      <c r="C127" s="214"/>
      <c r="D127" s="217" t="s">
        <v>137</v>
      </c>
      <c r="E127" s="192" t="str">
        <f>LEFT(D127,10)</f>
        <v>02RESD0018</v>
      </c>
      <c r="F127" s="215" t="s">
        <v>170</v>
      </c>
      <c r="G127" s="215"/>
      <c r="H127" s="218">
        <v>2277450</v>
      </c>
      <c r="I127" s="219">
        <v>217409.79</v>
      </c>
      <c r="J127" s="218">
        <v>84.25</v>
      </c>
    </row>
    <row r="128" spans="1:10" hidden="1">
      <c r="A128" s="210" t="s">
        <v>242</v>
      </c>
      <c r="B128" s="210">
        <v>18</v>
      </c>
      <c r="C128" s="214"/>
      <c r="D128" s="217" t="s">
        <v>137</v>
      </c>
      <c r="E128" s="217"/>
      <c r="F128" s="215" t="s">
        <v>123</v>
      </c>
      <c r="G128" s="215"/>
      <c r="H128" s="218">
        <v>2277444</v>
      </c>
      <c r="I128" s="219">
        <v>-9396.16</v>
      </c>
      <c r="J128" s="218">
        <v>84.25</v>
      </c>
    </row>
    <row r="129" spans="1:12" hidden="1">
      <c r="A129" s="210" t="s">
        <v>243</v>
      </c>
      <c r="B129" s="210" t="s">
        <v>243</v>
      </c>
      <c r="C129" s="214"/>
      <c r="D129" s="217" t="s">
        <v>138</v>
      </c>
      <c r="E129" s="192" t="str">
        <f>LEFT(D129,10)</f>
        <v>02RESD018X</v>
      </c>
      <c r="F129" s="215" t="s">
        <v>170</v>
      </c>
      <c r="G129" s="215"/>
      <c r="H129" s="218">
        <v>435337</v>
      </c>
      <c r="I129" s="219">
        <v>40817.89</v>
      </c>
      <c r="J129" s="218">
        <v>18</v>
      </c>
    </row>
    <row r="130" spans="1:12" hidden="1">
      <c r="A130" s="210" t="s">
        <v>244</v>
      </c>
      <c r="B130" s="210" t="s">
        <v>243</v>
      </c>
      <c r="C130" s="214"/>
      <c r="D130" s="217" t="s">
        <v>138</v>
      </c>
      <c r="E130" s="217"/>
      <c r="F130" s="215" t="s">
        <v>123</v>
      </c>
      <c r="G130" s="215"/>
      <c r="H130" s="218">
        <v>435337</v>
      </c>
      <c r="I130" s="219">
        <v>-1795.31</v>
      </c>
      <c r="J130" s="218">
        <v>18</v>
      </c>
    </row>
    <row r="131" spans="1:12" hidden="1">
      <c r="A131" s="210" t="s">
        <v>185</v>
      </c>
      <c r="B131" s="210" t="s">
        <v>185</v>
      </c>
      <c r="C131" s="214"/>
      <c r="D131" s="217" t="s">
        <v>273</v>
      </c>
      <c r="E131" s="192" t="str">
        <f t="shared" ref="E131:E133" si="9">LEFT(D131,10)</f>
        <v>02UPPL000R</v>
      </c>
      <c r="F131" s="215" t="s">
        <v>170</v>
      </c>
      <c r="G131" s="215"/>
      <c r="H131" s="218"/>
      <c r="I131" s="219"/>
      <c r="J131" s="218">
        <v>1.5</v>
      </c>
    </row>
    <row r="132" spans="1:12" hidden="1">
      <c r="A132" s="210" t="s">
        <v>177</v>
      </c>
      <c r="B132" s="210" t="s">
        <v>177</v>
      </c>
      <c r="C132" s="214"/>
      <c r="D132" s="217" t="s">
        <v>245</v>
      </c>
      <c r="E132" s="192" t="str">
        <f t="shared" si="9"/>
        <v>02BLSKY01R</v>
      </c>
      <c r="F132" s="215" t="s">
        <v>170</v>
      </c>
      <c r="G132" s="215"/>
      <c r="H132" s="218">
        <v>0</v>
      </c>
      <c r="I132" s="219">
        <v>-1.84</v>
      </c>
      <c r="J132" s="218"/>
    </row>
    <row r="133" spans="1:12" hidden="1">
      <c r="A133" s="210">
        <v>17</v>
      </c>
      <c r="B133" s="210">
        <v>17</v>
      </c>
      <c r="C133" s="214"/>
      <c r="D133" s="217" t="s">
        <v>246</v>
      </c>
      <c r="E133" s="192" t="str">
        <f t="shared" si="9"/>
        <v>02RESD0017</v>
      </c>
      <c r="F133" s="215" t="s">
        <v>170</v>
      </c>
      <c r="G133" s="215"/>
      <c r="H133" s="218">
        <v>66140030</v>
      </c>
      <c r="I133" s="219">
        <v>5742704.1699999999</v>
      </c>
      <c r="J133" s="218">
        <v>4195.5</v>
      </c>
    </row>
    <row r="134" spans="1:12" hidden="1">
      <c r="A134" s="210" t="s">
        <v>247</v>
      </c>
      <c r="B134" s="210">
        <v>17</v>
      </c>
      <c r="C134" s="214"/>
      <c r="D134" s="217" t="s">
        <v>136</v>
      </c>
      <c r="E134" s="217"/>
      <c r="F134" s="215" t="s">
        <v>123</v>
      </c>
      <c r="G134" s="215"/>
      <c r="H134" s="218">
        <v>66139877</v>
      </c>
      <c r="I134" s="219">
        <v>-273122.89</v>
      </c>
      <c r="J134" s="218">
        <v>4195.5</v>
      </c>
    </row>
    <row r="135" spans="1:12" hidden="1">
      <c r="A135" s="210" t="s">
        <v>163</v>
      </c>
      <c r="B135" s="210" t="s">
        <v>163</v>
      </c>
      <c r="C135" s="214"/>
      <c r="D135" s="217" t="s">
        <v>248</v>
      </c>
      <c r="E135" s="192" t="str">
        <f>LEFT(D135,10)</f>
        <v>301119 - U</v>
      </c>
      <c r="F135" s="215" t="s">
        <v>165</v>
      </c>
      <c r="G135" s="215"/>
      <c r="H135" s="218">
        <v>0</v>
      </c>
      <c r="I135" s="219">
        <v>5000</v>
      </c>
      <c r="J135" s="218">
        <v>0</v>
      </c>
    </row>
    <row r="136" spans="1:12" hidden="1">
      <c r="A136" s="210" t="s">
        <v>249</v>
      </c>
      <c r="B136" s="210" t="s">
        <v>249</v>
      </c>
      <c r="C136" s="214"/>
      <c r="D136" s="217" t="s">
        <v>250</v>
      </c>
      <c r="E136" s="192" t="str">
        <f>LEFT(D137,10)</f>
        <v>02OALTB15R</v>
      </c>
      <c r="F136" s="215" t="s">
        <v>170</v>
      </c>
      <c r="G136" s="215"/>
      <c r="H136" s="218">
        <v>1050961</v>
      </c>
      <c r="I136" s="219">
        <v>156486.64000000001</v>
      </c>
      <c r="J136" s="218">
        <v>1133.25</v>
      </c>
    </row>
    <row r="137" spans="1:12" hidden="1">
      <c r="A137" s="210" t="s">
        <v>251</v>
      </c>
      <c r="B137" s="210" t="s">
        <v>249</v>
      </c>
      <c r="C137" s="214"/>
      <c r="D137" s="217" t="s">
        <v>134</v>
      </c>
      <c r="F137" s="215" t="s">
        <v>123</v>
      </c>
      <c r="G137" s="215"/>
      <c r="H137" s="218">
        <v>1052240</v>
      </c>
      <c r="I137" s="219">
        <v>-4323.41</v>
      </c>
      <c r="J137" s="218"/>
    </row>
    <row r="138" spans="1:12" hidden="1">
      <c r="A138" s="210">
        <v>135</v>
      </c>
      <c r="B138" s="210">
        <v>135</v>
      </c>
      <c r="C138" s="214"/>
      <c r="D138" s="217" t="s">
        <v>252</v>
      </c>
      <c r="E138" s="192" t="str">
        <f>LEFT(D139,10)</f>
        <v>02NETMT135</v>
      </c>
      <c r="F138" s="215" t="s">
        <v>170</v>
      </c>
      <c r="G138" s="215"/>
      <c r="H138" s="218">
        <v>1371628</v>
      </c>
      <c r="I138" s="219">
        <v>121143.02</v>
      </c>
      <c r="J138" s="218">
        <v>95.6666666666667</v>
      </c>
    </row>
    <row r="139" spans="1:12" hidden="1">
      <c r="A139" s="210" t="s">
        <v>253</v>
      </c>
      <c r="B139" s="210">
        <v>135</v>
      </c>
      <c r="C139" s="214"/>
      <c r="D139" s="217" t="s">
        <v>131</v>
      </c>
      <c r="F139" s="215" t="s">
        <v>123</v>
      </c>
      <c r="G139" s="215"/>
      <c r="H139" s="218">
        <v>1371625</v>
      </c>
      <c r="I139" s="219">
        <v>-5672.03</v>
      </c>
      <c r="J139" s="218">
        <v>95.6666666666667</v>
      </c>
    </row>
    <row r="140" spans="1:12" hidden="1">
      <c r="A140" s="210">
        <v>24</v>
      </c>
      <c r="B140" s="210">
        <v>24</v>
      </c>
      <c r="C140" s="214"/>
      <c r="D140" s="217" t="s">
        <v>254</v>
      </c>
      <c r="E140" s="192" t="str">
        <f>LEFT(D141,10)</f>
        <v>02RGNSB024</v>
      </c>
      <c r="F140" s="215" t="s">
        <v>170</v>
      </c>
      <c r="G140" s="215"/>
      <c r="H140" s="218">
        <v>7081030</v>
      </c>
      <c r="I140" s="219">
        <v>809006.25</v>
      </c>
      <c r="J140" s="218">
        <v>1452.75</v>
      </c>
    </row>
    <row r="141" spans="1:12" hidden="1">
      <c r="A141" s="210" t="s">
        <v>198</v>
      </c>
      <c r="B141" s="210">
        <v>24</v>
      </c>
      <c r="C141" s="214"/>
      <c r="D141" s="217" t="s">
        <v>255</v>
      </c>
      <c r="F141" s="215" t="s">
        <v>123</v>
      </c>
      <c r="G141" s="215"/>
      <c r="H141" s="218">
        <v>7080802</v>
      </c>
      <c r="I141" s="219">
        <v>-29291.51</v>
      </c>
      <c r="J141" s="218">
        <v>1452.75</v>
      </c>
    </row>
    <row r="142" spans="1:12" hidden="1">
      <c r="C142" s="214"/>
      <c r="D142" s="217" t="s">
        <v>213</v>
      </c>
      <c r="E142" s="217"/>
      <c r="F142" s="215" t="s">
        <v>170</v>
      </c>
      <c r="G142" s="215"/>
      <c r="H142" s="218">
        <v>0</v>
      </c>
      <c r="I142" s="238">
        <v>0</v>
      </c>
      <c r="J142" s="218">
        <v>0</v>
      </c>
      <c r="L142" s="71"/>
    </row>
    <row r="143" spans="1:12" hidden="1">
      <c r="A143" s="210"/>
      <c r="D143" s="215" t="s">
        <v>214</v>
      </c>
      <c r="E143" s="215"/>
      <c r="F143" s="215" t="s">
        <v>123</v>
      </c>
      <c r="G143" s="215"/>
      <c r="H143" s="218"/>
      <c r="I143" s="238"/>
      <c r="J143" s="218">
        <v>0</v>
      </c>
      <c r="L143" s="239"/>
    </row>
    <row r="144" spans="1:12" hidden="1">
      <c r="C144" s="214"/>
      <c r="D144" s="215" t="s">
        <v>0</v>
      </c>
      <c r="E144" s="215"/>
      <c r="F144" s="215"/>
      <c r="G144" s="215"/>
      <c r="H144" s="218"/>
      <c r="I144" s="238"/>
      <c r="J144" s="218">
        <v>0</v>
      </c>
    </row>
    <row r="145" spans="3:12">
      <c r="C145" s="214"/>
      <c r="D145" s="215"/>
      <c r="E145" s="215"/>
      <c r="F145" s="215"/>
      <c r="G145" s="215"/>
      <c r="H145" s="218"/>
      <c r="I145" s="238"/>
      <c r="J145" s="218"/>
    </row>
    <row r="146" spans="3:12">
      <c r="C146" s="214" t="s">
        <v>132</v>
      </c>
      <c r="D146" s="215"/>
      <c r="E146" s="215"/>
      <c r="F146" s="215"/>
      <c r="G146" s="215"/>
      <c r="H146" s="240">
        <f>SUM(H116:H142)-H117-H126-H128-H130-H134-H137-H139-H141</f>
        <v>1626261175</v>
      </c>
      <c r="I146" s="241">
        <f>SUM(I116:I142)</f>
        <v>134480729.90000001</v>
      </c>
      <c r="J146" s="240">
        <f>SUM(J116:J142)-J117-J126-J128-J130-J131-J134-J137-J139-J141</f>
        <v>107190.49999999964</v>
      </c>
    </row>
    <row r="147" spans="3:12">
      <c r="C147" s="214"/>
      <c r="D147" s="215"/>
      <c r="E147" s="215"/>
      <c r="F147" s="215"/>
      <c r="G147" s="215"/>
      <c r="H147" s="240"/>
      <c r="I147" s="241"/>
      <c r="J147" s="240"/>
    </row>
    <row r="148" spans="3:12">
      <c r="C148" s="214"/>
      <c r="D148" s="215"/>
      <c r="E148" s="215"/>
      <c r="F148" s="215"/>
      <c r="G148" s="215"/>
      <c r="H148" s="240"/>
      <c r="I148" s="241"/>
      <c r="J148" s="240"/>
    </row>
    <row r="149" spans="3:12">
      <c r="C149" s="214"/>
      <c r="D149" s="215"/>
      <c r="E149" s="215"/>
      <c r="F149" s="215"/>
      <c r="G149" s="215"/>
      <c r="H149" s="195"/>
      <c r="I149" s="225"/>
      <c r="J149" s="215"/>
    </row>
    <row r="150" spans="3:12">
      <c r="C150" s="214"/>
      <c r="D150" s="215"/>
      <c r="E150" s="215"/>
      <c r="F150" s="215"/>
      <c r="G150" s="215"/>
      <c r="H150" s="215"/>
      <c r="I150" s="225"/>
      <c r="J150" s="215"/>
    </row>
    <row r="151" spans="3:12">
      <c r="C151" s="214"/>
      <c r="D151" s="215"/>
      <c r="E151" s="215"/>
      <c r="F151" s="215"/>
      <c r="G151" s="215"/>
      <c r="H151" s="215"/>
      <c r="I151" s="225"/>
      <c r="J151" s="215"/>
    </row>
    <row r="152" spans="3:12">
      <c r="C152" s="242"/>
      <c r="D152" s="243"/>
      <c r="E152" s="243"/>
      <c r="F152" s="243" t="s">
        <v>218</v>
      </c>
      <c r="G152" s="243"/>
      <c r="H152" s="244">
        <f>H146+H113+H98+H74+H47</f>
        <v>4092687972</v>
      </c>
      <c r="I152" s="245">
        <f>I146+I113+I98+I74+I47</f>
        <v>310758107.72000003</v>
      </c>
      <c r="J152" s="244">
        <f>J146+J113+J98+J74+J47</f>
        <v>132773.08333333296</v>
      </c>
      <c r="L152" s="209">
        <f>J152/12</f>
        <v>11064.42361111108</v>
      </c>
    </row>
    <row r="154" spans="3:12">
      <c r="F154" s="209" t="s">
        <v>147</v>
      </c>
    </row>
    <row r="155" spans="3:12">
      <c r="F155" s="209" t="s">
        <v>256</v>
      </c>
      <c r="H155" s="229">
        <f ca="1">SUMIF(F6:F148,"&lt;&gt;bpa",H6:H146)-H152</f>
        <v>6010484703</v>
      </c>
      <c r="I155" s="229">
        <f>SUMIF($F$7:$F$150,"&lt;&gt;bpa",I7:I150)-I152</f>
        <v>310758107.71999991</v>
      </c>
      <c r="J155" s="229">
        <f>SUMIF($F$7:$F$148,"&lt;&gt;bpa",J7:J149)-J152</f>
        <v>247023.83333333273</v>
      </c>
    </row>
    <row r="156" spans="3:12">
      <c r="F156" s="209" t="s">
        <v>116</v>
      </c>
      <c r="H156" s="244">
        <f ca="1">SUMIF(F6:F148,"=bpa",H6:H146)</f>
        <v>0</v>
      </c>
      <c r="I156" s="246">
        <f ca="1">SUMIF($F$7:$F$148,"=bpa",I$7:I$146)</f>
        <v>0</v>
      </c>
      <c r="J156" s="244">
        <v>0</v>
      </c>
    </row>
    <row r="157" spans="3:12">
      <c r="H157" s="247">
        <f ca="1">SUM(H155:H156)</f>
        <v>6010484703</v>
      </c>
      <c r="I157" s="248">
        <f ca="1">SUM(I155:I156)</f>
        <v>310758107.71999991</v>
      </c>
      <c r="J157" s="247">
        <f>SUM(J155:J156)</f>
        <v>247023.83333333273</v>
      </c>
    </row>
    <row r="159" spans="3:12">
      <c r="I159" s="249"/>
    </row>
    <row r="161" spans="6:11">
      <c r="F161" s="209" t="s">
        <v>257</v>
      </c>
      <c r="H161" s="224">
        <f ca="1">SUMIF($F$7:$F$143,"=regular",H$7:H$141)</f>
        <v>0</v>
      </c>
      <c r="I161" s="229">
        <f ca="1">SUMIF($F$7:$F$141,"=regular",I7:I140)</f>
        <v>0</v>
      </c>
      <c r="J161" s="224">
        <f ca="1">SUMIF($F$7:$F$148,"=regular",J$7:J$146)</f>
        <v>0</v>
      </c>
    </row>
    <row r="162" spans="6:11">
      <c r="F162" s="209" t="s">
        <v>258</v>
      </c>
      <c r="H162" s="224">
        <f ca="1">SUMIF($F$7:$F$148,"UNBILLED",H$7:H$146)</f>
        <v>0</v>
      </c>
      <c r="I162" s="250">
        <f ca="1">SUMIF(F7:F141,"=unbilled",I7:I140)</f>
        <v>0</v>
      </c>
      <c r="J162" s="220"/>
      <c r="K162" s="215"/>
    </row>
    <row r="163" spans="6:11">
      <c r="H163" s="229">
        <f ca="1">SUM(H161:H162)</f>
        <v>0</v>
      </c>
      <c r="I163" s="229">
        <f ca="1">SUM(I161:I162)</f>
        <v>0</v>
      </c>
      <c r="J163" s="251">
        <f ca="1">J161</f>
        <v>0</v>
      </c>
      <c r="K163" s="215"/>
    </row>
    <row r="164" spans="6:11">
      <c r="F164" s="215"/>
      <c r="G164" s="215"/>
      <c r="H164" s="215"/>
      <c r="I164" s="215"/>
      <c r="J164" s="215"/>
      <c r="K164" s="215"/>
    </row>
    <row r="165" spans="6:11">
      <c r="F165" s="215" t="s">
        <v>259</v>
      </c>
      <c r="G165" s="215"/>
      <c r="H165" s="218">
        <v>5884581542</v>
      </c>
      <c r="I165" s="196">
        <v>291893109.88999993</v>
      </c>
      <c r="J165" s="218">
        <v>131933.83333333334</v>
      </c>
      <c r="K165" s="215"/>
    </row>
    <row r="166" spans="6:11">
      <c r="F166" s="215"/>
      <c r="G166" s="215"/>
      <c r="H166" s="215"/>
      <c r="I166" s="215"/>
      <c r="J166" s="215"/>
      <c r="K166" s="215"/>
    </row>
    <row r="167" spans="6:11">
      <c r="F167" s="215"/>
      <c r="G167" s="215"/>
      <c r="H167" s="195"/>
      <c r="I167" s="195"/>
      <c r="J167" s="215"/>
    </row>
    <row r="168" spans="6:11">
      <c r="F168" s="215"/>
      <c r="G168" s="215"/>
      <c r="H168" s="215"/>
      <c r="I168" s="252"/>
      <c r="J168" s="215"/>
    </row>
    <row r="169" spans="6:11">
      <c r="H169" s="247"/>
      <c r="I169" s="253"/>
    </row>
  </sheetData>
  <autoFilter ref="A6:J144">
    <filterColumn colId="1">
      <filters>
        <filter val="40"/>
        <filter val="40x"/>
      </filters>
    </filterColumn>
  </autoFilter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2015-08-28T07:00:00+00:00</OpenedDate>
    <Date1 xmlns="dc463f71-b30c-4ab2-9473-d307f9d35888">2015-08-28T07:00:00+00:00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151773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240D1F0359264BB61CC80D95ECAB3A" ma:contentTypeVersion="119" ma:contentTypeDescription="" ma:contentTypeScope="" ma:versionID="861edda55e4e472b4dd582b76a90c98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AD73AD6-A40D-4054-B9EB-AE589AE18E1C}"/>
</file>

<file path=customXml/itemProps2.xml><?xml version="1.0" encoding="utf-8"?>
<ds:datastoreItem xmlns:ds="http://schemas.openxmlformats.org/officeDocument/2006/customXml" ds:itemID="{2B20A9DA-811E-47CF-A369-34F49CA947A2}"/>
</file>

<file path=customXml/itemProps3.xml><?xml version="1.0" encoding="utf-8"?>
<ds:datastoreItem xmlns:ds="http://schemas.openxmlformats.org/officeDocument/2006/customXml" ds:itemID="{4CC2ADDC-CA8D-4623-80E2-B7C92C6FABCF}"/>
</file>

<file path=customXml/itemProps4.xml><?xml version="1.0" encoding="utf-8"?>
<ds:datastoreItem xmlns:ds="http://schemas.openxmlformats.org/officeDocument/2006/customXml" ds:itemID="{B06E06A9-6E34-4504-98A8-7A1DB13FD9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Attachment A</vt:lpstr>
      <vt:lpstr>Attachment B</vt:lpstr>
      <vt:lpstr>Attachment C</vt:lpstr>
      <vt:lpstr>Attachment D</vt:lpstr>
      <vt:lpstr>Calculation of BPA Credit OCT15</vt:lpstr>
      <vt:lpstr>Billing Comp Schedule 40</vt:lpstr>
      <vt:lpstr>Table A rate case</vt:lpstr>
      <vt:lpstr>305 Inputs</vt:lpstr>
      <vt:lpstr>'Attachment A'!Print_Area</vt:lpstr>
      <vt:lpstr>'Attachment B'!Print_Area</vt:lpstr>
      <vt:lpstr>'Attachment C'!Print_Area</vt:lpstr>
      <vt:lpstr>'Attachment D'!Print_Area</vt:lpstr>
      <vt:lpstr>'Billing Comp Schedule 40'!Print_Area</vt:lpstr>
      <vt:lpstr>'Calculation of BPA Credit OCT15'!Print_Area</vt:lpstr>
      <vt:lpstr>'Table A rate case'!Print_Area</vt:lpstr>
      <vt:lpstr>'Attachment A'!Print_Titles</vt:lpstr>
      <vt:lpstr>'Attachment D'!TABLEA</vt:lpstr>
      <vt:lpstr>'Table A rate case'!TABLEA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p29569</dc:creator>
  <cp:lastModifiedBy>AEissler</cp:lastModifiedBy>
  <cp:lastPrinted>2015-08-28T20:37:00Z</cp:lastPrinted>
  <dcterms:created xsi:type="dcterms:W3CDTF">2011-08-24T15:59:36Z</dcterms:created>
  <dcterms:modified xsi:type="dcterms:W3CDTF">2015-08-28T20:39:58Z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0x0101006E56B4D1795A2E4DB2F0B01679ED314A0048240D1F0359264BB61CC80D95ECAB3A</vt:lpwstr>
  </property>
  <property fmtid="{D5CDD505-2E9C-101B-9397-08002B2CF9AE}" pid="3" name="_docset_NoMedatataSyncRequired">
    <vt:lpwstr>False</vt:lpwstr>
  </property>
</Properties>
</file>