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activeTab="3"/>
  </bookViews>
  <sheets>
    <sheet name="Electric Deferral" sheetId="1" r:id="rId1"/>
    <sheet name="Nat Gas Deferral" sheetId="2" r:id="rId2"/>
    <sheet name="Accounting Balances" sheetId="3" r:id="rId3"/>
    <sheet name="Notes" sheetId="4" r:id="rId4"/>
  </sheets>
  <definedNames>
    <definedName name="_xlnm.Print_Area" localSheetId="2">'Accounting Balances'!$A$1:$H$115</definedName>
    <definedName name="_xlnm.Print_Area" localSheetId="3">Notes!$A$1:$K$29</definedName>
  </definedNames>
  <calcPr calcId="125725" calcMode="manual"/>
</workbook>
</file>

<file path=xl/calcChain.xml><?xml version="1.0" encoding="utf-8"?>
<calcChain xmlns="http://schemas.openxmlformats.org/spreadsheetml/2006/main">
  <c r="F28" i="4"/>
  <c r="G28"/>
  <c r="H28"/>
  <c r="I28"/>
  <c r="E28"/>
  <c r="I23"/>
  <c r="I18"/>
  <c r="I13"/>
  <c r="F23"/>
  <c r="G23"/>
  <c r="H23"/>
  <c r="E23"/>
  <c r="F18"/>
  <c r="G18"/>
  <c r="H18"/>
  <c r="E18"/>
  <c r="F13"/>
  <c r="G13"/>
  <c r="H13"/>
  <c r="E13"/>
  <c r="J47" i="3"/>
  <c r="J48"/>
  <c r="J46"/>
  <c r="S41" i="2"/>
  <c r="S39"/>
  <c r="S38"/>
  <c r="S36"/>
  <c r="S31"/>
  <c r="S29"/>
  <c r="M40"/>
  <c r="S21"/>
  <c r="S19"/>
  <c r="S18"/>
  <c r="S16"/>
  <c r="S17" s="1"/>
  <c r="S11"/>
  <c r="S9"/>
  <c r="M20"/>
  <c r="M16"/>
  <c r="N16"/>
  <c r="O16"/>
  <c r="S42" l="1"/>
  <c r="S30"/>
  <c r="S37"/>
  <c r="S22"/>
  <c r="S10"/>
  <c r="M46" i="1" l="1"/>
  <c r="S32"/>
  <c r="S25"/>
  <c r="S24"/>
  <c r="S22"/>
  <c r="S21"/>
  <c r="S19"/>
  <c r="S20"/>
  <c r="M23"/>
  <c r="S11"/>
  <c r="S9"/>
  <c r="S10" l="1"/>
  <c r="J40" i="2" l="1"/>
  <c r="P41"/>
  <c r="P39"/>
  <c r="P38"/>
  <c r="P36"/>
  <c r="P31"/>
  <c r="R29"/>
  <c r="P29"/>
  <c r="P37" s="1"/>
  <c r="J20"/>
  <c r="P21"/>
  <c r="P22" s="1"/>
  <c r="P19"/>
  <c r="P18"/>
  <c r="P16"/>
  <c r="P11"/>
  <c r="Q11"/>
  <c r="R9"/>
  <c r="P9"/>
  <c r="P10"/>
  <c r="J46" i="1"/>
  <c r="J23"/>
  <c r="K23"/>
  <c r="L23" s="1"/>
  <c r="R32"/>
  <c r="P47"/>
  <c r="P45"/>
  <c r="P44"/>
  <c r="P42"/>
  <c r="P34"/>
  <c r="P32"/>
  <c r="P24"/>
  <c r="P22"/>
  <c r="P21"/>
  <c r="P19"/>
  <c r="P11"/>
  <c r="R9"/>
  <c r="P9"/>
  <c r="P20" s="1"/>
  <c r="P33"/>
  <c r="P25"/>
  <c r="J43" i="3"/>
  <c r="K43" s="1"/>
  <c r="J44"/>
  <c r="K44" s="1"/>
  <c r="J42"/>
  <c r="K42" s="1"/>
  <c r="Q41" i="2"/>
  <c r="Q39"/>
  <c r="Q38"/>
  <c r="Q42" s="1"/>
  <c r="Q36"/>
  <c r="Q37" s="1"/>
  <c r="Q31"/>
  <c r="Q30" s="1"/>
  <c r="Q29"/>
  <c r="Q17"/>
  <c r="Q22"/>
  <c r="Q21"/>
  <c r="Q19"/>
  <c r="Q18"/>
  <c r="Q16"/>
  <c r="Q10"/>
  <c r="Q9"/>
  <c r="T29"/>
  <c r="T9"/>
  <c r="M17"/>
  <c r="N17"/>
  <c r="O17"/>
  <c r="G40"/>
  <c r="G20"/>
  <c r="Q47" i="1"/>
  <c r="Q45"/>
  <c r="Q44"/>
  <c r="Q48" s="1"/>
  <c r="Q42"/>
  <c r="Q43" s="1"/>
  <c r="Q34"/>
  <c r="Q33" s="1"/>
  <c r="Q32"/>
  <c r="Q20"/>
  <c r="Q25"/>
  <c r="Q24"/>
  <c r="Q22"/>
  <c r="Q21"/>
  <c r="Q19"/>
  <c r="Q10"/>
  <c r="Q11"/>
  <c r="Q9"/>
  <c r="P42" i="2" l="1"/>
  <c r="P30"/>
  <c r="P17"/>
  <c r="P48" i="1"/>
  <c r="P10"/>
  <c r="P43"/>
  <c r="G46"/>
  <c r="G23"/>
  <c r="K47" i="3"/>
  <c r="K48"/>
  <c r="K46"/>
  <c r="C53" i="1" l="1"/>
  <c r="C50"/>
  <c r="H46"/>
  <c r="I46" s="1"/>
  <c r="K46" s="1"/>
  <c r="L46" s="1"/>
  <c r="N46" s="1"/>
  <c r="O46" s="1"/>
  <c r="E46"/>
  <c r="F46" s="1"/>
  <c r="D46"/>
  <c r="A38"/>
  <c r="O34"/>
  <c r="L34"/>
  <c r="K34"/>
  <c r="H34"/>
  <c r="G34"/>
  <c r="D34"/>
  <c r="C34"/>
  <c r="A34"/>
  <c r="N34"/>
  <c r="M34"/>
  <c r="J34"/>
  <c r="I34"/>
  <c r="A33"/>
  <c r="T32"/>
  <c r="F34"/>
  <c r="E34"/>
  <c r="C27"/>
  <c r="H23"/>
  <c r="I23" s="1"/>
  <c r="N23" s="1"/>
  <c r="O23" s="1"/>
  <c r="E23"/>
  <c r="F23" s="1"/>
  <c r="C19"/>
  <c r="C18"/>
  <c r="F18"/>
  <c r="E18"/>
  <c r="E19" s="1"/>
  <c r="E20" s="1"/>
  <c r="D18"/>
  <c r="D19" s="1"/>
  <c r="M11"/>
  <c r="L11"/>
  <c r="I11"/>
  <c r="H11"/>
  <c r="E11"/>
  <c r="O11"/>
  <c r="N11"/>
  <c r="K11"/>
  <c r="J11"/>
  <c r="G11"/>
  <c r="A10"/>
  <c r="F11"/>
  <c r="E6"/>
  <c r="F6" s="1"/>
  <c r="G6" s="1"/>
  <c r="H6" s="1"/>
  <c r="I6" s="1"/>
  <c r="J6" s="1"/>
  <c r="K6" s="1"/>
  <c r="L6" s="1"/>
  <c r="M6" s="1"/>
  <c r="N6" s="1"/>
  <c r="O6" s="1"/>
  <c r="S34" l="1"/>
  <c r="S33" s="1"/>
  <c r="R34"/>
  <c r="R33" s="1"/>
  <c r="R11"/>
  <c r="D41"/>
  <c r="D42" s="1"/>
  <c r="G18"/>
  <c r="G19" s="1"/>
  <c r="G20" s="1"/>
  <c r="D11"/>
  <c r="T9"/>
  <c r="A11"/>
  <c r="C21" s="1"/>
  <c r="C11"/>
  <c r="E21"/>
  <c r="D20"/>
  <c r="F19"/>
  <c r="T34"/>
  <c r="T33" s="1"/>
  <c r="A39"/>
  <c r="G21" l="1"/>
  <c r="G22" s="1"/>
  <c r="D43"/>
  <c r="D44"/>
  <c r="F20"/>
  <c r="F21"/>
  <c r="E41"/>
  <c r="E42" s="1"/>
  <c r="C41"/>
  <c r="A40"/>
  <c r="A41" s="1"/>
  <c r="H18"/>
  <c r="H19" s="1"/>
  <c r="E22"/>
  <c r="D21"/>
  <c r="T11"/>
  <c r="T10" s="1"/>
  <c r="D22" l="1"/>
  <c r="H20"/>
  <c r="H21"/>
  <c r="F41"/>
  <c r="F42" s="1"/>
  <c r="I18"/>
  <c r="I19" s="1"/>
  <c r="E43"/>
  <c r="E44"/>
  <c r="F22"/>
  <c r="A42"/>
  <c r="C44" s="1"/>
  <c r="C42"/>
  <c r="D45"/>
  <c r="D50" l="1"/>
  <c r="D47"/>
  <c r="D48" s="1"/>
  <c r="G41"/>
  <c r="G42" s="1"/>
  <c r="E45"/>
  <c r="E47" s="1"/>
  <c r="F43"/>
  <c r="F44"/>
  <c r="I20"/>
  <c r="I21"/>
  <c r="J18"/>
  <c r="J19" s="1"/>
  <c r="H22"/>
  <c r="D24"/>
  <c r="D27" s="1"/>
  <c r="E50" l="1"/>
  <c r="D53"/>
  <c r="E24"/>
  <c r="E25" s="1"/>
  <c r="K18"/>
  <c r="K19" s="1"/>
  <c r="F45"/>
  <c r="F47" s="1"/>
  <c r="H41"/>
  <c r="H42" s="1"/>
  <c r="I22"/>
  <c r="G43"/>
  <c r="G44"/>
  <c r="D25"/>
  <c r="J20"/>
  <c r="J21"/>
  <c r="E48"/>
  <c r="E27" l="1"/>
  <c r="F24" s="1"/>
  <c r="F27" s="1"/>
  <c r="I41"/>
  <c r="I42" s="1"/>
  <c r="K20"/>
  <c r="K21"/>
  <c r="J22"/>
  <c r="G45"/>
  <c r="H43"/>
  <c r="H44"/>
  <c r="L18"/>
  <c r="L19" s="1"/>
  <c r="R19" s="1"/>
  <c r="R20" s="1"/>
  <c r="F48"/>
  <c r="F50"/>
  <c r="E53" l="1"/>
  <c r="G24"/>
  <c r="G25" s="1"/>
  <c r="F53"/>
  <c r="K22"/>
  <c r="G47"/>
  <c r="G48" s="1"/>
  <c r="F25"/>
  <c r="L20"/>
  <c r="L21"/>
  <c r="R21" s="1"/>
  <c r="J41"/>
  <c r="J42" s="1"/>
  <c r="M18"/>
  <c r="M19" s="1"/>
  <c r="I43"/>
  <c r="I44"/>
  <c r="H45"/>
  <c r="G50" l="1"/>
  <c r="H47" s="1"/>
  <c r="H48" s="1"/>
  <c r="J43"/>
  <c r="J44"/>
  <c r="I45"/>
  <c r="K41"/>
  <c r="K42" s="1"/>
  <c r="M20"/>
  <c r="M21"/>
  <c r="N18"/>
  <c r="N19" s="1"/>
  <c r="O18"/>
  <c r="O19" s="1"/>
  <c r="L22"/>
  <c r="R22" s="1"/>
  <c r="G27"/>
  <c r="H24" l="1"/>
  <c r="H27" s="1"/>
  <c r="G53"/>
  <c r="N20"/>
  <c r="N21"/>
  <c r="O20"/>
  <c r="O21"/>
  <c r="T19"/>
  <c r="T20" s="1"/>
  <c r="M22"/>
  <c r="J45"/>
  <c r="L41"/>
  <c r="L42" s="1"/>
  <c r="R42" s="1"/>
  <c r="R43" s="1"/>
  <c r="K43"/>
  <c r="K44"/>
  <c r="H50"/>
  <c r="K45" l="1"/>
  <c r="N22"/>
  <c r="M41"/>
  <c r="M42" s="1"/>
  <c r="H25"/>
  <c r="L43"/>
  <c r="L44"/>
  <c r="R44" s="1"/>
  <c r="O22"/>
  <c r="T21"/>
  <c r="H53"/>
  <c r="I24"/>
  <c r="I25" s="1"/>
  <c r="I47"/>
  <c r="I48" s="1"/>
  <c r="I50" l="1"/>
  <c r="J47" s="1"/>
  <c r="T22"/>
  <c r="N41"/>
  <c r="N42" s="1"/>
  <c r="O41"/>
  <c r="O42" s="1"/>
  <c r="L45"/>
  <c r="R45" s="1"/>
  <c r="M43"/>
  <c r="M44"/>
  <c r="I27"/>
  <c r="S42" l="1"/>
  <c r="S43" s="1"/>
  <c r="J48"/>
  <c r="J50"/>
  <c r="K47" s="1"/>
  <c r="K48" s="1"/>
  <c r="I53"/>
  <c r="J24"/>
  <c r="N43"/>
  <c r="N44"/>
  <c r="M45"/>
  <c r="O43"/>
  <c r="O44"/>
  <c r="T42"/>
  <c r="T43" s="1"/>
  <c r="S44" l="1"/>
  <c r="J27"/>
  <c r="O45"/>
  <c r="T44"/>
  <c r="K24"/>
  <c r="K25" s="1"/>
  <c r="J53"/>
  <c r="N45"/>
  <c r="S45" s="1"/>
  <c r="J25"/>
  <c r="K50"/>
  <c r="T45" l="1"/>
  <c r="K27"/>
  <c r="K53" s="1"/>
  <c r="L47"/>
  <c r="L48" l="1"/>
  <c r="R47"/>
  <c r="R48" s="1"/>
  <c r="L50"/>
  <c r="M47" s="1"/>
  <c r="L24"/>
  <c r="M48" l="1"/>
  <c r="L25"/>
  <c r="R24"/>
  <c r="R25" s="1"/>
  <c r="L27"/>
  <c r="M24" s="1"/>
  <c r="M25" s="1"/>
  <c r="M50"/>
  <c r="L53" l="1"/>
  <c r="M27"/>
  <c r="N24" s="1"/>
  <c r="N25" s="1"/>
  <c r="N47"/>
  <c r="N48" l="1"/>
  <c r="S47"/>
  <c r="S48" s="1"/>
  <c r="N50"/>
  <c r="O47" s="1"/>
  <c r="M53"/>
  <c r="N27"/>
  <c r="O24" s="1"/>
  <c r="O27" s="1"/>
  <c r="N53" l="1"/>
  <c r="T24"/>
  <c r="T25" s="1"/>
  <c r="O25"/>
  <c r="T47"/>
  <c r="T48" s="1"/>
  <c r="O48"/>
  <c r="O50"/>
  <c r="O53" s="1"/>
  <c r="H40" i="2" l="1"/>
  <c r="I40" s="1"/>
  <c r="K40" s="1"/>
  <c r="L40" s="1"/>
  <c r="N40" s="1"/>
  <c r="O40" s="1"/>
  <c r="I20"/>
  <c r="K20" s="1"/>
  <c r="L20" s="1"/>
  <c r="N20" s="1"/>
  <c r="O20" s="1"/>
  <c r="H20"/>
  <c r="F17"/>
  <c r="C46"/>
  <c r="C44"/>
  <c r="F40"/>
  <c r="E40"/>
  <c r="C38"/>
  <c r="O36"/>
  <c r="O37" s="1"/>
  <c r="N36"/>
  <c r="N37" s="1"/>
  <c r="M36"/>
  <c r="M37" s="1"/>
  <c r="L36"/>
  <c r="L37" s="1"/>
  <c r="K36"/>
  <c r="K37" s="1"/>
  <c r="J36"/>
  <c r="I36"/>
  <c r="I37" s="1"/>
  <c r="H36"/>
  <c r="H37" s="1"/>
  <c r="G36"/>
  <c r="G37" s="1"/>
  <c r="C36"/>
  <c r="D36"/>
  <c r="F36"/>
  <c r="F37" s="1"/>
  <c r="E36"/>
  <c r="E37" s="1"/>
  <c r="O31"/>
  <c r="N31"/>
  <c r="N38" s="1"/>
  <c r="L31"/>
  <c r="L38" s="1"/>
  <c r="K31"/>
  <c r="K38" s="1"/>
  <c r="J31"/>
  <c r="H31"/>
  <c r="G31"/>
  <c r="G38" s="1"/>
  <c r="C31"/>
  <c r="M31"/>
  <c r="M38" s="1"/>
  <c r="I31"/>
  <c r="I38" s="1"/>
  <c r="F31"/>
  <c r="F38" s="1"/>
  <c r="E31"/>
  <c r="E38" s="1"/>
  <c r="D31"/>
  <c r="C24"/>
  <c r="F20"/>
  <c r="E20"/>
  <c r="C18"/>
  <c r="L16"/>
  <c r="L17" s="1"/>
  <c r="K16"/>
  <c r="K17" s="1"/>
  <c r="J16"/>
  <c r="I16"/>
  <c r="I17" s="1"/>
  <c r="H16"/>
  <c r="H17" s="1"/>
  <c r="G16"/>
  <c r="G17" s="1"/>
  <c r="C16"/>
  <c r="F16"/>
  <c r="E16"/>
  <c r="E17" s="1"/>
  <c r="D16"/>
  <c r="O11"/>
  <c r="O18" s="1"/>
  <c r="N11"/>
  <c r="N18" s="1"/>
  <c r="K11"/>
  <c r="K18" s="1"/>
  <c r="J11"/>
  <c r="G11"/>
  <c r="F11"/>
  <c r="F18" s="1"/>
  <c r="C11"/>
  <c r="A11"/>
  <c r="M11"/>
  <c r="M18" s="1"/>
  <c r="L11"/>
  <c r="L18" s="1"/>
  <c r="I11"/>
  <c r="H11"/>
  <c r="H18" s="1"/>
  <c r="A10"/>
  <c r="E11"/>
  <c r="D11"/>
  <c r="E6"/>
  <c r="F6" s="1"/>
  <c r="G6" s="1"/>
  <c r="H6" s="1"/>
  <c r="I6" s="1"/>
  <c r="J6" s="1"/>
  <c r="K6" s="1"/>
  <c r="L6" s="1"/>
  <c r="M6" s="1"/>
  <c r="N6" s="1"/>
  <c r="O6" s="1"/>
  <c r="O38" l="1"/>
  <c r="R36"/>
  <c r="R37" s="1"/>
  <c r="J37"/>
  <c r="J38"/>
  <c r="R38" s="1"/>
  <c r="R31"/>
  <c r="R30" s="1"/>
  <c r="J17"/>
  <c r="R16"/>
  <c r="R17" s="1"/>
  <c r="J18"/>
  <c r="R18" s="1"/>
  <c r="R11"/>
  <c r="R10" s="1"/>
  <c r="H38"/>
  <c r="H39" s="1"/>
  <c r="G18"/>
  <c r="I18"/>
  <c r="E18"/>
  <c r="G19"/>
  <c r="O19"/>
  <c r="F19"/>
  <c r="N19"/>
  <c r="F39"/>
  <c r="J39"/>
  <c r="D37"/>
  <c r="T36"/>
  <c r="T37" s="1"/>
  <c r="E19"/>
  <c r="I19"/>
  <c r="M19"/>
  <c r="K19"/>
  <c r="E39"/>
  <c r="N39"/>
  <c r="D18"/>
  <c r="T11"/>
  <c r="T10" s="1"/>
  <c r="H19"/>
  <c r="L19"/>
  <c r="T16"/>
  <c r="T17" s="1"/>
  <c r="D17"/>
  <c r="D38"/>
  <c r="T31"/>
  <c r="T30" s="1"/>
  <c r="I39"/>
  <c r="M39"/>
  <c r="L39"/>
  <c r="G39"/>
  <c r="K39"/>
  <c r="O39"/>
  <c r="R39" l="1"/>
  <c r="J19"/>
  <c r="R19" s="1"/>
  <c r="T18"/>
  <c r="D19"/>
  <c r="T38"/>
  <c r="D39"/>
  <c r="T39" s="1"/>
  <c r="T19" l="1"/>
  <c r="D44"/>
  <c r="D41"/>
  <c r="D42" s="1"/>
  <c r="D21"/>
  <c r="E44" l="1"/>
  <c r="E41"/>
  <c r="E42" s="1"/>
  <c r="D22"/>
  <c r="F44"/>
  <c r="F41"/>
  <c r="F42" s="1"/>
  <c r="D24"/>
  <c r="G41" l="1"/>
  <c r="G44" s="1"/>
  <c r="D46"/>
  <c r="E21"/>
  <c r="H41" l="1"/>
  <c r="H42" s="1"/>
  <c r="E22"/>
  <c r="G42"/>
  <c r="E24"/>
  <c r="E46" l="1"/>
  <c r="F21"/>
  <c r="F24" s="1"/>
  <c r="H44"/>
  <c r="G21" l="1"/>
  <c r="G22" s="1"/>
  <c r="F46"/>
  <c r="F22"/>
  <c r="I41"/>
  <c r="I42" s="1"/>
  <c r="I44" l="1"/>
  <c r="J41" s="1"/>
  <c r="G24"/>
  <c r="J42" l="1"/>
  <c r="H21"/>
  <c r="H24" s="1"/>
  <c r="G46"/>
  <c r="J44"/>
  <c r="H46" l="1"/>
  <c r="I21"/>
  <c r="I22" s="1"/>
  <c r="K41"/>
  <c r="H22"/>
  <c r="K42" l="1"/>
  <c r="I24"/>
  <c r="I46" s="1"/>
  <c r="K44"/>
  <c r="J21" l="1"/>
  <c r="L41"/>
  <c r="L42" l="1"/>
  <c r="R41"/>
  <c r="R42" s="1"/>
  <c r="J22"/>
  <c r="J24"/>
  <c r="J46" s="1"/>
  <c r="L44"/>
  <c r="K21" l="1"/>
  <c r="M41"/>
  <c r="M42" s="1"/>
  <c r="K22" l="1"/>
  <c r="K24"/>
  <c r="K46" s="1"/>
  <c r="M44"/>
  <c r="N41" s="1"/>
  <c r="N42" s="1"/>
  <c r="L21" l="1"/>
  <c r="N44"/>
  <c r="O41" s="1"/>
  <c r="O44" s="1"/>
  <c r="L22" l="1"/>
  <c r="R21"/>
  <c r="R22" s="1"/>
  <c r="L24"/>
  <c r="L46" s="1"/>
  <c r="O42"/>
  <c r="T41"/>
  <c r="T42" s="1"/>
  <c r="M21" l="1"/>
  <c r="M24" s="1"/>
  <c r="M22" l="1"/>
  <c r="N21"/>
  <c r="N22" s="1"/>
  <c r="M46"/>
  <c r="N24" l="1"/>
  <c r="O21" s="1"/>
  <c r="N46" l="1"/>
  <c r="O22"/>
  <c r="T21"/>
  <c r="T22" s="1"/>
  <c r="O24"/>
  <c r="O46" s="1"/>
  <c r="R10" i="1"/>
</calcChain>
</file>

<file path=xl/sharedStrings.xml><?xml version="1.0" encoding="utf-8"?>
<sst xmlns="http://schemas.openxmlformats.org/spreadsheetml/2006/main" count="433" uniqueCount="161">
  <si>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</si>
  <si>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</si>
  <si>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</si>
  <si>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</si>
  <si>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</si>
  <si>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</si>
  <si>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</si>
  <si>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</si>
  <si>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</si>
  <si>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</si>
  <si>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</si>
  <si>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</si>
  <si>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</si>
  <si>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</si>
  <si>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</si>
  <si>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</si>
  <si>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</si>
  <si>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</si>
  <si>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</si>
  <si>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</si>
  <si>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</si>
  <si>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</si>
  <si>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</si>
  <si>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</si>
  <si>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</si>
  <si>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</si>
  <si>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</si>
  <si>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</si>
  <si>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</si>
  <si>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</si>
  <si>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</si>
  <si>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</si>
  <si>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</si>
  <si>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</si>
  <si>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</si>
  <si>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</si>
  <si>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</si>
  <si>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</si>
  <si>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</si>
  <si>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</si>
  <si>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</si>
  <si>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</si>
  <si>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</si>
  <si>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</si>
  <si>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</si>
  <si>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</si>
  <si>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</si>
  <si>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</si>
  <si>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</si>
  <si>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</si>
  <si>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</si>
  <si>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</si>
  <si>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</si>
  <si>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</si>
  <si>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</si>
  <si>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</si>
  <si>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</si>
  <si>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</si>
  <si>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</si>
  <si>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</si>
  <si>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</si>
  <si>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</si>
  <si>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</si>
  <si>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</si>
  <si>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</si>
  <si>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</si>
  <si>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</si>
  <si>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</si>
  <si>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</si>
  <si>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</si>
  <si>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</si>
  <si>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</si>
  <si>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</si>
  <si>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</si>
  <si>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</si>
  <si>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</si>
  <si>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</si>
  <si>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</si>
  <si>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</si>
  <si>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</si>
  <si>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</si>
  <si>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</si>
  <si>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</si>
  <si>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</si>
  <si>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</si>
  <si>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</si>
  <si>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2nd Quarter 2015</t>
  </si>
  <si>
    <t>Total Cumulative Electric Deferral</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</si>
  <si>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</si>
  <si>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</si>
  <si>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</si>
  <si>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</si>
  <si>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</si>
  <si>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</si>
  <si>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</si>
  <si>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</si>
  <si>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</si>
  <si>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</si>
  <si>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</si>
  <si>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</si>
  <si>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</si>
  <si>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</si>
  <si>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</si>
  <si>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</si>
  <si>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</si>
  <si>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</si>
  <si>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</si>
  <si>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</si>
  <si>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</si>
  <si>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</si>
  <si>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</si>
  <si>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</si>
  <si>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</si>
  <si>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</si>
  <si>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</si>
  <si>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</si>
  <si>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3rd Quarter 2015</t>
  </si>
  <si>
    <t>1st Quarter 2015</t>
  </si>
  <si>
    <t>Q3</t>
  </si>
  <si>
    <t>4th Quarter 2015</t>
  </si>
  <si>
    <t>2015 Annual</t>
  </si>
  <si>
    <t>Actual Usage</t>
  </si>
  <si>
    <t>GL Account Balance  Accounting Period : '201510, 201511, 201512'</t>
  </si>
  <si>
    <t>201510</t>
  </si>
  <si>
    <t>201511</t>
  </si>
  <si>
    <t>201512</t>
  </si>
  <si>
    <t>Sum: 4,511,274.16</t>
  </si>
  <si>
    <t>Sum: 749,725.33</t>
  </si>
  <si>
    <t>Sum: 5,260,999.49</t>
  </si>
  <si>
    <t>Sum: 630,376.41</t>
  </si>
  <si>
    <t>Sum: 804,860.77</t>
  </si>
  <si>
    <t>Sum: 1,435,237.18</t>
  </si>
  <si>
    <t>Sum: 45.57</t>
  </si>
  <si>
    <t>Sum: -1,799,577.70</t>
  </si>
  <si>
    <t>Sum: -225,598.89</t>
  </si>
  <si>
    <t>Sum: -2,025,176.59</t>
  </si>
  <si>
    <t>Financial Reporting Contra Asset Accounts</t>
  </si>
  <si>
    <t>253311</t>
  </si>
  <si>
    <t>CONTRA DECOUPLING DEFERRED REV</t>
  </si>
  <si>
    <t>Sum: -910,063.42</t>
  </si>
  <si>
    <t>495311</t>
  </si>
  <si>
    <t>CONTRA DECOUPLING DEFERRAL</t>
  </si>
  <si>
    <t>Sum: 910,063.42</t>
  </si>
  <si>
    <t>FERC Acct 253311</t>
  </si>
  <si>
    <t>FERC Acct 495311</t>
  </si>
  <si>
    <t>Sum: -4,466,877.17</t>
  </si>
  <si>
    <t>Sum: -655,785.39</t>
  </si>
  <si>
    <t>Sum: -707,568.17</t>
  </si>
  <si>
    <t>Sum: -793,707.13</t>
  </si>
  <si>
    <t>Sum: -44,396.99</t>
  </si>
  <si>
    <t>Sum: -53,356.37</t>
  </si>
  <si>
    <t>Sum: -97,753.36</t>
  </si>
  <si>
    <t>Sum: 25,408.98</t>
  </si>
  <si>
    <t>Sum: -72,344.38</t>
  </si>
  <si>
    <t>FERC Acct 419605</t>
  </si>
  <si>
    <t>FERC Acct 431605</t>
  </si>
  <si>
    <t>Net Interest Income</t>
  </si>
  <si>
    <t>Q4</t>
  </si>
  <si>
    <t>The contra decoupling accounting shown on page 5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The income statement impact of the contra decoupling deferral will be eliminated for Commission Basis reporting.</t>
  </si>
  <si>
    <t>Annual Average</t>
  </si>
  <si>
    <t>The following table shows how the decoupled revenue per customer has tracked with use per customer on a quarterly basis for 2015.  The similarity of the percentage change indicates that the mechanism is working as intended.</t>
  </si>
</sst>
</file>

<file path=xl/styles.xml><?xml version="1.0" encoding="utf-8"?>
<styleSheet xmlns="http://schemas.openxmlformats.org/spreadsheetml/2006/main">
  <numFmts count="8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sz val="10"/>
      <color rgb="FF0000CC"/>
      <name val="Times New Roman"/>
      <family val="1"/>
    </font>
    <font>
      <sz val="10"/>
      <color rgb="FF3B2CFC"/>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0"/>
      <color rgb="FF3333CC"/>
      <name val="Times New Roman"/>
      <family val="1"/>
    </font>
    <font>
      <sz val="11"/>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5"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6"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7" fillId="0" borderId="0" applyBorder="0">
      <alignment horizontal="centerContinuous"/>
    </xf>
    <xf numFmtId="0" fontId="128" fillId="0" borderId="0" applyBorder="0">
      <alignment horizontal="centerContinuous"/>
    </xf>
    <xf numFmtId="0" fontId="129" fillId="67" borderId="0">
      <alignment horizontal="right"/>
    </xf>
    <xf numFmtId="0" fontId="128" fillId="67" borderId="46"/>
    <xf numFmtId="42" fontId="10" fillId="0" borderId="0" applyFont="0" applyFill="0" applyBorder="0" applyAlignment="0" applyProtection="0"/>
    <xf numFmtId="0" fontId="13" fillId="69" borderId="0">
      <alignment horizontal="left"/>
    </xf>
    <xf numFmtId="0" fontId="130" fillId="69" borderId="0">
      <alignment horizontal="right"/>
    </xf>
    <xf numFmtId="0" fontId="130" fillId="69" borderId="0">
      <alignment horizontal="center"/>
    </xf>
    <xf numFmtId="0" fontId="130" fillId="69" borderId="0">
      <alignment horizontal="right"/>
    </xf>
    <xf numFmtId="0" fontId="131"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2"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30" fillId="69" borderId="0">
      <alignment horizontal="center"/>
    </xf>
    <xf numFmtId="0" fontId="130"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30" fillId="69" borderId="0">
      <alignment horizontal="right"/>
    </xf>
    <xf numFmtId="0" fontId="60" fillId="102" borderId="0">
      <alignment horizontal="center"/>
    </xf>
    <xf numFmtId="0" fontId="63" fillId="102" borderId="0">
      <alignment horizontal="center"/>
    </xf>
    <xf numFmtId="0" fontId="133"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4"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5"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6"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7" fillId="0" borderId="47">
      <alignment horizontal="center"/>
    </xf>
    <xf numFmtId="208" fontId="138" fillId="0" borderId="0" applyFont="0" applyFill="0" applyBorder="0" applyAlignment="0" applyProtection="0">
      <alignment horizontal="right"/>
    </xf>
    <xf numFmtId="209" fontId="139" fillId="0" borderId="0" applyFont="0" applyFill="0" applyBorder="0" applyAlignment="0" applyProtection="0"/>
    <xf numFmtId="210" fontId="140" fillId="0" borderId="0" applyFont="0" applyFill="0" applyBorder="0" applyAlignment="0" applyProtection="0"/>
    <xf numFmtId="211" fontId="1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39"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9" fillId="0" borderId="0">
      <protection locked="0"/>
    </xf>
    <xf numFmtId="0" fontId="145" fillId="0" borderId="0" applyFill="0" applyBorder="0" applyAlignment="0" applyProtection="0"/>
    <xf numFmtId="0" fontId="146" fillId="0" borderId="0" applyFill="0" applyBorder="0" applyAlignment="0" applyProtection="0">
      <protection locked="0"/>
    </xf>
    <xf numFmtId="0" fontId="145" fillId="0" borderId="0" applyFill="0" applyBorder="0" applyAlignment="0" applyProtection="0"/>
    <xf numFmtId="214" fontId="140" fillId="0" borderId="0" applyFont="0" applyFill="0" applyBorder="0" applyAlignment="0" applyProtection="0"/>
    <xf numFmtId="215" fontId="140" fillId="0" borderId="0" applyFont="0" applyFill="0" applyBorder="0" applyAlignment="0" applyProtection="0"/>
    <xf numFmtId="216" fontId="1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2"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9" fillId="0" borderId="0">
      <protection locked="0"/>
    </xf>
    <xf numFmtId="186" fontId="147" fillId="0" borderId="0" applyFont="0" applyFill="0" applyBorder="0" applyAlignment="0" applyProtection="0"/>
    <xf numFmtId="207" fontId="148"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9" fillId="0" borderId="0"/>
    <xf numFmtId="219" fontId="149" fillId="0" borderId="0"/>
    <xf numFmtId="165" fontId="149" fillId="0" borderId="0"/>
    <xf numFmtId="219" fontId="149" fillId="0" borderId="0"/>
    <xf numFmtId="220" fontId="149" fillId="0" borderId="0"/>
    <xf numFmtId="220" fontId="149" fillId="0" borderId="0"/>
    <xf numFmtId="218" fontId="149" fillId="0" borderId="0"/>
    <xf numFmtId="189" fontId="149" fillId="0" borderId="0"/>
    <xf numFmtId="221" fontId="149" fillId="0" borderId="0"/>
    <xf numFmtId="222" fontId="149" fillId="0" borderId="0"/>
    <xf numFmtId="223" fontId="149"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50"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51"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2"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6" fillId="0" borderId="0" applyFill="0" applyAlignment="0" applyProtection="0">
      <protection locked="0"/>
    </xf>
    <xf numFmtId="0" fontId="15" fillId="0" borderId="0" applyFill="0" applyAlignment="0" applyProtection="0"/>
    <xf numFmtId="0" fontId="15" fillId="0" borderId="38" applyFill="0" applyAlignment="0" applyProtection="0"/>
    <xf numFmtId="0" fontId="136" fillId="0" borderId="38" applyFill="0" applyAlignment="0" applyProtection="0">
      <protection locked="0"/>
    </xf>
    <xf numFmtId="0" fontId="15" fillId="0" borderId="38" applyFill="0" applyAlignment="0" applyProtection="0"/>
    <xf numFmtId="0" fontId="136" fillId="0" borderId="0" applyFill="0" applyAlignment="0" applyProtection="0"/>
    <xf numFmtId="207" fontId="153"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41" fillId="0" borderId="0"/>
    <xf numFmtId="207" fontId="10" fillId="0" borderId="0"/>
    <xf numFmtId="0" fontId="14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40" fillId="0" borderId="0" applyFont="0" applyFill="0" applyBorder="0" applyAlignment="0" applyProtection="0"/>
    <xf numFmtId="225" fontId="139" fillId="0" borderId="0" applyFont="0" applyFill="0" applyBorder="0" applyAlignment="0" applyProtection="0"/>
    <xf numFmtId="226" fontId="140" fillId="0" borderId="0" applyFont="0" applyFill="0" applyBorder="0" applyAlignment="0" applyProtection="0"/>
    <xf numFmtId="227" fontId="139" fillId="0" borderId="0" applyFont="0" applyFill="0" applyBorder="0" applyAlignment="0" applyProtection="0"/>
    <xf numFmtId="228" fontId="140" fillId="0" borderId="0" applyFont="0" applyFill="0" applyBorder="0" applyAlignment="0" applyProtection="0"/>
    <xf numFmtId="229" fontId="139" fillId="0" borderId="0" applyFont="0" applyFill="0" applyBorder="0" applyAlignment="0" applyProtection="0"/>
    <xf numFmtId="230" fontId="140" fillId="0" borderId="0" applyFont="0" applyFill="0" applyBorder="0" applyAlignment="0" applyProtection="0"/>
    <xf numFmtId="231" fontId="139" fillId="0" borderId="0" applyFont="0" applyFill="0" applyBorder="0" applyAlignment="0" applyProtection="0"/>
    <xf numFmtId="232" fontId="139" fillId="0" borderId="0" applyFont="0" applyFill="0" applyBorder="0" applyAlignment="0" applyProtection="0"/>
    <xf numFmtId="233"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4" fillId="85" borderId="0" applyNumberFormat="0" applyBorder="0" applyAlignment="0" applyProtection="0"/>
    <xf numFmtId="0" fontId="154" fillId="0" borderId="0">
      <alignment horizontal="right"/>
    </xf>
    <xf numFmtId="0" fontId="155" fillId="0" borderId="0">
      <alignment horizontal="right"/>
    </xf>
    <xf numFmtId="0" fontId="149" fillId="0" borderId="0"/>
    <xf numFmtId="0" fontId="156" fillId="0" borderId="0" applyNumberFormat="0" applyBorder="0" applyAlignment="0"/>
    <xf numFmtId="0" fontId="156" fillId="0" borderId="0" applyNumberFormat="0" applyBorder="0" applyAlignment="0"/>
    <xf numFmtId="0" fontId="12" fillId="0" borderId="0" applyNumberFormat="0" applyBorder="0" applyAlignment="0"/>
    <xf numFmtId="207" fontId="12" fillId="0" borderId="0" applyNumberFormat="0" applyBorder="0" applyAlignment="0"/>
    <xf numFmtId="0" fontId="149" fillId="0" borderId="0"/>
    <xf numFmtId="207" fontId="12" fillId="0" borderId="0" applyNumberFormat="0" applyBorder="0" applyAlignment="0"/>
    <xf numFmtId="0" fontId="157" fillId="0" borderId="0"/>
    <xf numFmtId="0" fontId="158" fillId="0" borderId="0" applyNumberFormat="0" applyBorder="0" applyAlignment="0"/>
    <xf numFmtId="0" fontId="158" fillId="0" borderId="0" applyNumberFormat="0" applyBorder="0" applyAlignment="0"/>
    <xf numFmtId="0" fontId="157" fillId="0" borderId="0"/>
    <xf numFmtId="0" fontId="159" fillId="0" borderId="0"/>
    <xf numFmtId="207" fontId="160" fillId="0" borderId="0"/>
    <xf numFmtId="0" fontId="161" fillId="0" borderId="0"/>
    <xf numFmtId="0" fontId="162" fillId="0" borderId="0" applyNumberFormat="0" applyBorder="0" applyAlignment="0"/>
    <xf numFmtId="0" fontId="162" fillId="0" borderId="0" applyNumberFormat="0" applyBorder="0" applyAlignment="0"/>
    <xf numFmtId="0" fontId="161" fillId="0" borderId="0"/>
    <xf numFmtId="0" fontId="163" fillId="0" borderId="0" applyNumberFormat="0" applyBorder="0" applyAlignment="0"/>
    <xf numFmtId="0" fontId="164" fillId="0" borderId="0"/>
    <xf numFmtId="207" fontId="165" fillId="0" borderId="0"/>
    <xf numFmtId="0" fontId="166" fillId="0" borderId="0"/>
    <xf numFmtId="0" fontId="162" fillId="105" borderId="0" applyNumberFormat="0" applyBorder="0" applyAlignment="0"/>
    <xf numFmtId="0" fontId="167" fillId="0" borderId="0"/>
    <xf numFmtId="0" fontId="168" fillId="0" borderId="0"/>
    <xf numFmtId="0" fontId="169" fillId="0" borderId="0"/>
    <xf numFmtId="0" fontId="168" fillId="79" borderId="0"/>
    <xf numFmtId="0" fontId="16" fillId="0" borderId="0" applyNumberFormat="0" applyFill="0" applyBorder="0" applyAlignment="0" applyProtection="0"/>
    <xf numFmtId="0" fontId="170" fillId="71" borderId="48" applyNumberFormat="0">
      <alignment horizontal="left"/>
    </xf>
    <xf numFmtId="0" fontId="16" fillId="0" borderId="0" applyNumberFormat="0" applyFill="0" applyBorder="0" applyAlignment="0" applyProtection="0"/>
    <xf numFmtId="0" fontId="171" fillId="0" borderId="0" applyNumberFormat="0" applyFill="0" applyBorder="0" applyAlignment="0" applyProtection="0"/>
    <xf numFmtId="0" fontId="113" fillId="0" borderId="0" applyNumberFormat="0" applyFill="0" applyBorder="0" applyAlignment="0" applyProtection="0"/>
    <xf numFmtId="0" fontId="170"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9" fillId="0" borderId="0" applyFont="0" applyFill="0" applyBorder="0" applyAlignment="0" applyProtection="0"/>
    <xf numFmtId="235" fontId="139" fillId="0" borderId="0" applyFont="0" applyFill="0" applyBorder="0" applyAlignment="0" applyProtection="0"/>
    <xf numFmtId="236" fontId="139" fillId="0" borderId="0" applyFont="0" applyFill="0" applyBorder="0" applyAlignment="0" applyProtection="0"/>
    <xf numFmtId="237" fontId="139" fillId="0" borderId="0" applyFont="0" applyFill="0" applyBorder="0" applyAlignment="0" applyProtection="0"/>
    <xf numFmtId="238" fontId="139" fillId="0" borderId="0" applyFont="0" applyFill="0" applyBorder="0" applyAlignment="0" applyProtection="0"/>
    <xf numFmtId="239" fontId="139" fillId="0" borderId="0" applyFont="0" applyFill="0" applyBorder="0" applyAlignment="0" applyProtection="0"/>
    <xf numFmtId="240" fontId="139" fillId="0" borderId="0" applyFont="0" applyFill="0" applyBorder="0" applyAlignment="0" applyProtection="0"/>
    <xf numFmtId="241" fontId="139"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5"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5"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2" fillId="0" borderId="0"/>
    <xf numFmtId="44"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2" fillId="0" borderId="0" applyFont="0" applyFill="0" applyBorder="0" applyAlignment="0" applyProtection="0"/>
    <xf numFmtId="9" fontId="172"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88">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165" fontId="124" fillId="2" borderId="0" xfId="4"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8" fontId="7" fillId="2" borderId="0" xfId="5"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7" fontId="5" fillId="2" borderId="0" xfId="3" applyNumberFormat="1" applyFont="1" applyFill="1" applyBorder="1"/>
    <xf numFmtId="0" fontId="3" fillId="2" borderId="0" xfId="0" applyFont="1" applyFill="1" applyAlignment="1"/>
    <xf numFmtId="10" fontId="7" fillId="2" borderId="0" xfId="2" applyNumberFormat="1" applyFont="1" applyFill="1"/>
    <xf numFmtId="167" fontId="8" fillId="2" borderId="2" xfId="5" applyNumberFormat="1" applyFont="1" applyFill="1" applyBorder="1"/>
    <xf numFmtId="166" fontId="7" fillId="2" borderId="0" xfId="3" applyNumberFormat="1" applyFont="1" applyFill="1" applyAlignment="1">
      <alignment vertical="center" wrapText="1"/>
    </xf>
    <xf numFmtId="166" fontId="5" fillId="2" borderId="0" xfId="1" applyNumberFormat="1" applyFont="1" applyFill="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165" fontId="122" fillId="2" borderId="0" xfId="4" applyNumberFormat="1" applyFont="1" applyFill="1"/>
    <xf numFmtId="165" fontId="123" fillId="2" borderId="0" xfId="4" applyNumberFormat="1" applyFont="1" applyFill="1"/>
    <xf numFmtId="167" fontId="122" fillId="2" borderId="0" xfId="1" applyNumberFormat="1" applyFont="1" applyFill="1"/>
    <xf numFmtId="167" fontId="123" fillId="2" borderId="0" xfId="1" applyNumberFormat="1" applyFont="1" applyFill="1"/>
    <xf numFmtId="165" fontId="122" fillId="2" borderId="0" xfId="4" applyNumberFormat="1" applyFont="1" applyFill="1"/>
    <xf numFmtId="165" fontId="123"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1" applyNumberFormat="1" applyFont="1" applyFill="1"/>
    <xf numFmtId="0" fontId="0" fillId="0" borderId="0" xfId="0" applyFill="1"/>
    <xf numFmtId="10" fontId="7" fillId="2" borderId="0" xfId="2" applyNumberFormat="1" applyFont="1" applyFill="1"/>
    <xf numFmtId="166" fontId="5" fillId="2" borderId="0" xfId="3" applyNumberFormat="1" applyFont="1" applyFill="1"/>
    <xf numFmtId="167" fontId="8" fillId="2" borderId="2" xfId="5" applyNumberFormat="1" applyFont="1" applyFill="1" applyBorder="1"/>
    <xf numFmtId="167" fontId="122" fillId="2" borderId="0" xfId="1" applyNumberFormat="1" applyFont="1" applyFill="1"/>
    <xf numFmtId="167" fontId="123" fillId="2" borderId="0" xfId="1" applyNumberFormat="1" applyFont="1"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165" fontId="124" fillId="2" borderId="0" xfId="4" applyNumberFormat="1" applyFont="1" applyFill="1"/>
    <xf numFmtId="10" fontId="7" fillId="2" borderId="0" xfId="2"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0" fontId="7" fillId="2" borderId="0" xfId="2" applyNumberFormat="1" applyFont="1" applyFill="1"/>
    <xf numFmtId="167" fontId="8" fillId="2" borderId="2" xfId="5" applyNumberFormat="1" applyFont="1" applyFill="1" applyBorder="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0" fontId="3" fillId="2" borderId="0" xfId="3" applyFont="1" applyFill="1" applyAlignment="1">
      <alignment horizontal="center"/>
    </xf>
    <xf numFmtId="165" fontId="123" fillId="2" borderId="0" xfId="4" applyNumberFormat="1" applyFont="1" applyFill="1"/>
    <xf numFmtId="167" fontId="123" fillId="2" borderId="0" xfId="1" applyNumberFormat="1" applyFont="1" applyFill="1"/>
    <xf numFmtId="165" fontId="123" fillId="2" borderId="0" xfId="4" applyNumberFormat="1" applyFont="1" applyFill="1"/>
    <xf numFmtId="0" fontId="0" fillId="0" borderId="0" xfId="0"/>
    <xf numFmtId="10" fontId="7" fillId="2" borderId="0" xfId="2" applyNumberFormat="1" applyFont="1" applyFill="1"/>
    <xf numFmtId="167" fontId="123" fillId="2" borderId="0" xfId="1"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65" fontId="173" fillId="2" borderId="0" xfId="4" applyNumberFormat="1" applyFont="1" applyFill="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4" fillId="0" borderId="0" xfId="6" applyNumberFormat="1" applyFont="1" applyFill="1" applyAlignment="1">
      <alignment vertical="top"/>
    </xf>
    <xf numFmtId="166" fontId="174" fillId="0" borderId="0" xfId="0" applyNumberFormat="1" applyFont="1" applyFill="1" applyAlignment="1">
      <alignment vertical="top"/>
    </xf>
    <xf numFmtId="203" fontId="174"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U53"/>
  <sheetViews>
    <sheetView zoomScaleNormal="100" workbookViewId="0">
      <pane xSplit="3" ySplit="7" topLeftCell="D29" activePane="bottomRight" state="frozenSplit"/>
      <selection activeCell="D4" sqref="D1:L1048576"/>
      <selection pane="topRight" activeCell="D4" sqref="D1:L1048576"/>
      <selection pane="bottomLeft" activeCell="D4" sqref="D1:L1048576"/>
      <selection pane="bottomRight" activeCell="D4" sqref="D1:L1048576"/>
    </sheetView>
  </sheetViews>
  <sheetFormatPr defaultRowHeight="14.4"/>
  <cols>
    <col min="1" max="1" width="7.44140625" customWidth="1"/>
    <col min="2" max="2" width="33.5546875" customWidth="1"/>
    <col min="3" max="3" width="14.77734375" customWidth="1"/>
    <col min="4" max="4" width="12.44140625" hidden="1" customWidth="1"/>
    <col min="5" max="5" width="12.5546875" hidden="1" customWidth="1"/>
    <col min="6" max="6" width="12.44140625" hidden="1" customWidth="1"/>
    <col min="7" max="9" width="12.21875" hidden="1" customWidth="1"/>
    <col min="10" max="10" width="12.77734375" hidden="1" customWidth="1"/>
    <col min="11" max="11" width="13" hidden="1" customWidth="1"/>
    <col min="12" max="12" width="12.44140625" hidden="1" customWidth="1"/>
    <col min="13" max="13" width="12.6640625" customWidth="1"/>
    <col min="14" max="14" width="12.77734375" customWidth="1"/>
    <col min="15" max="15" width="12.5546875" customWidth="1"/>
    <col min="16" max="16" width="12.88671875" style="85" customWidth="1"/>
    <col min="17" max="17" width="12.88671875" style="59" customWidth="1"/>
    <col min="18" max="18" width="12" style="85" customWidth="1"/>
    <col min="19" max="19" width="12" style="147" customWidth="1"/>
    <col min="20" max="20" width="13.33203125" customWidth="1"/>
    <col min="21" max="21" width="9" bestFit="1" customWidth="1"/>
  </cols>
  <sheetData>
    <row r="1" spans="1:21" ht="15.6">
      <c r="A1" s="181" t="s">
        <v>0</v>
      </c>
      <c r="B1" s="181"/>
      <c r="C1" s="181"/>
      <c r="D1" s="181"/>
      <c r="E1" s="181"/>
      <c r="F1" s="181"/>
      <c r="G1" s="181"/>
      <c r="H1" s="181"/>
      <c r="I1" s="181"/>
      <c r="J1" s="181"/>
      <c r="K1" s="181"/>
      <c r="L1" s="181"/>
      <c r="M1" s="181"/>
      <c r="N1" s="181"/>
      <c r="O1" s="181"/>
      <c r="P1" s="181"/>
      <c r="Q1" s="181"/>
      <c r="R1" s="181"/>
      <c r="S1" s="181"/>
      <c r="T1" s="181"/>
    </row>
    <row r="2" spans="1:21" ht="17.399999999999999">
      <c r="A2" s="182" t="s">
        <v>44</v>
      </c>
      <c r="B2" s="182"/>
      <c r="C2" s="182"/>
      <c r="D2" s="182"/>
      <c r="E2" s="182"/>
      <c r="F2" s="182"/>
      <c r="G2" s="182"/>
      <c r="H2" s="182"/>
      <c r="I2" s="182"/>
      <c r="J2" s="182"/>
      <c r="K2" s="182"/>
      <c r="L2" s="182"/>
      <c r="M2" s="182"/>
      <c r="N2" s="182"/>
      <c r="O2" s="182"/>
      <c r="P2" s="182"/>
      <c r="Q2" s="182"/>
      <c r="R2" s="182"/>
      <c r="S2" s="182"/>
      <c r="T2" s="182"/>
    </row>
    <row r="3" spans="1:21" ht="15.6">
      <c r="A3" s="183" t="s">
        <v>45</v>
      </c>
      <c r="B3" s="183"/>
      <c r="C3" s="183"/>
      <c r="D3" s="183"/>
      <c r="E3" s="183"/>
      <c r="F3" s="183"/>
      <c r="G3" s="183"/>
      <c r="H3" s="183"/>
      <c r="I3" s="183"/>
      <c r="J3" s="183"/>
      <c r="K3" s="183"/>
      <c r="L3" s="183"/>
      <c r="M3" s="183"/>
      <c r="N3" s="183"/>
      <c r="O3" s="183"/>
      <c r="P3" s="183"/>
      <c r="Q3" s="183"/>
      <c r="R3" s="183"/>
      <c r="S3" s="183"/>
      <c r="T3" s="183"/>
    </row>
    <row r="4" spans="1:21" ht="15.6">
      <c r="A4" s="30"/>
      <c r="B4" s="31"/>
      <c r="C4" s="31"/>
      <c r="D4" s="32"/>
      <c r="E4" s="32"/>
      <c r="F4" s="31"/>
      <c r="G4" s="31"/>
      <c r="H4" s="31"/>
      <c r="I4" s="31"/>
      <c r="J4" s="31"/>
      <c r="K4" s="31"/>
      <c r="L4" s="31"/>
      <c r="M4" s="31"/>
      <c r="N4" s="31"/>
      <c r="O4" s="31"/>
      <c r="P4" s="71"/>
      <c r="Q4" s="71"/>
      <c r="R4" s="71"/>
      <c r="S4" s="71"/>
      <c r="T4" s="2"/>
    </row>
    <row r="5" spans="1:21" ht="27">
      <c r="A5" s="2"/>
      <c r="B5" s="2"/>
      <c r="C5" s="2"/>
      <c r="D5" s="32" t="s">
        <v>3</v>
      </c>
      <c r="E5" s="32" t="s">
        <v>3</v>
      </c>
      <c r="F5" s="2"/>
      <c r="G5" s="2"/>
      <c r="H5" s="2"/>
      <c r="I5" s="2"/>
      <c r="J5" s="2"/>
      <c r="K5" s="2"/>
      <c r="L5" s="2"/>
      <c r="M5" s="2"/>
      <c r="N5" s="2"/>
      <c r="O5" s="2"/>
      <c r="P5" s="123" t="s">
        <v>117</v>
      </c>
      <c r="Q5" s="123" t="s">
        <v>86</v>
      </c>
      <c r="R5" s="123" t="s">
        <v>116</v>
      </c>
      <c r="S5" s="123" t="s">
        <v>119</v>
      </c>
      <c r="T5" s="123" t="s">
        <v>120</v>
      </c>
    </row>
    <row r="6" spans="1:21"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54" t="s">
        <v>6</v>
      </c>
      <c r="Q6" s="54" t="s">
        <v>6</v>
      </c>
      <c r="R6" s="54" t="s">
        <v>6</v>
      </c>
      <c r="S6" s="54" t="s">
        <v>6</v>
      </c>
      <c r="T6" s="7" t="s">
        <v>6</v>
      </c>
    </row>
    <row r="7" spans="1:21">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87"/>
      <c r="Q7" s="61"/>
      <c r="R7" s="87"/>
      <c r="S7" s="132"/>
      <c r="T7" s="8" t="s">
        <v>21</v>
      </c>
    </row>
    <row r="8" spans="1:21">
      <c r="A8" s="8"/>
      <c r="B8" s="3" t="s">
        <v>22</v>
      </c>
      <c r="C8" s="8"/>
      <c r="D8" s="8"/>
      <c r="E8" s="8"/>
      <c r="F8" s="8"/>
      <c r="G8" s="8"/>
      <c r="H8" s="8"/>
      <c r="I8" s="8"/>
      <c r="J8" s="8"/>
      <c r="K8" s="8"/>
      <c r="L8" s="8"/>
      <c r="M8" s="8"/>
      <c r="N8" s="8"/>
      <c r="O8" s="8"/>
      <c r="P8" s="87"/>
      <c r="Q8" s="61"/>
      <c r="R8" s="87"/>
      <c r="S8" s="132"/>
      <c r="T8" s="2"/>
    </row>
    <row r="9" spans="1:21">
      <c r="A9" s="8">
        <v>1</v>
      </c>
      <c r="B9" s="2" t="s">
        <v>23</v>
      </c>
      <c r="C9" s="8" t="s">
        <v>24</v>
      </c>
      <c r="D9" s="9">
        <v>207224</v>
      </c>
      <c r="E9" s="9">
        <v>207250</v>
      </c>
      <c r="F9" s="9">
        <v>206422</v>
      </c>
      <c r="G9" s="55">
        <v>206679</v>
      </c>
      <c r="H9" s="55">
        <v>206185</v>
      </c>
      <c r="I9" s="55">
        <v>206224</v>
      </c>
      <c r="J9" s="126">
        <v>207030</v>
      </c>
      <c r="K9" s="126">
        <v>206682</v>
      </c>
      <c r="L9" s="126">
        <v>207742</v>
      </c>
      <c r="M9" s="141">
        <v>208615</v>
      </c>
      <c r="N9" s="141">
        <v>208228</v>
      </c>
      <c r="O9" s="141">
        <v>210165</v>
      </c>
      <c r="P9" s="89">
        <f>SUM(D9:F9)</f>
        <v>620896</v>
      </c>
      <c r="Q9" s="64">
        <f>SUM(G9:I9)</f>
        <v>619088</v>
      </c>
      <c r="R9" s="89">
        <f>SUM(J9:L9)</f>
        <v>621454</v>
      </c>
      <c r="S9" s="135">
        <f>SUM(M9:O9)</f>
        <v>627008</v>
      </c>
      <c r="T9" s="33">
        <f>SUM(D9:O9)</f>
        <v>2488446</v>
      </c>
    </row>
    <row r="10" spans="1:21" ht="26.4">
      <c r="A10" s="34">
        <f t="shared" ref="A10:A42" si="1">A9+1</f>
        <v>2</v>
      </c>
      <c r="B10" s="35" t="s">
        <v>25</v>
      </c>
      <c r="C10" s="10" t="s">
        <v>46</v>
      </c>
      <c r="D10" s="36">
        <v>78.809318650824423</v>
      </c>
      <c r="E10" s="36">
        <v>69.941481960984561</v>
      </c>
      <c r="F10" s="36">
        <v>64.345815043164464</v>
      </c>
      <c r="G10" s="36">
        <v>51.01990701924457</v>
      </c>
      <c r="H10" s="36">
        <v>47.063799760088948</v>
      </c>
      <c r="I10" s="36">
        <v>44.921736331003189</v>
      </c>
      <c r="J10" s="36">
        <v>51.178827370287053</v>
      </c>
      <c r="K10" s="36">
        <v>54.246921456412629</v>
      </c>
      <c r="L10" s="36">
        <v>45.858943541371545</v>
      </c>
      <c r="M10" s="36">
        <v>52.532862039130649</v>
      </c>
      <c r="N10" s="36">
        <v>65.528007877298535</v>
      </c>
      <c r="O10" s="36">
        <v>83.062378950189284</v>
      </c>
      <c r="P10" s="74">
        <f>P11/P9</f>
        <v>71.040796232142881</v>
      </c>
      <c r="Q10" s="74">
        <f>Q11/Q9</f>
        <v>47.670982266639299</v>
      </c>
      <c r="R10" s="74">
        <f>R11/R9</f>
        <v>50.420857376565941</v>
      </c>
      <c r="S10" s="74">
        <f>S11/S9</f>
        <v>67.081622420501645</v>
      </c>
      <c r="T10" s="36">
        <f>T11/T9</f>
        <v>59.079617037127619</v>
      </c>
      <c r="U10" s="156"/>
    </row>
    <row r="11" spans="1:21">
      <c r="A11" s="8">
        <f t="shared" si="1"/>
        <v>3</v>
      </c>
      <c r="B11" s="2" t="s">
        <v>27</v>
      </c>
      <c r="C11" s="8" t="str">
        <f>"("&amp;A9&amp;") x ("&amp;A10&amp;")"</f>
        <v>(1) x (2)</v>
      </c>
      <c r="D11" s="13">
        <f t="shared" ref="D11:O11" si="2">D9*D10</f>
        <v>16331182.24809844</v>
      </c>
      <c r="E11" s="13">
        <f t="shared" si="2"/>
        <v>14495372.136414051</v>
      </c>
      <c r="F11" s="13">
        <f t="shared" si="2"/>
        <v>13282391.832840094</v>
      </c>
      <c r="G11" s="13">
        <f t="shared" si="2"/>
        <v>10544743.362830449</v>
      </c>
      <c r="H11" s="13">
        <f t="shared" si="2"/>
        <v>9703849.5535339396</v>
      </c>
      <c r="I11" s="13">
        <f t="shared" si="2"/>
        <v>9263940.1531248018</v>
      </c>
      <c r="J11" s="13">
        <f t="shared" si="2"/>
        <v>10595552.630470529</v>
      </c>
      <c r="K11" s="13">
        <f t="shared" si="2"/>
        <v>11211862.220454276</v>
      </c>
      <c r="L11" s="13">
        <f t="shared" si="2"/>
        <v>9526828.6491716076</v>
      </c>
      <c r="M11" s="13">
        <f t="shared" si="2"/>
        <v>10959143.01429324</v>
      </c>
      <c r="N11" s="13">
        <f t="shared" si="2"/>
        <v>13644766.02427412</v>
      </c>
      <c r="O11" s="13">
        <f t="shared" si="2"/>
        <v>17456804.872066531</v>
      </c>
      <c r="P11" s="90">
        <f>SUM(D11:F11)</f>
        <v>44108946.217352584</v>
      </c>
      <c r="Q11" s="65">
        <f>SUM(G11:I11)</f>
        <v>29512533.069489188</v>
      </c>
      <c r="R11" s="90">
        <f>SUM(J11:L11)</f>
        <v>31334243.500096411</v>
      </c>
      <c r="S11" s="136">
        <f>SUM(M11:O11)</f>
        <v>42060713.910633892</v>
      </c>
      <c r="T11" s="37">
        <f>SUM(D11:O11)</f>
        <v>147016436.69757208</v>
      </c>
    </row>
    <row r="12" spans="1:21">
      <c r="A12" s="8"/>
      <c r="B12" s="2"/>
      <c r="C12" s="8"/>
      <c r="D12" s="14"/>
      <c r="E12" s="14"/>
      <c r="F12" s="14"/>
      <c r="G12" s="14"/>
      <c r="H12" s="14"/>
      <c r="I12" s="14"/>
      <c r="J12" s="14"/>
      <c r="K12" s="14"/>
      <c r="L12" s="14"/>
      <c r="M12" s="14"/>
      <c r="N12" s="14"/>
      <c r="O12" s="14"/>
      <c r="P12" s="88"/>
      <c r="Q12" s="62"/>
      <c r="R12" s="88"/>
      <c r="S12" s="133"/>
      <c r="T12" s="2"/>
    </row>
    <row r="13" spans="1:21" hidden="1">
      <c r="A13" s="8"/>
      <c r="B13" s="2"/>
      <c r="C13" s="8"/>
      <c r="D13" s="14"/>
      <c r="E13" s="14"/>
      <c r="F13" s="14"/>
      <c r="G13" s="14"/>
      <c r="H13" s="14"/>
      <c r="I13" s="14"/>
      <c r="J13" s="14"/>
      <c r="K13" s="14"/>
      <c r="L13" s="14"/>
      <c r="M13" s="14"/>
      <c r="N13" s="14"/>
      <c r="O13" s="14"/>
      <c r="P13" s="88"/>
      <c r="Q13" s="62"/>
      <c r="R13" s="88"/>
      <c r="S13" s="133"/>
      <c r="T13" s="2"/>
    </row>
    <row r="14" spans="1:21">
      <c r="A14" s="8">
        <v>4</v>
      </c>
      <c r="B14" s="2" t="s">
        <v>47</v>
      </c>
      <c r="C14" s="8" t="s">
        <v>24</v>
      </c>
      <c r="D14" s="13">
        <v>25101844.505918302</v>
      </c>
      <c r="E14" s="13">
        <v>17879887.201779999</v>
      </c>
      <c r="F14" s="13">
        <v>17559759.671609998</v>
      </c>
      <c r="G14" s="57">
        <v>15694519.05022</v>
      </c>
      <c r="H14" s="57">
        <v>13097132.782890001</v>
      </c>
      <c r="I14" s="57">
        <v>14889106.69554</v>
      </c>
      <c r="J14" s="129">
        <v>19331800.532899998</v>
      </c>
      <c r="K14" s="129">
        <v>17006511.33876</v>
      </c>
      <c r="L14" s="129">
        <v>13586942.977359999</v>
      </c>
      <c r="M14" s="142">
        <v>13096809.934110001</v>
      </c>
      <c r="N14" s="142">
        <v>18959163.898150001</v>
      </c>
      <c r="O14" s="142">
        <v>23830695.089320004</v>
      </c>
      <c r="P14" s="90"/>
      <c r="Q14" s="65"/>
      <c r="R14" s="90"/>
      <c r="S14" s="136"/>
      <c r="T14" s="37"/>
    </row>
    <row r="15" spans="1:21">
      <c r="A15" s="8">
        <v>5</v>
      </c>
      <c r="B15" s="2" t="s">
        <v>48</v>
      </c>
      <c r="C15" s="8" t="s">
        <v>24</v>
      </c>
      <c r="D15" s="13">
        <v>1761404</v>
      </c>
      <c r="E15" s="13">
        <v>1761625</v>
      </c>
      <c r="F15" s="13">
        <v>1754587</v>
      </c>
      <c r="G15" s="57">
        <v>1756771.5</v>
      </c>
      <c r="H15" s="57">
        <v>1752572.5</v>
      </c>
      <c r="I15" s="57">
        <v>1752904</v>
      </c>
      <c r="J15" s="129">
        <v>1821149.5</v>
      </c>
      <c r="K15" s="129">
        <v>1819598</v>
      </c>
      <c r="L15" s="129">
        <v>1819259.5</v>
      </c>
      <c r="M15" s="142">
        <v>1819348.5</v>
      </c>
      <c r="N15" s="142">
        <v>1806884</v>
      </c>
      <c r="O15" s="142">
        <v>1823573</v>
      </c>
      <c r="P15" s="90"/>
      <c r="Q15" s="65"/>
      <c r="R15" s="90"/>
      <c r="S15" s="136"/>
      <c r="T15" s="37"/>
    </row>
    <row r="16" spans="1:21">
      <c r="A16" s="8">
        <v>6</v>
      </c>
      <c r="B16" s="15" t="s">
        <v>49</v>
      </c>
      <c r="C16" s="8" t="s">
        <v>24</v>
      </c>
      <c r="D16" s="9">
        <v>273966953</v>
      </c>
      <c r="E16" s="9">
        <v>197618642</v>
      </c>
      <c r="F16" s="9">
        <v>196511929</v>
      </c>
      <c r="G16" s="56">
        <v>174058158</v>
      </c>
      <c r="H16" s="56">
        <v>144371121</v>
      </c>
      <c r="I16" s="56">
        <v>166807706</v>
      </c>
      <c r="J16" s="128">
        <v>215398297</v>
      </c>
      <c r="K16" s="128">
        <v>186598692</v>
      </c>
      <c r="L16" s="128">
        <v>148639680</v>
      </c>
      <c r="M16" s="141">
        <v>144517723</v>
      </c>
      <c r="N16" s="141">
        <v>213318297</v>
      </c>
      <c r="O16" s="141">
        <v>261492406</v>
      </c>
      <c r="P16" s="89"/>
      <c r="Q16" s="64"/>
      <c r="R16" s="89"/>
      <c r="S16" s="135"/>
      <c r="T16" s="9"/>
    </row>
    <row r="17" spans="1:20">
      <c r="A17" s="8">
        <v>7</v>
      </c>
      <c r="B17" s="2" t="s">
        <v>50</v>
      </c>
      <c r="C17" s="8" t="s">
        <v>51</v>
      </c>
      <c r="D17" s="38">
        <v>2.1080000000000002E-2</v>
      </c>
      <c r="E17" s="38">
        <v>2.1080000000000002E-2</v>
      </c>
      <c r="F17" s="38">
        <v>2.1080000000000002E-2</v>
      </c>
      <c r="G17" s="38">
        <v>2.1080000000000002E-2</v>
      </c>
      <c r="H17" s="38">
        <v>2.1080000000000002E-2</v>
      </c>
      <c r="I17" s="38">
        <v>2.1080000000000002E-2</v>
      </c>
      <c r="J17" s="38">
        <v>2.1080000000000002E-2</v>
      </c>
      <c r="K17" s="38">
        <v>2.1080000000000002E-2</v>
      </c>
      <c r="L17" s="38">
        <v>2.1080000000000002E-2</v>
      </c>
      <c r="M17" s="38">
        <v>2.1080000000000002E-2</v>
      </c>
      <c r="N17" s="38">
        <v>2.1080000000000002E-2</v>
      </c>
      <c r="O17" s="38">
        <v>2.1080000000000002E-2</v>
      </c>
      <c r="P17" s="66"/>
      <c r="Q17" s="66"/>
      <c r="R17" s="66"/>
      <c r="S17" s="66"/>
      <c r="T17" s="39"/>
    </row>
    <row r="18" spans="1:20">
      <c r="A18" s="8">
        <v>8</v>
      </c>
      <c r="B18" s="2" t="s">
        <v>52</v>
      </c>
      <c r="C18" s="8" t="str">
        <f>"("&amp;A16&amp;") x ("&amp;A17&amp;")"</f>
        <v>(6) x (7)</v>
      </c>
      <c r="D18" s="13">
        <f t="shared" ref="D18:O18" si="3">D16*D17</f>
        <v>5775223.3692400008</v>
      </c>
      <c r="E18" s="13">
        <f t="shared" si="3"/>
        <v>4165800.9733600002</v>
      </c>
      <c r="F18" s="13">
        <f t="shared" si="3"/>
        <v>4142471.4633200001</v>
      </c>
      <c r="G18" s="13">
        <f t="shared" si="3"/>
        <v>3669145.9706400004</v>
      </c>
      <c r="H18" s="13">
        <f t="shared" si="3"/>
        <v>3043343.23068</v>
      </c>
      <c r="I18" s="13">
        <f t="shared" si="3"/>
        <v>3516306.4424800002</v>
      </c>
      <c r="J18" s="13">
        <f t="shared" si="3"/>
        <v>4540596.1007600008</v>
      </c>
      <c r="K18" s="13">
        <f t="shared" si="3"/>
        <v>3933500.4273600001</v>
      </c>
      <c r="L18" s="13">
        <f t="shared" si="3"/>
        <v>3133324.4544000002</v>
      </c>
      <c r="M18" s="13">
        <f t="shared" si="3"/>
        <v>3046433.6008400004</v>
      </c>
      <c r="N18" s="13">
        <f t="shared" si="3"/>
        <v>4496749.7007600004</v>
      </c>
      <c r="O18" s="13">
        <f t="shared" si="3"/>
        <v>5512259.9184800005</v>
      </c>
      <c r="P18" s="90"/>
      <c r="Q18" s="65"/>
      <c r="R18" s="90"/>
      <c r="S18" s="136"/>
      <c r="T18" s="37"/>
    </row>
    <row r="19" spans="1:20">
      <c r="A19" s="8">
        <v>9</v>
      </c>
      <c r="B19" s="2" t="s">
        <v>30</v>
      </c>
      <c r="C19" s="8" t="str">
        <f>"("&amp;A14&amp;") - ("&amp;A15&amp;") -("&amp;A18&amp;")"</f>
        <v>(4) - (5) -(8)</v>
      </c>
      <c r="D19" s="13">
        <f>D14-D15-D18</f>
        <v>17565217.136678301</v>
      </c>
      <c r="E19" s="13">
        <f t="shared" ref="E19:O19" si="4">E14-E15-E18</f>
        <v>11952461.228419999</v>
      </c>
      <c r="F19" s="13">
        <f t="shared" si="4"/>
        <v>11662701.208289998</v>
      </c>
      <c r="G19" s="13">
        <f t="shared" si="4"/>
        <v>10268601.57958</v>
      </c>
      <c r="H19" s="13">
        <f t="shared" si="4"/>
        <v>8301217.0522100013</v>
      </c>
      <c r="I19" s="13">
        <f t="shared" si="4"/>
        <v>9619896.25306</v>
      </c>
      <c r="J19" s="13">
        <f t="shared" si="4"/>
        <v>12970054.932139996</v>
      </c>
      <c r="K19" s="13">
        <f t="shared" si="4"/>
        <v>11253412.9114</v>
      </c>
      <c r="L19" s="13">
        <f t="shared" si="4"/>
        <v>8634359.0229599997</v>
      </c>
      <c r="M19" s="13">
        <f t="shared" si="4"/>
        <v>8231027.8332700003</v>
      </c>
      <c r="N19" s="13">
        <f t="shared" si="4"/>
        <v>12655530.197390001</v>
      </c>
      <c r="O19" s="13">
        <f t="shared" si="4"/>
        <v>16494862.170840003</v>
      </c>
      <c r="P19" s="90">
        <f>SUM(D19:F19)</f>
        <v>41180379.573388293</v>
      </c>
      <c r="Q19" s="65">
        <f>SUM(G19:I19)</f>
        <v>28189714.884850003</v>
      </c>
      <c r="R19" s="90">
        <f>SUM(J19:L19)</f>
        <v>32857826.866499998</v>
      </c>
      <c r="S19" s="136">
        <f>SUM(M19:O19)</f>
        <v>37381420.201500006</v>
      </c>
      <c r="T19" s="37">
        <f>SUM(D19:O19)</f>
        <v>139609341.52623829</v>
      </c>
    </row>
    <row r="20" spans="1:20">
      <c r="A20" s="8"/>
      <c r="B20" s="17" t="s">
        <v>31</v>
      </c>
      <c r="C20" s="8"/>
      <c r="D20" s="40">
        <f>D19/D9</f>
        <v>84.764395710334227</v>
      </c>
      <c r="E20" s="40">
        <f t="shared" ref="E20:T20" si="5">E19/E9</f>
        <v>57.671706771628465</v>
      </c>
      <c r="F20" s="40">
        <f t="shared" si="5"/>
        <v>56.499313097877156</v>
      </c>
      <c r="G20" s="40">
        <f t="shared" si="5"/>
        <v>49.683816834705027</v>
      </c>
      <c r="H20" s="40">
        <f t="shared" si="5"/>
        <v>40.261013421005416</v>
      </c>
      <c r="I20" s="40">
        <f t="shared" si="5"/>
        <v>46.64780167710839</v>
      </c>
      <c r="J20" s="40">
        <f t="shared" si="5"/>
        <v>62.648190755639263</v>
      </c>
      <c r="K20" s="40">
        <f t="shared" si="5"/>
        <v>54.447958271160523</v>
      </c>
      <c r="L20" s="40">
        <f t="shared" si="5"/>
        <v>41.562895432603902</v>
      </c>
      <c r="M20" s="40">
        <f t="shared" si="5"/>
        <v>39.455589642499341</v>
      </c>
      <c r="N20" s="40">
        <f t="shared" si="5"/>
        <v>60.777273937174641</v>
      </c>
      <c r="O20" s="40">
        <f t="shared" si="5"/>
        <v>78.48529570023554</v>
      </c>
      <c r="P20" s="75">
        <f t="shared" ref="P20" si="6">P19/P9</f>
        <v>66.324118005895173</v>
      </c>
      <c r="Q20" s="75">
        <f t="shared" si="5"/>
        <v>45.53426150216125</v>
      </c>
      <c r="R20" s="75">
        <f t="shared" ref="R20:S20" si="7">R19/R9</f>
        <v>52.872500404696083</v>
      </c>
      <c r="S20" s="75">
        <f t="shared" si="7"/>
        <v>59.618729269004554</v>
      </c>
      <c r="T20" s="40">
        <f t="shared" si="5"/>
        <v>56.103022338535091</v>
      </c>
    </row>
    <row r="21" spans="1:20">
      <c r="A21" s="8">
        <v>10</v>
      </c>
      <c r="B21" s="2" t="s">
        <v>32</v>
      </c>
      <c r="C21" s="8" t="str">
        <f>"("&amp;A$11&amp;") - ("&amp;A19&amp;")"</f>
        <v>(3) - (9)</v>
      </c>
      <c r="D21" s="13">
        <f>D11-D19</f>
        <v>-1234034.8885798603</v>
      </c>
      <c r="E21" s="13">
        <f t="shared" ref="E21:O21" si="8">E11-E19</f>
        <v>2542910.9079940524</v>
      </c>
      <c r="F21" s="13">
        <f t="shared" si="8"/>
        <v>1619690.6245500967</v>
      </c>
      <c r="G21" s="13">
        <f t="shared" si="8"/>
        <v>276141.78325044923</v>
      </c>
      <c r="H21" s="13">
        <f t="shared" si="8"/>
        <v>1402632.5013239384</v>
      </c>
      <c r="I21" s="13">
        <f t="shared" si="8"/>
        <v>-355956.0999351982</v>
      </c>
      <c r="J21" s="13">
        <f t="shared" si="8"/>
        <v>-2374502.3016694672</v>
      </c>
      <c r="K21" s="13">
        <f t="shared" si="8"/>
        <v>-41550.690945724025</v>
      </c>
      <c r="L21" s="13">
        <f t="shared" si="8"/>
        <v>892469.62621160783</v>
      </c>
      <c r="M21" s="13">
        <f t="shared" si="8"/>
        <v>2728115.1810232401</v>
      </c>
      <c r="N21" s="13">
        <f t="shared" si="8"/>
        <v>989235.82688411884</v>
      </c>
      <c r="O21" s="13">
        <f t="shared" si="8"/>
        <v>961942.70122652873</v>
      </c>
      <c r="P21" s="90">
        <f>SUM(D21:F21)</f>
        <v>2928566.6439642888</v>
      </c>
      <c r="Q21" s="65">
        <f t="shared" ref="Q21:Q22" si="9">SUM(G21:I21)</f>
        <v>1322818.1846391894</v>
      </c>
      <c r="R21" s="90">
        <f>SUM(J21:L21)</f>
        <v>-1523583.3664035834</v>
      </c>
      <c r="S21" s="136">
        <f>SUM(M21:O21)</f>
        <v>4679293.7091338877</v>
      </c>
      <c r="T21" s="37">
        <f>SUM(D21:O21)</f>
        <v>7407095.1713337824</v>
      </c>
    </row>
    <row r="22" spans="1:20">
      <c r="A22" s="8">
        <v>11</v>
      </c>
      <c r="B22" s="2" t="s">
        <v>33</v>
      </c>
      <c r="C22" s="41" t="s">
        <v>34</v>
      </c>
      <c r="D22" s="13">
        <f>D21*-0.045395</f>
        <v>56019.013767082753</v>
      </c>
      <c r="E22" s="13">
        <f>E21*-0.045395</f>
        <v>-115435.44066839</v>
      </c>
      <c r="F22" s="13">
        <f t="shared" ref="F22:N22" si="10">F21*-0.045395</f>
        <v>-73525.855901451636</v>
      </c>
      <c r="G22" s="13">
        <f t="shared" si="10"/>
        <v>-12535.456250654142</v>
      </c>
      <c r="H22" s="13">
        <f t="shared" si="10"/>
        <v>-63672.502397600176</v>
      </c>
      <c r="I22" s="13">
        <f t="shared" si="10"/>
        <v>16158.627156558321</v>
      </c>
      <c r="J22" s="13">
        <f t="shared" si="10"/>
        <v>107790.53198428547</v>
      </c>
      <c r="K22" s="13">
        <f t="shared" si="10"/>
        <v>1886.1936154811419</v>
      </c>
      <c r="L22" s="13">
        <f t="shared" si="10"/>
        <v>-40513.658681875939</v>
      </c>
      <c r="M22" s="13">
        <f t="shared" si="10"/>
        <v>-123842.78864254997</v>
      </c>
      <c r="N22" s="13">
        <f t="shared" si="10"/>
        <v>-44906.360361404571</v>
      </c>
      <c r="O22" s="13">
        <f>O21*-0.045395</f>
        <v>-43667.388922178267</v>
      </c>
      <c r="P22" s="90">
        <f>SUM(D22:F22)</f>
        <v>-132942.28280275888</v>
      </c>
      <c r="Q22" s="65">
        <f t="shared" si="9"/>
        <v>-60049.331491696001</v>
      </c>
      <c r="R22" s="90">
        <f>SUM(J22:L22)</f>
        <v>69163.066917890668</v>
      </c>
      <c r="S22" s="136">
        <f>SUM(M22:O22)</f>
        <v>-212416.53792613282</v>
      </c>
      <c r="T22" s="37">
        <f>SUM(D22:O22)</f>
        <v>-336245.08530269697</v>
      </c>
    </row>
    <row r="23" spans="1:20">
      <c r="A23" s="8"/>
      <c r="B23" s="2"/>
      <c r="C23" s="8" t="s">
        <v>35</v>
      </c>
      <c r="D23" s="19">
        <v>3.2500000000000001E-2</v>
      </c>
      <c r="E23" s="19">
        <f>D23</f>
        <v>3.2500000000000001E-2</v>
      </c>
      <c r="F23" s="19">
        <f>E23</f>
        <v>3.2500000000000001E-2</v>
      </c>
      <c r="G23" s="19">
        <f>F23</f>
        <v>3.2500000000000001E-2</v>
      </c>
      <c r="H23" s="19">
        <f t="shared" ref="H23:O23" si="11">G23</f>
        <v>3.2500000000000001E-2</v>
      </c>
      <c r="I23" s="19">
        <f t="shared" si="11"/>
        <v>3.2500000000000001E-2</v>
      </c>
      <c r="J23" s="127">
        <f t="shared" ref="J23" si="12">I23</f>
        <v>3.2500000000000001E-2</v>
      </c>
      <c r="K23" s="127">
        <f t="shared" ref="K23" si="13">J23</f>
        <v>3.2500000000000001E-2</v>
      </c>
      <c r="L23" s="127">
        <f t="shared" ref="L23" si="14">K23</f>
        <v>3.2500000000000001E-2</v>
      </c>
      <c r="M23" s="19">
        <f>L23</f>
        <v>3.2500000000000001E-2</v>
      </c>
      <c r="N23" s="19">
        <f t="shared" si="11"/>
        <v>3.2500000000000001E-2</v>
      </c>
      <c r="O23" s="19">
        <f t="shared" si="11"/>
        <v>3.2500000000000001E-2</v>
      </c>
      <c r="P23" s="93"/>
      <c r="Q23" s="72"/>
      <c r="R23" s="93"/>
      <c r="S23" s="148"/>
      <c r="T23" s="37"/>
    </row>
    <row r="24" spans="1:20">
      <c r="A24" s="8">
        <v>12</v>
      </c>
      <c r="B24" s="2" t="s">
        <v>36</v>
      </c>
      <c r="C24" s="42" t="s">
        <v>41</v>
      </c>
      <c r="D24" s="20">
        <f>(D21+D22)/2*D23/12</f>
        <v>-1595.2298304756366</v>
      </c>
      <c r="E24" s="20">
        <f>(D27+(E21+E22)/2)*0.0325/12</f>
        <v>92.426286928023728</v>
      </c>
      <c r="F24" s="20">
        <f>(E27+(F21+F22)/2)*F23/12</f>
        <v>5473.6477610036627</v>
      </c>
      <c r="G24" s="20">
        <f t="shared" ref="G24:O24" si="15">(F27+(G21+G22)/2)*G23/12</f>
        <v>7939.2039157136423</v>
      </c>
      <c r="H24" s="20">
        <f t="shared" si="15"/>
        <v>10130.84782601034</v>
      </c>
      <c r="I24" s="20">
        <f t="shared" si="15"/>
        <v>11511.318126364125</v>
      </c>
      <c r="J24" s="20">
        <f t="shared" si="15"/>
        <v>8012.84668045327</v>
      </c>
      <c r="K24" s="20">
        <f t="shared" si="15"/>
        <v>4911.3302786294444</v>
      </c>
      <c r="L24" s="20">
        <f t="shared" si="15"/>
        <v>6024.6098306958738</v>
      </c>
      <c r="M24" s="20">
        <f t="shared" si="15"/>
        <v>10721.235719699371</v>
      </c>
      <c r="N24" s="20">
        <f t="shared" si="15"/>
        <v>15555.670750371915</v>
      </c>
      <c r="O24" s="20">
        <f t="shared" si="15"/>
        <v>18120.077996649157</v>
      </c>
      <c r="P24" s="90">
        <f>SUM(D24:F24)</f>
        <v>3970.8442174560496</v>
      </c>
      <c r="Q24" s="65">
        <f>SUM(G24:I24)</f>
        <v>29581.369868088106</v>
      </c>
      <c r="R24" s="90">
        <f>SUM(J24:L24)</f>
        <v>18948.786789778587</v>
      </c>
      <c r="S24" s="136">
        <f>SUM(M24:O24)</f>
        <v>44396.984466720445</v>
      </c>
      <c r="T24" s="37">
        <f>SUM(D24:O24)</f>
        <v>96897.985342043175</v>
      </c>
    </row>
    <row r="25" spans="1:20">
      <c r="A25" s="3"/>
      <c r="B25" s="21" t="s">
        <v>37</v>
      </c>
      <c r="C25" s="3"/>
      <c r="D25" s="22">
        <f>D21+D22+D24</f>
        <v>-1179611.1046432531</v>
      </c>
      <c r="E25" s="22">
        <f t="shared" ref="E25:T25" si="16">E21+E22+E24</f>
        <v>2427567.8936125902</v>
      </c>
      <c r="F25" s="22">
        <f t="shared" si="16"/>
        <v>1551638.4164096487</v>
      </c>
      <c r="G25" s="22">
        <f t="shared" si="16"/>
        <v>271545.53091550875</v>
      </c>
      <c r="H25" s="22">
        <f t="shared" si="16"/>
        <v>1349090.8467523486</v>
      </c>
      <c r="I25" s="22">
        <f t="shared" si="16"/>
        <v>-328286.15465227573</v>
      </c>
      <c r="J25" s="22">
        <f t="shared" si="16"/>
        <v>-2258698.9230047287</v>
      </c>
      <c r="K25" s="22">
        <f t="shared" si="16"/>
        <v>-34753.16705161344</v>
      </c>
      <c r="L25" s="22">
        <f t="shared" si="16"/>
        <v>857980.57736042782</v>
      </c>
      <c r="M25" s="22">
        <f t="shared" si="16"/>
        <v>2614993.6281003896</v>
      </c>
      <c r="N25" s="22">
        <f t="shared" si="16"/>
        <v>959885.13727308612</v>
      </c>
      <c r="O25" s="22">
        <f t="shared" si="16"/>
        <v>936395.39030099963</v>
      </c>
      <c r="P25" s="95">
        <f t="shared" ref="P25" si="17">P21+P22+P24</f>
        <v>2799595.205378986</v>
      </c>
      <c r="Q25" s="73">
        <f t="shared" si="16"/>
        <v>1292350.2230155815</v>
      </c>
      <c r="R25" s="95">
        <f t="shared" ref="R25:S25" si="18">R21+R22+R24</f>
        <v>-1435471.5126959141</v>
      </c>
      <c r="S25" s="139">
        <f t="shared" si="18"/>
        <v>4511274.1556744752</v>
      </c>
      <c r="T25" s="22">
        <f t="shared" si="16"/>
        <v>7167748.0713731293</v>
      </c>
    </row>
    <row r="26" spans="1:20" ht="14.4" customHeight="1">
      <c r="A26" s="8"/>
      <c r="B26" s="180" t="s">
        <v>38</v>
      </c>
      <c r="C26" s="8"/>
      <c r="D26" s="14"/>
      <c r="E26" s="14"/>
      <c r="F26" s="14"/>
      <c r="G26" s="14"/>
      <c r="H26" s="14"/>
      <c r="I26" s="14"/>
      <c r="J26" s="14"/>
      <c r="K26" s="14"/>
      <c r="L26" s="14"/>
      <c r="M26" s="14"/>
      <c r="N26" s="14"/>
      <c r="O26" s="14"/>
      <c r="P26" s="88"/>
      <c r="Q26" s="62"/>
      <c r="R26" s="88"/>
      <c r="S26" s="133"/>
      <c r="T26" s="37"/>
    </row>
    <row r="27" spans="1:20">
      <c r="A27" s="8">
        <v>13</v>
      </c>
      <c r="B27" s="180"/>
      <c r="C27" s="8" t="str">
        <f>"Σ(("&amp;A$21&amp;") ~ ("&amp;A24&amp;"))"</f>
        <v>Σ((10) ~ (12))</v>
      </c>
      <c r="D27" s="13">
        <f>D21+D22+D24</f>
        <v>-1179611.1046432531</v>
      </c>
      <c r="E27" s="13">
        <f>D27+E21+E22+E24</f>
        <v>1247956.7889693375</v>
      </c>
      <c r="F27" s="13">
        <f>E27+F21+F22+F24</f>
        <v>2799595.205378986</v>
      </c>
      <c r="G27" s="13">
        <f t="shared" ref="G27:O27" si="19">F27+G21+G22+G24</f>
        <v>3071140.7362944949</v>
      </c>
      <c r="H27" s="13">
        <f t="shared" si="19"/>
        <v>4420231.5830468433</v>
      </c>
      <c r="I27" s="13">
        <f t="shared" si="19"/>
        <v>4091945.4283945677</v>
      </c>
      <c r="J27" s="13">
        <f t="shared" si="19"/>
        <v>1833246.5053898392</v>
      </c>
      <c r="K27" s="13">
        <f t="shared" si="19"/>
        <v>1798493.3383382258</v>
      </c>
      <c r="L27" s="13">
        <f t="shared" si="19"/>
        <v>2656473.9156986536</v>
      </c>
      <c r="M27" s="13">
        <f t="shared" si="19"/>
        <v>5271467.5437990427</v>
      </c>
      <c r="N27" s="13">
        <f t="shared" si="19"/>
        <v>6231352.6810721289</v>
      </c>
      <c r="O27" s="23">
        <f t="shared" si="19"/>
        <v>7167748.0713731283</v>
      </c>
      <c r="P27" s="69"/>
      <c r="Q27" s="69"/>
      <c r="R27" s="69"/>
      <c r="S27" s="137"/>
      <c r="T27" s="37"/>
    </row>
    <row r="28" spans="1:20">
      <c r="A28" s="8"/>
      <c r="B28" s="180"/>
      <c r="C28" s="8"/>
      <c r="D28" s="14"/>
      <c r="E28" s="14"/>
      <c r="F28" s="14"/>
      <c r="G28" s="14"/>
      <c r="H28" s="14"/>
      <c r="I28" s="14"/>
      <c r="J28" s="14"/>
      <c r="K28" s="14"/>
      <c r="L28" s="14"/>
      <c r="M28" s="14"/>
      <c r="N28" s="14"/>
      <c r="O28" s="14"/>
      <c r="P28" s="88"/>
      <c r="Q28" s="62"/>
      <c r="R28" s="88"/>
      <c r="S28" s="133"/>
      <c r="T28" s="37"/>
    </row>
    <row r="29" spans="1:20" ht="1.2" customHeight="1">
      <c r="A29" s="8"/>
      <c r="B29" s="2"/>
      <c r="C29" s="8"/>
      <c r="D29" s="13"/>
      <c r="E29" s="13"/>
      <c r="F29" s="13"/>
      <c r="G29" s="13"/>
      <c r="H29" s="27"/>
      <c r="I29" s="13"/>
      <c r="J29" s="13"/>
      <c r="K29" s="13"/>
      <c r="L29" s="13"/>
      <c r="M29" s="13"/>
      <c r="N29" s="13"/>
      <c r="O29" s="13"/>
      <c r="P29" s="90"/>
      <c r="Q29" s="65"/>
      <c r="R29" s="90"/>
      <c r="S29" s="136"/>
      <c r="T29" s="37"/>
    </row>
    <row r="30" spans="1:20">
      <c r="A30" s="8"/>
      <c r="B30" s="2"/>
      <c r="C30" s="8"/>
      <c r="D30" s="13"/>
      <c r="E30" s="13"/>
      <c r="F30" s="13"/>
      <c r="G30" s="13"/>
      <c r="H30" s="13"/>
      <c r="I30" s="13"/>
      <c r="J30" s="13"/>
      <c r="K30" s="13"/>
      <c r="L30" s="13"/>
      <c r="M30" s="13"/>
      <c r="N30" s="13"/>
      <c r="O30" s="13"/>
      <c r="P30" s="90"/>
      <c r="Q30" s="65"/>
      <c r="R30" s="90"/>
      <c r="S30" s="136"/>
      <c r="T30" s="37"/>
    </row>
    <row r="31" spans="1:20">
      <c r="A31" s="8"/>
      <c r="B31" s="3" t="s">
        <v>39</v>
      </c>
      <c r="C31" s="8"/>
      <c r="D31" s="13"/>
      <c r="E31" s="13"/>
      <c r="F31" s="13"/>
      <c r="G31" s="13"/>
      <c r="H31" s="13"/>
      <c r="I31" s="13"/>
      <c r="J31" s="13"/>
      <c r="K31" s="13"/>
      <c r="L31" s="13"/>
      <c r="M31" s="13"/>
      <c r="N31" s="13"/>
      <c r="O31" s="13"/>
      <c r="P31" s="90"/>
      <c r="Q31" s="65"/>
      <c r="R31" s="90"/>
      <c r="S31" s="136"/>
      <c r="T31" s="37"/>
    </row>
    <row r="32" spans="1:20">
      <c r="A32" s="8">
        <v>14</v>
      </c>
      <c r="B32" s="2" t="s">
        <v>23</v>
      </c>
      <c r="C32" s="8" t="s">
        <v>24</v>
      </c>
      <c r="D32" s="9">
        <v>35059</v>
      </c>
      <c r="E32" s="9">
        <v>35579</v>
      </c>
      <c r="F32" s="9">
        <v>35140</v>
      </c>
      <c r="G32" s="58">
        <v>35293</v>
      </c>
      <c r="H32" s="58">
        <v>35221</v>
      </c>
      <c r="I32" s="58">
        <v>35212</v>
      </c>
      <c r="J32" s="130">
        <v>35004</v>
      </c>
      <c r="K32" s="130">
        <v>35238</v>
      </c>
      <c r="L32" s="130">
        <v>35232</v>
      </c>
      <c r="M32" s="141">
        <v>35284</v>
      </c>
      <c r="N32" s="141">
        <v>35077</v>
      </c>
      <c r="O32" s="141">
        <v>35843</v>
      </c>
      <c r="P32" s="89">
        <f>SUM(D32:F32)</f>
        <v>105778</v>
      </c>
      <c r="Q32" s="64">
        <f>SUM(G32:I32)</f>
        <v>105726</v>
      </c>
      <c r="R32" s="89">
        <f>SUM(J32:L32)</f>
        <v>105474</v>
      </c>
      <c r="S32" s="135">
        <f>SUM(M32:O32)</f>
        <v>106204</v>
      </c>
      <c r="T32" s="33">
        <f>SUM(D32:O32)</f>
        <v>423182</v>
      </c>
    </row>
    <row r="33" spans="1:21" ht="26.4">
      <c r="A33" s="34">
        <f t="shared" si="1"/>
        <v>15</v>
      </c>
      <c r="B33" s="35" t="s">
        <v>25</v>
      </c>
      <c r="C33" s="8" t="s">
        <v>53</v>
      </c>
      <c r="D33" s="36">
        <v>356.03329356425502</v>
      </c>
      <c r="E33" s="36">
        <v>334.3876932182697</v>
      </c>
      <c r="F33" s="36">
        <v>338.63118768530791</v>
      </c>
      <c r="G33" s="36">
        <v>307.26842558580978</v>
      </c>
      <c r="H33" s="36">
        <v>328.68375663236225</v>
      </c>
      <c r="I33" s="36">
        <v>343.68956027474104</v>
      </c>
      <c r="J33" s="36">
        <v>382.86485339177131</v>
      </c>
      <c r="K33" s="36">
        <v>405.75316740997278</v>
      </c>
      <c r="L33" s="36">
        <v>347.12546291923007</v>
      </c>
      <c r="M33" s="36">
        <v>347.28709927511954</v>
      </c>
      <c r="N33" s="36">
        <v>341.2180856492738</v>
      </c>
      <c r="O33" s="36">
        <v>376.397414393887</v>
      </c>
      <c r="P33" s="74">
        <f>P34/P32</f>
        <v>342.97160951562472</v>
      </c>
      <c r="Q33" s="74">
        <f>Q34/Q32</f>
        <v>326.53265926018764</v>
      </c>
      <c r="R33" s="74">
        <f>R34/R32</f>
        <v>378.57344701906152</v>
      </c>
      <c r="S33" s="74">
        <f>S34/S32</f>
        <v>355.10712708808506</v>
      </c>
      <c r="T33" s="36">
        <f>T34/T32</f>
        <v>350.78357756340733</v>
      </c>
      <c r="U33" s="156"/>
    </row>
    <row r="34" spans="1:21">
      <c r="A34" s="8">
        <f t="shared" si="1"/>
        <v>16</v>
      </c>
      <c r="B34" s="2" t="s">
        <v>27</v>
      </c>
      <c r="C34" s="8" t="str">
        <f>"("&amp;A32&amp;") x ("&amp;A33&amp;")"</f>
        <v>(14) x (15)</v>
      </c>
      <c r="D34" s="13">
        <f t="shared" ref="D34:O34" si="20">D32*D33</f>
        <v>12482171.239069216</v>
      </c>
      <c r="E34" s="13">
        <f t="shared" si="20"/>
        <v>11897179.737012818</v>
      </c>
      <c r="F34" s="13">
        <f t="shared" si="20"/>
        <v>11899499.935261719</v>
      </c>
      <c r="G34" s="13">
        <f t="shared" si="20"/>
        <v>10844424.544199985</v>
      </c>
      <c r="H34" s="13">
        <f t="shared" si="20"/>
        <v>11576570.59234843</v>
      </c>
      <c r="I34" s="13">
        <f t="shared" si="20"/>
        <v>12101996.796394182</v>
      </c>
      <c r="J34" s="13">
        <f t="shared" si="20"/>
        <v>13401801.328125563</v>
      </c>
      <c r="K34" s="13">
        <f t="shared" si="20"/>
        <v>14297930.11319262</v>
      </c>
      <c r="L34" s="13">
        <f t="shared" si="20"/>
        <v>12229924.309570314</v>
      </c>
      <c r="M34" s="13">
        <f t="shared" si="20"/>
        <v>12253678.010823319</v>
      </c>
      <c r="N34" s="13">
        <f t="shared" si="20"/>
        <v>11968906.790319577</v>
      </c>
      <c r="O34" s="13">
        <f t="shared" si="20"/>
        <v>13491212.524120092</v>
      </c>
      <c r="P34" s="90">
        <f>SUM(D34:F34)</f>
        <v>36278850.911343753</v>
      </c>
      <c r="Q34" s="65">
        <f>SUM(G34:I34)</f>
        <v>34522991.932942599</v>
      </c>
      <c r="R34" s="90">
        <f>SUM(J34:L34)</f>
        <v>39929655.750888497</v>
      </c>
      <c r="S34" s="136">
        <f>SUM(M34:O34)</f>
        <v>37713797.325262986</v>
      </c>
      <c r="T34" s="37">
        <f>SUM(D34:O34)</f>
        <v>148445295.92043784</v>
      </c>
    </row>
    <row r="35" spans="1:21">
      <c r="A35" s="8"/>
      <c r="B35" s="2"/>
      <c r="C35" s="8"/>
      <c r="D35" s="14"/>
      <c r="E35" s="14"/>
      <c r="F35" s="14"/>
      <c r="G35" s="14"/>
      <c r="H35" s="14"/>
      <c r="I35" s="13"/>
      <c r="J35" s="14"/>
      <c r="K35" s="14"/>
      <c r="L35" s="14"/>
      <c r="M35" s="14"/>
      <c r="N35" s="14"/>
      <c r="O35" s="14"/>
      <c r="P35" s="88"/>
      <c r="Q35" s="62"/>
      <c r="R35" s="88"/>
      <c r="S35" s="133"/>
      <c r="T35" s="2"/>
    </row>
    <row r="36" spans="1:21" hidden="1">
      <c r="A36" s="8"/>
      <c r="B36" s="2"/>
      <c r="C36" s="8"/>
      <c r="D36" s="14"/>
      <c r="E36" s="14"/>
      <c r="F36" s="14"/>
      <c r="G36" s="14"/>
      <c r="H36" s="13"/>
      <c r="I36" s="14"/>
      <c r="J36" s="14"/>
      <c r="K36" s="14"/>
      <c r="L36" s="14"/>
      <c r="M36" s="14"/>
      <c r="N36" s="14"/>
      <c r="O36" s="14"/>
      <c r="P36" s="88"/>
      <c r="Q36" s="62"/>
      <c r="R36" s="88"/>
      <c r="S36" s="133"/>
      <c r="T36" s="2"/>
    </row>
    <row r="37" spans="1:21">
      <c r="A37" s="8">
        <v>17</v>
      </c>
      <c r="B37" s="2" t="s">
        <v>47</v>
      </c>
      <c r="C37" s="8" t="s">
        <v>24</v>
      </c>
      <c r="D37" s="13">
        <v>16258940.32929723</v>
      </c>
      <c r="E37" s="13">
        <v>17169122.107000001</v>
      </c>
      <c r="F37" s="13">
        <v>17145796.684179999</v>
      </c>
      <c r="G37" s="78">
        <v>17146414.312720001</v>
      </c>
      <c r="H37" s="78">
        <v>17228784.428180002</v>
      </c>
      <c r="I37" s="78">
        <v>20052821.92825</v>
      </c>
      <c r="J37" s="142">
        <v>19981391.900500003</v>
      </c>
      <c r="K37" s="142">
        <v>20610293.538920004</v>
      </c>
      <c r="L37" s="142">
        <v>17559914.184609998</v>
      </c>
      <c r="M37" s="142">
        <v>17606687.893110003</v>
      </c>
      <c r="N37" s="142">
        <v>18027728.255450003</v>
      </c>
      <c r="O37" s="142">
        <v>17364215.780320004</v>
      </c>
      <c r="P37" s="90"/>
      <c r="Q37" s="65"/>
      <c r="R37" s="90"/>
      <c r="S37" s="136"/>
      <c r="T37" s="2"/>
    </row>
    <row r="38" spans="1:21">
      <c r="A38" s="8">
        <f t="shared" si="1"/>
        <v>18</v>
      </c>
      <c r="B38" s="2" t="s">
        <v>48</v>
      </c>
      <c r="C38" s="8" t="s">
        <v>24</v>
      </c>
      <c r="D38" s="13">
        <v>1590724</v>
      </c>
      <c r="E38" s="13">
        <v>1612616</v>
      </c>
      <c r="F38" s="13">
        <v>1612908</v>
      </c>
      <c r="G38" s="78">
        <v>1601684</v>
      </c>
      <c r="H38" s="78">
        <v>1610510</v>
      </c>
      <c r="I38" s="78">
        <v>1601190</v>
      </c>
      <c r="J38" s="142">
        <v>1620118.76</v>
      </c>
      <c r="K38" s="142">
        <v>1617035.0899999999</v>
      </c>
      <c r="L38" s="142">
        <v>1618290.77</v>
      </c>
      <c r="M38" s="142">
        <v>1611787.5</v>
      </c>
      <c r="N38" s="142">
        <v>1595841.14</v>
      </c>
      <c r="O38" s="142">
        <v>1623807.1399999997</v>
      </c>
      <c r="P38" s="90"/>
      <c r="Q38" s="65"/>
      <c r="R38" s="90"/>
      <c r="S38" s="136"/>
      <c r="T38" s="2"/>
    </row>
    <row r="39" spans="1:21">
      <c r="A39" s="8">
        <f t="shared" si="1"/>
        <v>19</v>
      </c>
      <c r="B39" s="15" t="s">
        <v>54</v>
      </c>
      <c r="C39" s="8" t="s">
        <v>24</v>
      </c>
      <c r="D39" s="9">
        <v>162655588</v>
      </c>
      <c r="E39" s="9">
        <v>168483376</v>
      </c>
      <c r="F39" s="9">
        <v>171828336</v>
      </c>
      <c r="G39" s="77">
        <v>170229514</v>
      </c>
      <c r="H39" s="77">
        <v>173532298</v>
      </c>
      <c r="I39" s="77">
        <v>208221126</v>
      </c>
      <c r="J39" s="141">
        <v>205625075</v>
      </c>
      <c r="K39" s="141">
        <v>213909780</v>
      </c>
      <c r="L39" s="141">
        <v>176781649</v>
      </c>
      <c r="M39" s="141">
        <v>176161200</v>
      </c>
      <c r="N39" s="141">
        <v>180918565</v>
      </c>
      <c r="O39" s="141">
        <v>171400749</v>
      </c>
      <c r="P39" s="89"/>
      <c r="Q39" s="64"/>
      <c r="R39" s="89"/>
      <c r="S39" s="135"/>
      <c r="T39" s="2"/>
    </row>
    <row r="40" spans="1:21">
      <c r="A40" s="8">
        <f t="shared" si="1"/>
        <v>20</v>
      </c>
      <c r="B40" s="2" t="s">
        <v>50</v>
      </c>
      <c r="C40" s="8" t="s">
        <v>51</v>
      </c>
      <c r="D40" s="38">
        <v>2.1080000000000002E-2</v>
      </c>
      <c r="E40" s="38">
        <v>2.1080000000000002E-2</v>
      </c>
      <c r="F40" s="38">
        <v>2.1080000000000002E-2</v>
      </c>
      <c r="G40" s="38">
        <v>2.1080000000000002E-2</v>
      </c>
      <c r="H40" s="38">
        <v>2.1080000000000002E-2</v>
      </c>
      <c r="I40" s="38">
        <v>2.1080000000000002E-2</v>
      </c>
      <c r="J40" s="38">
        <v>2.1080000000000002E-2</v>
      </c>
      <c r="K40" s="38">
        <v>2.1080000000000002E-2</v>
      </c>
      <c r="L40" s="38">
        <v>2.1080000000000002E-2</v>
      </c>
      <c r="M40" s="38">
        <v>2.1080000000000002E-2</v>
      </c>
      <c r="N40" s="38">
        <v>2.1080000000000002E-2</v>
      </c>
      <c r="O40" s="38">
        <v>2.1080000000000002E-2</v>
      </c>
      <c r="P40" s="66"/>
      <c r="Q40" s="66"/>
      <c r="R40" s="66"/>
      <c r="S40" s="66"/>
      <c r="T40" s="39"/>
    </row>
    <row r="41" spans="1:21">
      <c r="A41" s="8">
        <f t="shared" si="1"/>
        <v>21</v>
      </c>
      <c r="B41" s="2" t="s">
        <v>52</v>
      </c>
      <c r="C41" s="8" t="str">
        <f>"("&amp;A39&amp;") x ("&amp;A40&amp;")"</f>
        <v>(19) x (20)</v>
      </c>
      <c r="D41" s="13">
        <f t="shared" ref="D41:O41" si="21">D39*D40</f>
        <v>3428779.7950400002</v>
      </c>
      <c r="E41" s="13">
        <f t="shared" si="21"/>
        <v>3551629.5660800003</v>
      </c>
      <c r="F41" s="13">
        <f t="shared" si="21"/>
        <v>3622141.3228800003</v>
      </c>
      <c r="G41" s="13">
        <f t="shared" si="21"/>
        <v>3588438.1551200002</v>
      </c>
      <c r="H41" s="13">
        <f t="shared" si="21"/>
        <v>3658060.8418400004</v>
      </c>
      <c r="I41" s="13">
        <f t="shared" si="21"/>
        <v>4389301.3360800007</v>
      </c>
      <c r="J41" s="13">
        <f t="shared" si="21"/>
        <v>4334576.5810000002</v>
      </c>
      <c r="K41" s="13">
        <f t="shared" si="21"/>
        <v>4509218.1624000007</v>
      </c>
      <c r="L41" s="13">
        <f t="shared" si="21"/>
        <v>3726557.1609200002</v>
      </c>
      <c r="M41" s="13">
        <f t="shared" si="21"/>
        <v>3713478.0960000004</v>
      </c>
      <c r="N41" s="13">
        <f t="shared" si="21"/>
        <v>3813763.3502000002</v>
      </c>
      <c r="O41" s="13">
        <f t="shared" si="21"/>
        <v>3613127.7889200002</v>
      </c>
      <c r="P41" s="90"/>
      <c r="Q41" s="65"/>
      <c r="R41" s="90"/>
      <c r="S41" s="136"/>
      <c r="T41" s="37"/>
    </row>
    <row r="42" spans="1:21">
      <c r="A42" s="8">
        <f t="shared" si="1"/>
        <v>22</v>
      </c>
      <c r="B42" s="2" t="s">
        <v>30</v>
      </c>
      <c r="C42" s="8" t="str">
        <f>"("&amp;A37&amp;") - ("&amp;A38&amp;") -("&amp;A41&amp;")"</f>
        <v>(17) - (18) -(21)</v>
      </c>
      <c r="D42" s="13">
        <f>D37-D38-D41</f>
        <v>11239436.534257229</v>
      </c>
      <c r="E42" s="13">
        <f t="shared" ref="E42:O42" si="22">E37-E38-E41</f>
        <v>12004876.540920001</v>
      </c>
      <c r="F42" s="13">
        <f t="shared" si="22"/>
        <v>11910747.361299999</v>
      </c>
      <c r="G42" s="13">
        <f t="shared" si="22"/>
        <v>11956292.157600001</v>
      </c>
      <c r="H42" s="13">
        <f t="shared" si="22"/>
        <v>11960213.586340001</v>
      </c>
      <c r="I42" s="13">
        <f t="shared" si="22"/>
        <v>14062330.59217</v>
      </c>
      <c r="J42" s="13">
        <f t="shared" si="22"/>
        <v>14026696.559500001</v>
      </c>
      <c r="K42" s="13">
        <f t="shared" si="22"/>
        <v>14484040.286520004</v>
      </c>
      <c r="L42" s="13">
        <f t="shared" si="22"/>
        <v>12215066.253689999</v>
      </c>
      <c r="M42" s="13">
        <f t="shared" si="22"/>
        <v>12281422.297110002</v>
      </c>
      <c r="N42" s="13">
        <f t="shared" si="22"/>
        <v>12618123.765250001</v>
      </c>
      <c r="O42" s="13">
        <f t="shared" si="22"/>
        <v>12127280.851400003</v>
      </c>
      <c r="P42" s="90">
        <f>SUM(D42:F42)</f>
        <v>35155060.436477229</v>
      </c>
      <c r="Q42" s="65">
        <f>SUM(G42:I42)</f>
        <v>37978836.336110003</v>
      </c>
      <c r="R42" s="90">
        <f>SUM(J42:L42)</f>
        <v>40725803.099710003</v>
      </c>
      <c r="S42" s="136">
        <f>SUM(M42:O42)</f>
        <v>37026826.913760006</v>
      </c>
      <c r="T42" s="37">
        <f>SUM(D42:O42)</f>
        <v>150886526.78605729</v>
      </c>
    </row>
    <row r="43" spans="1:21">
      <c r="A43" s="8"/>
      <c r="B43" s="17" t="s">
        <v>40</v>
      </c>
      <c r="C43" s="8"/>
      <c r="D43" s="12">
        <f>D42/D32</f>
        <v>320.5863411465595</v>
      </c>
      <c r="E43" s="12">
        <f>E42/E32</f>
        <v>337.41466991539954</v>
      </c>
      <c r="F43" s="12">
        <f t="shared" ref="F43:T43" si="23">F42/F32</f>
        <v>338.95126241605004</v>
      </c>
      <c r="G43" s="12">
        <f t="shared" si="23"/>
        <v>338.77233892273256</v>
      </c>
      <c r="H43" s="12">
        <f t="shared" si="23"/>
        <v>339.57620698844443</v>
      </c>
      <c r="I43" s="12">
        <f t="shared" si="23"/>
        <v>399.36188209048049</v>
      </c>
      <c r="J43" s="12">
        <f t="shared" si="23"/>
        <v>400.71696261855794</v>
      </c>
      <c r="K43" s="12">
        <f t="shared" si="23"/>
        <v>411.03468660309903</v>
      </c>
      <c r="L43" s="12">
        <f t="shared" si="23"/>
        <v>346.70374244124656</v>
      </c>
      <c r="M43" s="12">
        <f t="shared" si="23"/>
        <v>348.07341279645175</v>
      </c>
      <c r="N43" s="12">
        <f t="shared" si="23"/>
        <v>359.7264237320752</v>
      </c>
      <c r="O43" s="12">
        <f t="shared" si="23"/>
        <v>338.34447036799384</v>
      </c>
      <c r="P43" s="75">
        <f t="shared" ref="P43" si="24">P42/P32</f>
        <v>332.34756221971702</v>
      </c>
      <c r="Q43" s="75">
        <f t="shared" si="23"/>
        <v>359.2194572395627</v>
      </c>
      <c r="R43" s="75">
        <f t="shared" ref="R43:S43" si="25">R42/R32</f>
        <v>386.12172762680854</v>
      </c>
      <c r="S43" s="75">
        <f t="shared" si="25"/>
        <v>348.63872277654332</v>
      </c>
      <c r="T43" s="12">
        <f t="shared" si="23"/>
        <v>356.55232686186389</v>
      </c>
    </row>
    <row r="44" spans="1:21">
      <c r="A44" s="8">
        <v>23</v>
      </c>
      <c r="B44" s="2" t="s">
        <v>32</v>
      </c>
      <c r="C44" s="8" t="str">
        <f>"("&amp;A$34&amp;") - ("&amp;A42&amp;")"</f>
        <v>(16) - (22)</v>
      </c>
      <c r="D44" s="13">
        <f>D34-D42</f>
        <v>1242734.7048119865</v>
      </c>
      <c r="E44" s="13">
        <f t="shared" ref="E44:O44" si="26">E34-E42</f>
        <v>-107696.80390718207</v>
      </c>
      <c r="F44" s="13">
        <f t="shared" si="26"/>
        <v>-11247.426038280129</v>
      </c>
      <c r="G44" s="13">
        <f t="shared" si="26"/>
        <v>-1111867.613400016</v>
      </c>
      <c r="H44" s="13">
        <f t="shared" si="26"/>
        <v>-383642.99399157055</v>
      </c>
      <c r="I44" s="13">
        <f t="shared" si="26"/>
        <v>-1960333.7957758177</v>
      </c>
      <c r="J44" s="13">
        <f t="shared" si="26"/>
        <v>-624895.23137443885</v>
      </c>
      <c r="K44" s="13">
        <f t="shared" si="26"/>
        <v>-186110.17332738452</v>
      </c>
      <c r="L44" s="13">
        <f t="shared" si="26"/>
        <v>14858.055880315602</v>
      </c>
      <c r="M44" s="13">
        <f t="shared" si="26"/>
        <v>-27744.286286683753</v>
      </c>
      <c r="N44" s="13">
        <f t="shared" si="26"/>
        <v>-649216.97493042424</v>
      </c>
      <c r="O44" s="13">
        <f t="shared" si="26"/>
        <v>1363931.6727200896</v>
      </c>
      <c r="P44" s="90">
        <f>SUM(D44:F44)</f>
        <v>1123790.4748665243</v>
      </c>
      <c r="Q44" s="65">
        <f t="shared" ref="Q44:Q45" si="27">SUM(G44:I44)</f>
        <v>-3455844.4031674042</v>
      </c>
      <c r="R44" s="90">
        <f>SUM(J44:L44)</f>
        <v>-796147.34882150777</v>
      </c>
      <c r="S44" s="136">
        <f>SUM(M44:O44)</f>
        <v>686970.41150298156</v>
      </c>
      <c r="T44" s="37">
        <f>SUM(D44:O44)</f>
        <v>-2441230.8656194061</v>
      </c>
    </row>
    <row r="45" spans="1:21">
      <c r="A45" s="8">
        <v>24</v>
      </c>
      <c r="B45" s="2" t="s">
        <v>33</v>
      </c>
      <c r="C45" s="41" t="s">
        <v>34</v>
      </c>
      <c r="D45" s="13">
        <f>D44*-0.045395</f>
        <v>-56413.941924940125</v>
      </c>
      <c r="E45" s="13">
        <f>E44*-0.045395</f>
        <v>4888.8964133665295</v>
      </c>
      <c r="F45" s="13">
        <f t="shared" ref="F45:N45" si="28">F44*-0.045395</f>
        <v>510.57690500772645</v>
      </c>
      <c r="G45" s="13">
        <f t="shared" si="28"/>
        <v>50473.230310293722</v>
      </c>
      <c r="H45" s="13">
        <f t="shared" si="28"/>
        <v>17415.473712247345</v>
      </c>
      <c r="I45" s="13">
        <f t="shared" si="28"/>
        <v>88989.352659243246</v>
      </c>
      <c r="J45" s="13">
        <f t="shared" si="28"/>
        <v>28367.119028242651</v>
      </c>
      <c r="K45" s="13">
        <f t="shared" si="28"/>
        <v>8448.4713181966199</v>
      </c>
      <c r="L45" s="13">
        <f t="shared" si="28"/>
        <v>-674.48144668692669</v>
      </c>
      <c r="M45" s="13">
        <f t="shared" si="28"/>
        <v>1259.4518759840089</v>
      </c>
      <c r="N45" s="13">
        <f t="shared" si="28"/>
        <v>29471.204576966607</v>
      </c>
      <c r="O45" s="13">
        <f>O44*-0.045395</f>
        <v>-61915.678283128465</v>
      </c>
      <c r="P45" s="90">
        <f>SUM(D45:F45)</f>
        <v>-51014.468606565868</v>
      </c>
      <c r="Q45" s="65">
        <f t="shared" si="27"/>
        <v>156878.05668178431</v>
      </c>
      <c r="R45" s="90">
        <f>SUM(J45:L45)</f>
        <v>36141.10889975234</v>
      </c>
      <c r="S45" s="136">
        <f>SUM(M45:O45)</f>
        <v>-31185.021830177848</v>
      </c>
      <c r="T45" s="37">
        <f>SUM(D45:O45)</f>
        <v>110819.67514479293</v>
      </c>
    </row>
    <row r="46" spans="1:21">
      <c r="A46" s="8"/>
      <c r="B46" s="2"/>
      <c r="C46" s="8" t="s">
        <v>35</v>
      </c>
      <c r="D46" s="19">
        <f>D23</f>
        <v>3.2500000000000001E-2</v>
      </c>
      <c r="E46" s="19">
        <f>D46</f>
        <v>3.2500000000000001E-2</v>
      </c>
      <c r="F46" s="19">
        <f>E46</f>
        <v>3.2500000000000001E-2</v>
      </c>
      <c r="G46" s="19">
        <f>F46</f>
        <v>3.2500000000000001E-2</v>
      </c>
      <c r="H46" s="19">
        <f t="shared" ref="H46:O46" si="29">G46</f>
        <v>3.2500000000000001E-2</v>
      </c>
      <c r="I46" s="19">
        <f t="shared" si="29"/>
        <v>3.2500000000000001E-2</v>
      </c>
      <c r="J46" s="138">
        <f t="shared" si="29"/>
        <v>3.2500000000000001E-2</v>
      </c>
      <c r="K46" s="19">
        <f t="shared" si="29"/>
        <v>3.2500000000000001E-2</v>
      </c>
      <c r="L46" s="19">
        <f t="shared" si="29"/>
        <v>3.2500000000000001E-2</v>
      </c>
      <c r="M46" s="148">
        <f t="shared" si="29"/>
        <v>3.2500000000000001E-2</v>
      </c>
      <c r="N46" s="19">
        <f t="shared" si="29"/>
        <v>3.2500000000000001E-2</v>
      </c>
      <c r="O46" s="19">
        <f t="shared" si="29"/>
        <v>3.2500000000000001E-2</v>
      </c>
      <c r="P46" s="93"/>
      <c r="Q46" s="72"/>
      <c r="R46" s="93"/>
      <c r="S46" s="148"/>
      <c r="T46" s="37"/>
    </row>
    <row r="47" spans="1:21">
      <c r="A47" s="8">
        <v>25</v>
      </c>
      <c r="B47" s="2" t="s">
        <v>36</v>
      </c>
      <c r="C47" s="8" t="s">
        <v>41</v>
      </c>
      <c r="D47" s="20">
        <f>(D44+D45)/2*D46/12</f>
        <v>1606.476033076209</v>
      </c>
      <c r="E47" s="20">
        <f>(D50+(E44+E45)/2)*E46/12</f>
        <v>3078.0838973441237</v>
      </c>
      <c r="F47" s="20">
        <f t="shared" ref="F47:O47" si="30">(E50+(F44+F45)/2)*F46/12</f>
        <v>2932.6618499669162</v>
      </c>
      <c r="G47" s="20">
        <f t="shared" si="30"/>
        <v>1488.7600988419372</v>
      </c>
      <c r="H47" s="20">
        <f t="shared" si="30"/>
        <v>-440.44583670261483</v>
      </c>
      <c r="I47" s="20">
        <f t="shared" si="30"/>
        <v>-3471.6840779422964</v>
      </c>
      <c r="J47" s="20">
        <f t="shared" si="30"/>
        <v>-6822.9973078425583</v>
      </c>
      <c r="K47" s="20">
        <f t="shared" si="30"/>
        <v>-7889.8582991575468</v>
      </c>
      <c r="L47" s="20">
        <f t="shared" si="30"/>
        <v>-8132.6032964763363</v>
      </c>
      <c r="M47" s="20">
        <f t="shared" si="30"/>
        <v>-8171.2870532899105</v>
      </c>
      <c r="N47" s="20">
        <f t="shared" si="30"/>
        <v>-9068.521566344034</v>
      </c>
      <c r="O47" s="20">
        <f t="shared" si="30"/>
        <v>-8169.1745504731362</v>
      </c>
      <c r="P47" s="90">
        <f>SUM(D47:F47)</f>
        <v>7617.2217803872481</v>
      </c>
      <c r="Q47" s="65">
        <f>SUM(G47:I47)</f>
        <v>-2423.3698158029738</v>
      </c>
      <c r="R47" s="90">
        <f>SUM(J47:L47)</f>
        <v>-22845.458903476443</v>
      </c>
      <c r="S47" s="136">
        <f>SUM(M47:O47)</f>
        <v>-25408.98317010708</v>
      </c>
      <c r="T47" s="37">
        <f>SUM(D47:O47)</f>
        <v>-43060.590108999248</v>
      </c>
    </row>
    <row r="48" spans="1:21">
      <c r="A48" s="8"/>
      <c r="B48" s="21" t="s">
        <v>42</v>
      </c>
      <c r="C48" s="8"/>
      <c r="D48" s="22">
        <f>D44+D45+D47</f>
        <v>1187927.2389201226</v>
      </c>
      <c r="E48" s="22">
        <f t="shared" ref="E48:T48" si="31">E44+E45+E47</f>
        <v>-99729.823596471411</v>
      </c>
      <c r="F48" s="22">
        <f t="shared" si="31"/>
        <v>-7804.1872833054858</v>
      </c>
      <c r="G48" s="22">
        <f t="shared" si="31"/>
        <v>-1059905.6229908804</v>
      </c>
      <c r="H48" s="22">
        <f t="shared" si="31"/>
        <v>-366667.96611602581</v>
      </c>
      <c r="I48" s="22">
        <f t="shared" si="31"/>
        <v>-1874816.1271945168</v>
      </c>
      <c r="J48" s="22">
        <f t="shared" si="31"/>
        <v>-603351.1096540388</v>
      </c>
      <c r="K48" s="22">
        <f t="shared" si="31"/>
        <v>-185551.56030834545</v>
      </c>
      <c r="L48" s="22">
        <f t="shared" si="31"/>
        <v>6050.971137152339</v>
      </c>
      <c r="M48" s="22">
        <f t="shared" si="31"/>
        <v>-34656.12146398965</v>
      </c>
      <c r="N48" s="22">
        <f t="shared" si="31"/>
        <v>-628814.29191980173</v>
      </c>
      <c r="O48" s="22">
        <f t="shared" si="31"/>
        <v>1293846.8198864879</v>
      </c>
      <c r="P48" s="95">
        <f t="shared" ref="P48" si="32">P44+P45+P47</f>
        <v>1080393.2280403457</v>
      </c>
      <c r="Q48" s="73">
        <f t="shared" si="31"/>
        <v>-3301389.716301423</v>
      </c>
      <c r="R48" s="95">
        <f t="shared" ref="R48:S48" si="33">R44+R45+R47</f>
        <v>-782851.69882523187</v>
      </c>
      <c r="S48" s="139">
        <f t="shared" si="33"/>
        <v>630376.40650269657</v>
      </c>
      <c r="T48" s="22">
        <f t="shared" si="31"/>
        <v>-2373471.7805836122</v>
      </c>
    </row>
    <row r="49" spans="1:20">
      <c r="A49" s="8"/>
      <c r="B49" s="180" t="s">
        <v>43</v>
      </c>
      <c r="C49" s="8"/>
      <c r="D49" s="14"/>
      <c r="E49" s="14"/>
      <c r="F49" s="14"/>
      <c r="G49" s="14"/>
      <c r="H49" s="14"/>
      <c r="I49" s="14"/>
      <c r="J49" s="14"/>
      <c r="K49" s="14"/>
      <c r="L49" s="14"/>
      <c r="M49" s="14"/>
      <c r="N49" s="14"/>
      <c r="O49" s="14"/>
      <c r="P49" s="88"/>
      <c r="Q49" s="62"/>
      <c r="R49" s="88"/>
      <c r="S49" s="133"/>
      <c r="T49" s="37"/>
    </row>
    <row r="50" spans="1:20">
      <c r="A50" s="8">
        <v>26</v>
      </c>
      <c r="B50" s="180"/>
      <c r="C50" s="8" t="str">
        <f>"Σ(("&amp;A$44&amp;") ~ ("&amp;A47&amp;"))"</f>
        <v>Σ((23) ~ (25))</v>
      </c>
      <c r="D50" s="13">
        <f>D44+D45+D47</f>
        <v>1187927.2389201226</v>
      </c>
      <c r="E50" s="13">
        <f>D50+E44+E45+E47</f>
        <v>1088197.4153236512</v>
      </c>
      <c r="F50" s="13">
        <f t="shared" ref="F50:N50" si="34">E50+F44+F45+F47</f>
        <v>1080393.2280403457</v>
      </c>
      <c r="G50" s="13">
        <f t="shared" si="34"/>
        <v>20487.60504946539</v>
      </c>
      <c r="H50" s="13">
        <f t="shared" si="34"/>
        <v>-346180.36106656044</v>
      </c>
      <c r="I50" s="13">
        <f t="shared" si="34"/>
        <v>-2220996.4882610771</v>
      </c>
      <c r="J50" s="13">
        <f t="shared" si="34"/>
        <v>-2824347.5979151158</v>
      </c>
      <c r="K50" s="13">
        <f t="shared" si="34"/>
        <v>-3009899.1582234614</v>
      </c>
      <c r="L50" s="13">
        <f t="shared" si="34"/>
        <v>-3003848.1870863093</v>
      </c>
      <c r="M50" s="13">
        <f t="shared" si="34"/>
        <v>-3038504.3085502987</v>
      </c>
      <c r="N50" s="13">
        <f t="shared" si="34"/>
        <v>-3667318.6004701001</v>
      </c>
      <c r="O50" s="23">
        <f>N50+O44+O45+O47</f>
        <v>-2373471.7805836122</v>
      </c>
      <c r="P50" s="69"/>
      <c r="Q50" s="69"/>
      <c r="R50" s="69"/>
      <c r="S50" s="137"/>
      <c r="T50" s="37"/>
    </row>
    <row r="51" spans="1:20">
      <c r="A51" s="8"/>
      <c r="B51" s="180"/>
      <c r="C51" s="8"/>
      <c r="D51" s="13"/>
      <c r="E51" s="13"/>
      <c r="F51" s="13"/>
      <c r="G51" s="13"/>
      <c r="H51" s="13"/>
      <c r="I51" s="13"/>
      <c r="J51" s="13"/>
      <c r="K51" s="13"/>
      <c r="L51" s="13"/>
      <c r="M51" s="13"/>
      <c r="N51" s="13"/>
      <c r="O51" s="43"/>
      <c r="P51" s="67"/>
      <c r="Q51" s="67"/>
      <c r="R51" s="67"/>
      <c r="S51" s="67"/>
      <c r="T51" s="37"/>
    </row>
    <row r="52" spans="1:20" hidden="1">
      <c r="A52" s="8"/>
      <c r="B52" s="2"/>
      <c r="C52" s="2"/>
      <c r="D52" s="2"/>
      <c r="E52" s="2"/>
      <c r="F52" s="2"/>
      <c r="G52" s="2"/>
      <c r="H52" s="2"/>
      <c r="I52" s="2"/>
      <c r="J52" s="2"/>
      <c r="K52" s="2"/>
      <c r="L52" s="2"/>
      <c r="M52" s="2"/>
      <c r="N52" s="2"/>
      <c r="O52" s="2"/>
      <c r="P52" s="86"/>
      <c r="Q52" s="60"/>
      <c r="R52" s="86"/>
      <c r="S52" s="86"/>
      <c r="T52" s="2"/>
    </row>
    <row r="53" spans="1:20">
      <c r="A53" s="8">
        <v>25</v>
      </c>
      <c r="B53" s="60" t="s">
        <v>87</v>
      </c>
      <c r="C53" s="8" t="str">
        <f>"("&amp;A$27&amp;") + ("&amp;A50&amp;")"</f>
        <v>(13) + (26)</v>
      </c>
      <c r="D53" s="37">
        <f>D27+D50</f>
        <v>8316.134276869474</v>
      </c>
      <c r="E53" s="37">
        <f t="shared" ref="E53:O53" si="35">E27+E50</f>
        <v>2336154.2042929884</v>
      </c>
      <c r="F53" s="37">
        <f t="shared" si="35"/>
        <v>3879988.4334193319</v>
      </c>
      <c r="G53" s="37">
        <f t="shared" si="35"/>
        <v>3091628.3413439603</v>
      </c>
      <c r="H53" s="37">
        <f t="shared" si="35"/>
        <v>4074051.221980283</v>
      </c>
      <c r="I53" s="37">
        <f t="shared" si="35"/>
        <v>1870948.9401334906</v>
      </c>
      <c r="J53" s="37">
        <f t="shared" si="35"/>
        <v>-991101.09252527659</v>
      </c>
      <c r="K53" s="37">
        <f t="shared" si="35"/>
        <v>-1211405.8198852355</v>
      </c>
      <c r="L53" s="37">
        <f t="shared" si="35"/>
        <v>-347374.27138765575</v>
      </c>
      <c r="M53" s="37">
        <f t="shared" si="35"/>
        <v>2232963.235248744</v>
      </c>
      <c r="N53" s="37">
        <f t="shared" si="35"/>
        <v>2564034.0806020289</v>
      </c>
      <c r="O53" s="44">
        <f t="shared" si="35"/>
        <v>4794276.2907895166</v>
      </c>
      <c r="P53" s="70"/>
      <c r="Q53" s="70"/>
      <c r="R53" s="70"/>
      <c r="S53" s="70"/>
      <c r="T53" s="2"/>
    </row>
  </sheetData>
  <mergeCells count="5">
    <mergeCell ref="B49:B51"/>
    <mergeCell ref="A1:T1"/>
    <mergeCell ref="A2:T2"/>
    <mergeCell ref="A3:T3"/>
    <mergeCell ref="B26:B28"/>
  </mergeCells>
  <printOptions horizontalCentered="1"/>
  <pageMargins left="0.7" right="0.71" top="0.9" bottom="0.75" header="0.5" footer="0.5"/>
  <pageSetup scale="64" orientation="landscape" r:id="rId1"/>
  <headerFooter>
    <oddHeader>&amp;CAvista Corporation Decoupling Mechanism
Washington Jurisdiction
Quarterly Report for 4th Quarter 2015</oddHeader>
    <oddFooter>&amp;Cfile: &amp;F / &amp;A&amp;RPage 1 of 6</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U47"/>
  <sheetViews>
    <sheetView zoomScaleNormal="100" workbookViewId="0">
      <pane xSplit="3" ySplit="7" topLeftCell="D21" activePane="bottomRight" state="frozenSplit"/>
      <selection activeCell="D4" sqref="D1:L1048576"/>
      <selection pane="topRight" activeCell="D4" sqref="D1:L1048576"/>
      <selection pane="bottomLeft" activeCell="D4" sqref="D1:L1048576"/>
      <selection pane="bottomRight" activeCell="D4" sqref="D1:L1048576"/>
    </sheetView>
  </sheetViews>
  <sheetFormatPr defaultRowHeight="14.4"/>
  <cols>
    <col min="1" max="1" width="7.21875" customWidth="1"/>
    <col min="2" max="2" width="37.88671875" customWidth="1"/>
    <col min="3" max="3" width="15" customWidth="1"/>
    <col min="4" max="4" width="11.5546875" hidden="1" customWidth="1"/>
    <col min="5" max="5" width="11.33203125" hidden="1" customWidth="1"/>
    <col min="6" max="6" width="12.44140625" hidden="1" customWidth="1"/>
    <col min="7" max="9" width="11.21875" hidden="1" customWidth="1"/>
    <col min="10" max="10" width="11.33203125" hidden="1" customWidth="1"/>
    <col min="11" max="11" width="11.88671875" hidden="1" customWidth="1"/>
    <col min="12" max="12" width="11.33203125" hidden="1" customWidth="1"/>
    <col min="13" max="13" width="12.33203125" customWidth="1"/>
    <col min="14" max="14" width="11.5546875" customWidth="1"/>
    <col min="15" max="15" width="11.109375" customWidth="1"/>
    <col min="16" max="16" width="12.77734375" style="131" customWidth="1"/>
    <col min="17" max="17" width="12.88671875" style="59" customWidth="1"/>
    <col min="18" max="18" width="12.33203125" style="131" customWidth="1"/>
    <col min="19" max="19" width="12.33203125" style="147" customWidth="1"/>
    <col min="20" max="20" width="12.44140625" customWidth="1"/>
  </cols>
  <sheetData>
    <row r="1" spans="1:21" ht="15.6">
      <c r="A1" s="181" t="s">
        <v>0</v>
      </c>
      <c r="B1" s="181"/>
      <c r="C1" s="181"/>
      <c r="D1" s="181"/>
      <c r="E1" s="181"/>
      <c r="F1" s="181"/>
      <c r="G1" s="181"/>
      <c r="H1" s="181"/>
      <c r="I1" s="181"/>
      <c r="J1" s="181"/>
      <c r="K1" s="181"/>
      <c r="L1" s="181"/>
      <c r="M1" s="181"/>
      <c r="N1" s="181"/>
      <c r="O1" s="181"/>
      <c r="P1" s="181"/>
      <c r="Q1" s="181"/>
      <c r="R1" s="181"/>
      <c r="S1" s="181"/>
      <c r="T1" s="181"/>
    </row>
    <row r="2" spans="1:21" ht="17.399999999999999">
      <c r="A2" s="182" t="s">
        <v>1</v>
      </c>
      <c r="B2" s="182"/>
      <c r="C2" s="182"/>
      <c r="D2" s="182"/>
      <c r="E2" s="182"/>
      <c r="F2" s="182"/>
      <c r="G2" s="182"/>
      <c r="H2" s="182"/>
      <c r="I2" s="182"/>
      <c r="J2" s="182"/>
      <c r="K2" s="182"/>
      <c r="L2" s="182"/>
      <c r="M2" s="182"/>
      <c r="N2" s="182"/>
      <c r="O2" s="182"/>
      <c r="P2" s="182"/>
      <c r="Q2" s="182"/>
      <c r="R2" s="182"/>
      <c r="S2" s="182"/>
      <c r="T2" s="182"/>
    </row>
    <row r="3" spans="1:21" ht="15.6">
      <c r="A3" s="183" t="s">
        <v>2</v>
      </c>
      <c r="B3" s="183"/>
      <c r="C3" s="183"/>
      <c r="D3" s="183"/>
      <c r="E3" s="183"/>
      <c r="F3" s="183"/>
      <c r="G3" s="183"/>
      <c r="H3" s="183"/>
      <c r="I3" s="183"/>
      <c r="J3" s="183"/>
      <c r="K3" s="183"/>
      <c r="L3" s="183"/>
      <c r="M3" s="183"/>
      <c r="N3" s="183"/>
      <c r="O3" s="183"/>
      <c r="P3" s="183"/>
      <c r="Q3" s="183"/>
      <c r="R3" s="183"/>
      <c r="S3" s="183"/>
      <c r="T3" s="183"/>
    </row>
    <row r="4" spans="1:21" ht="6" customHeight="1">
      <c r="A4" s="29"/>
      <c r="B4" s="28"/>
      <c r="C4" s="28"/>
      <c r="D4" s="28"/>
      <c r="E4" s="28"/>
      <c r="F4" s="28"/>
      <c r="G4" s="28"/>
      <c r="H4" s="28"/>
      <c r="I4" s="28"/>
      <c r="J4" s="28"/>
      <c r="K4" s="28"/>
      <c r="L4" s="28"/>
      <c r="M4" s="28"/>
      <c r="N4" s="28"/>
      <c r="O4" s="28"/>
      <c r="P4" s="143"/>
      <c r="Q4" s="124"/>
      <c r="R4" s="143"/>
      <c r="S4" s="153"/>
      <c r="T4" s="1"/>
    </row>
    <row r="5" spans="1:21" ht="27.6">
      <c r="A5" s="2"/>
      <c r="B5" s="2"/>
      <c r="C5" s="2"/>
      <c r="D5" s="3" t="s">
        <v>3</v>
      </c>
      <c r="E5" s="3" t="s">
        <v>3</v>
      </c>
      <c r="F5" s="2"/>
      <c r="G5" s="2"/>
      <c r="H5" s="2"/>
      <c r="I5" s="2"/>
      <c r="J5" s="2"/>
      <c r="K5" s="2"/>
      <c r="L5" s="2"/>
      <c r="M5" s="2"/>
      <c r="N5" s="2"/>
      <c r="O5" s="2"/>
      <c r="P5" s="125" t="s">
        <v>117</v>
      </c>
      <c r="Q5" s="125" t="s">
        <v>86</v>
      </c>
      <c r="R5" s="125" t="s">
        <v>116</v>
      </c>
      <c r="S5" s="125" t="s">
        <v>119</v>
      </c>
      <c r="T5" s="123" t="s">
        <v>120</v>
      </c>
    </row>
    <row r="6" spans="1:21"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54" t="s">
        <v>6</v>
      </c>
      <c r="Q6" s="54" t="s">
        <v>6</v>
      </c>
      <c r="R6" s="54" t="s">
        <v>6</v>
      </c>
      <c r="S6" s="54" t="s">
        <v>6</v>
      </c>
      <c r="T6" s="7" t="s">
        <v>6</v>
      </c>
    </row>
    <row r="7" spans="1:21">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32"/>
      <c r="Q7" s="61"/>
      <c r="R7" s="132"/>
      <c r="S7" s="132"/>
      <c r="T7" s="8" t="s">
        <v>21</v>
      </c>
    </row>
    <row r="8" spans="1:21">
      <c r="A8" s="8"/>
      <c r="B8" s="3" t="s">
        <v>22</v>
      </c>
      <c r="C8" s="8"/>
      <c r="D8" s="8"/>
      <c r="E8" s="8"/>
      <c r="F8" s="8"/>
      <c r="G8" s="8"/>
      <c r="H8" s="8"/>
      <c r="I8" s="8"/>
      <c r="J8" s="8"/>
      <c r="K8" s="8"/>
      <c r="L8" s="8"/>
      <c r="M8" s="8"/>
      <c r="N8" s="8"/>
      <c r="O8" s="8"/>
      <c r="P8" s="132"/>
      <c r="Q8" s="61"/>
      <c r="R8" s="132"/>
      <c r="S8" s="132"/>
      <c r="T8" s="1"/>
    </row>
    <row r="9" spans="1:21">
      <c r="A9" s="8">
        <v>1</v>
      </c>
      <c r="B9" s="2" t="s">
        <v>23</v>
      </c>
      <c r="C9" s="8" t="s">
        <v>24</v>
      </c>
      <c r="D9" s="9">
        <v>150806</v>
      </c>
      <c r="E9" s="9">
        <v>150842</v>
      </c>
      <c r="F9" s="9">
        <v>150516</v>
      </c>
      <c r="G9" s="79">
        <v>150480</v>
      </c>
      <c r="H9" s="80">
        <v>150641</v>
      </c>
      <c r="I9" s="80">
        <v>150509</v>
      </c>
      <c r="J9" s="144">
        <v>150813</v>
      </c>
      <c r="K9" s="144">
        <v>150779</v>
      </c>
      <c r="L9" s="144">
        <v>151278</v>
      </c>
      <c r="M9" s="146">
        <v>152195</v>
      </c>
      <c r="N9" s="146">
        <v>152484</v>
      </c>
      <c r="O9" s="146">
        <v>153235</v>
      </c>
      <c r="P9" s="135">
        <f>SUM(D9:F9)</f>
        <v>452164</v>
      </c>
      <c r="Q9" s="64">
        <f>SUM(G9:I9)</f>
        <v>451630</v>
      </c>
      <c r="R9" s="135">
        <f>SUM(J9:L9)</f>
        <v>452870</v>
      </c>
      <c r="S9" s="135">
        <f>SUM(M9:O9)</f>
        <v>457914</v>
      </c>
      <c r="T9" s="9">
        <f>SUM(D9:O9)</f>
        <v>1814578</v>
      </c>
    </row>
    <row r="10" spans="1:21">
      <c r="A10" s="10">
        <f t="shared" ref="A10:A11" si="1">A9+1</f>
        <v>2</v>
      </c>
      <c r="B10" s="11" t="s">
        <v>25</v>
      </c>
      <c r="C10" s="8" t="s">
        <v>26</v>
      </c>
      <c r="D10" s="12">
        <v>48.137706084246098</v>
      </c>
      <c r="E10" s="12">
        <v>40.073388678350121</v>
      </c>
      <c r="F10" s="76">
        <v>34.218369443102773</v>
      </c>
      <c r="G10" s="76">
        <v>22.042735795876393</v>
      </c>
      <c r="H10" s="76">
        <v>12.281032305897392</v>
      </c>
      <c r="I10" s="76">
        <v>8.0888741834433677</v>
      </c>
      <c r="J10" s="76">
        <v>5.8833305156034115</v>
      </c>
      <c r="K10" s="76">
        <v>5.3354769369810153</v>
      </c>
      <c r="L10" s="76">
        <v>6.9655167030544396</v>
      </c>
      <c r="M10" s="76">
        <v>16.602087047119149</v>
      </c>
      <c r="N10" s="76">
        <v>33.14327239241473</v>
      </c>
      <c r="O10" s="76">
        <v>47.508209913911003</v>
      </c>
      <c r="P10" s="140">
        <f>P11/P9</f>
        <v>40.813990264281458</v>
      </c>
      <c r="Q10" s="94">
        <f>Q11/Q9</f>
        <v>14.136497209290894</v>
      </c>
      <c r="R10" s="140">
        <f>R11/R9</f>
        <v>6.0624241789816669</v>
      </c>
      <c r="S10" s="140">
        <f>S11/S9</f>
        <v>32.45258701804142</v>
      </c>
      <c r="T10" s="12">
        <f>T11/T9</f>
        <v>23.391150613644303</v>
      </c>
      <c r="U10" s="156"/>
    </row>
    <row r="11" spans="1:21">
      <c r="A11" s="8">
        <f t="shared" si="1"/>
        <v>3</v>
      </c>
      <c r="B11" s="2" t="s">
        <v>27</v>
      </c>
      <c r="C11" s="8" t="str">
        <f>"("&amp;A9&amp;") x ("&amp;A10&amp;")"</f>
        <v>(1) x (2)</v>
      </c>
      <c r="D11" s="13">
        <f t="shared" ref="D11:O11" si="2">D9*D10</f>
        <v>7259454.9037408167</v>
      </c>
      <c r="E11" s="13">
        <f t="shared" si="2"/>
        <v>6044750.0950196888</v>
      </c>
      <c r="F11" s="13">
        <f t="shared" si="2"/>
        <v>5150412.0950980568</v>
      </c>
      <c r="G11" s="13">
        <f t="shared" si="2"/>
        <v>3316990.8825634797</v>
      </c>
      <c r="H11" s="13">
        <f t="shared" si="2"/>
        <v>1850026.987592689</v>
      </c>
      <c r="I11" s="13">
        <f t="shared" si="2"/>
        <v>1217448.3644758777</v>
      </c>
      <c r="J11" s="13">
        <f t="shared" si="2"/>
        <v>887282.72504969733</v>
      </c>
      <c r="K11" s="13">
        <f t="shared" si="2"/>
        <v>804477.87708106055</v>
      </c>
      <c r="L11" s="13">
        <f t="shared" si="2"/>
        <v>1053729.4358046695</v>
      </c>
      <c r="M11" s="13">
        <f t="shared" si="2"/>
        <v>2526754.6381362989</v>
      </c>
      <c r="N11" s="13">
        <f t="shared" si="2"/>
        <v>5053818.747484968</v>
      </c>
      <c r="O11" s="13">
        <f t="shared" si="2"/>
        <v>7279920.5461581526</v>
      </c>
      <c r="P11" s="136">
        <f>SUM(D11:F11)</f>
        <v>18454617.093858562</v>
      </c>
      <c r="Q11" s="65">
        <f>SUM(G11:I11)</f>
        <v>6384466.2346320469</v>
      </c>
      <c r="R11" s="136">
        <f>SUM(J11:L11)</f>
        <v>2745490.0379354274</v>
      </c>
      <c r="S11" s="136">
        <f>SUM(M11:O11)</f>
        <v>14860493.931779418</v>
      </c>
      <c r="T11" s="13">
        <f>SUM(D11:O11)</f>
        <v>42445067.29820545</v>
      </c>
    </row>
    <row r="12" spans="1:21">
      <c r="A12" s="8"/>
      <c r="B12" s="2"/>
      <c r="C12" s="8"/>
      <c r="D12" s="14"/>
      <c r="E12" s="14"/>
      <c r="F12" s="14"/>
      <c r="G12" s="14"/>
      <c r="H12" s="14"/>
      <c r="I12" s="14"/>
      <c r="J12" s="14"/>
      <c r="K12" s="14"/>
      <c r="L12" s="14"/>
      <c r="M12" s="14"/>
      <c r="N12" s="14"/>
      <c r="O12" s="14"/>
      <c r="P12" s="133"/>
      <c r="Q12" s="62"/>
      <c r="R12" s="133"/>
      <c r="S12" s="133"/>
      <c r="T12" s="14"/>
    </row>
    <row r="13" spans="1:21" s="147" customFormat="1">
      <c r="A13" s="132"/>
      <c r="B13" s="86" t="s">
        <v>121</v>
      </c>
      <c r="C13" s="132" t="s">
        <v>24</v>
      </c>
      <c r="D13" s="157">
        <v>20316016.342799999</v>
      </c>
      <c r="E13" s="157">
        <v>13011547</v>
      </c>
      <c r="F13" s="157">
        <v>10479005</v>
      </c>
      <c r="G13" s="157">
        <v>7714477.6798500009</v>
      </c>
      <c r="H13" s="157">
        <v>3297360</v>
      </c>
      <c r="I13" s="157">
        <v>1968489</v>
      </c>
      <c r="J13" s="157">
        <v>2145139</v>
      </c>
      <c r="K13" s="157">
        <v>1956853</v>
      </c>
      <c r="L13" s="157">
        <v>3273458</v>
      </c>
      <c r="M13" s="157">
        <v>4833943</v>
      </c>
      <c r="N13" s="157">
        <v>15378531</v>
      </c>
      <c r="O13" s="157">
        <v>19467743</v>
      </c>
      <c r="P13" s="133"/>
      <c r="Q13" s="133"/>
      <c r="R13" s="133"/>
      <c r="S13" s="133"/>
      <c r="T13" s="133"/>
    </row>
    <row r="14" spans="1:21">
      <c r="A14" s="8">
        <v>4</v>
      </c>
      <c r="B14" s="15" t="s">
        <v>28</v>
      </c>
      <c r="C14" s="8" t="s">
        <v>24</v>
      </c>
      <c r="D14" s="16">
        <v>9163508.7650715783</v>
      </c>
      <c r="E14" s="16">
        <v>5564097.0273399986</v>
      </c>
      <c r="F14" s="16">
        <v>5529315.9960999992</v>
      </c>
      <c r="G14" s="81">
        <v>3919938.9588519176</v>
      </c>
      <c r="H14" s="82">
        <v>2352552.9991999995</v>
      </c>
      <c r="I14" s="82">
        <v>2000136.6165800001</v>
      </c>
      <c r="J14" s="145">
        <v>2133780.8979799999</v>
      </c>
      <c r="K14" s="145">
        <v>2054596.4539000001</v>
      </c>
      <c r="L14" s="145">
        <v>2453089.5638000001</v>
      </c>
      <c r="M14" s="149">
        <v>3015263.5350200003</v>
      </c>
      <c r="N14" s="149">
        <v>6697839.977620001</v>
      </c>
      <c r="O14" s="149">
        <v>8586501.7863699999</v>
      </c>
      <c r="P14" s="91"/>
      <c r="Q14" s="16"/>
      <c r="R14" s="91"/>
      <c r="S14" s="91"/>
      <c r="T14" s="16"/>
    </row>
    <row r="15" spans="1:21">
      <c r="A15" s="8">
        <v>5</v>
      </c>
      <c r="B15" s="2" t="s">
        <v>29</v>
      </c>
      <c r="C15" s="8" t="s">
        <v>24</v>
      </c>
      <c r="D15" s="16">
        <v>1357254</v>
      </c>
      <c r="E15" s="16">
        <v>1357578</v>
      </c>
      <c r="F15" s="16">
        <v>1354644</v>
      </c>
      <c r="G15" s="81">
        <v>1354320</v>
      </c>
      <c r="H15" s="82">
        <v>1355769</v>
      </c>
      <c r="I15" s="82">
        <v>1354581</v>
      </c>
      <c r="J15" s="145">
        <v>1386104</v>
      </c>
      <c r="K15" s="145">
        <v>1384612</v>
      </c>
      <c r="L15" s="145">
        <v>1386467</v>
      </c>
      <c r="M15" s="149">
        <v>1392529</v>
      </c>
      <c r="N15" s="149">
        <v>1390608</v>
      </c>
      <c r="O15" s="149">
        <v>1396726</v>
      </c>
      <c r="P15" s="91"/>
      <c r="Q15" s="16"/>
      <c r="R15" s="91"/>
      <c r="S15" s="91"/>
      <c r="T15" s="16"/>
    </row>
    <row r="16" spans="1:21">
      <c r="A16" s="8">
        <v>6</v>
      </c>
      <c r="B16" s="2" t="s">
        <v>30</v>
      </c>
      <c r="C16" s="8" t="str">
        <f>"("&amp;A14&amp;") - ("&amp;A15&amp;")"</f>
        <v>(4) - (5)</v>
      </c>
      <c r="D16" s="13">
        <f>D14-D15</f>
        <v>7806254.7650715783</v>
      </c>
      <c r="E16" s="13">
        <f t="shared" ref="E16:O16" si="3">E14-E15</f>
        <v>4206519.0273399986</v>
      </c>
      <c r="F16" s="13">
        <f t="shared" si="3"/>
        <v>4174671.9960999992</v>
      </c>
      <c r="G16" s="13">
        <f t="shared" si="3"/>
        <v>2565618.9588519176</v>
      </c>
      <c r="H16" s="13">
        <f t="shared" si="3"/>
        <v>996783.9991999995</v>
      </c>
      <c r="I16" s="13">
        <f t="shared" si="3"/>
        <v>645555.61658000015</v>
      </c>
      <c r="J16" s="13">
        <f t="shared" si="3"/>
        <v>747676.89797999989</v>
      </c>
      <c r="K16" s="13">
        <f t="shared" si="3"/>
        <v>669984.45390000008</v>
      </c>
      <c r="L16" s="13">
        <f t="shared" si="3"/>
        <v>1066622.5638000001</v>
      </c>
      <c r="M16" s="13">
        <f t="shared" si="3"/>
        <v>1622734.5350200003</v>
      </c>
      <c r="N16" s="13">
        <f t="shared" si="3"/>
        <v>5307231.977620001</v>
      </c>
      <c r="O16" s="13">
        <f t="shared" si="3"/>
        <v>7189775.7863699999</v>
      </c>
      <c r="P16" s="136">
        <f>SUM(D16:F16)</f>
        <v>16187445.788511576</v>
      </c>
      <c r="Q16" s="90">
        <f>SUM(G16:I16)</f>
        <v>4207958.5746319173</v>
      </c>
      <c r="R16" s="136">
        <f>SUM(J16:L16)</f>
        <v>2484283.9156800001</v>
      </c>
      <c r="S16" s="136">
        <f>SUM(M16:O16)</f>
        <v>14119742.299010001</v>
      </c>
      <c r="T16" s="13">
        <f>SUM(D16:O16)</f>
        <v>36999430.577833496</v>
      </c>
    </row>
    <row r="17" spans="1:20">
      <c r="A17" s="8"/>
      <c r="B17" s="17" t="s">
        <v>31</v>
      </c>
      <c r="C17" s="8"/>
      <c r="D17" s="12">
        <f>D16/D9</f>
        <v>51.76355559507963</v>
      </c>
      <c r="E17" s="12">
        <f>E16/E9</f>
        <v>27.88692159570941</v>
      </c>
      <c r="F17" s="12">
        <f>F16/F9</f>
        <v>27.735735709824862</v>
      </c>
      <c r="G17" s="76">
        <f t="shared" ref="G17:O17" si="4">G16/G9</f>
        <v>17.049567775464631</v>
      </c>
      <c r="H17" s="76">
        <f t="shared" si="4"/>
        <v>6.6169502273617375</v>
      </c>
      <c r="I17" s="76">
        <f t="shared" si="4"/>
        <v>4.2891495962367712</v>
      </c>
      <c r="J17" s="76">
        <f t="shared" si="4"/>
        <v>4.9576422323009286</v>
      </c>
      <c r="K17" s="76">
        <f t="shared" si="4"/>
        <v>4.4434865193428799</v>
      </c>
      <c r="L17" s="76">
        <f t="shared" si="4"/>
        <v>7.0507447467576254</v>
      </c>
      <c r="M17" s="76">
        <f t="shared" si="4"/>
        <v>10.662206610072607</v>
      </c>
      <c r="N17" s="76">
        <f t="shared" si="4"/>
        <v>34.805172854988072</v>
      </c>
      <c r="O17" s="76">
        <f t="shared" si="4"/>
        <v>46.919932041439615</v>
      </c>
      <c r="P17" s="140">
        <f>P16/P9</f>
        <v>35.799943800283913</v>
      </c>
      <c r="Q17" s="94">
        <f>Q16/Q9</f>
        <v>9.3172698328984289</v>
      </c>
      <c r="R17" s="140">
        <f>R16/R9</f>
        <v>5.4856447008633831</v>
      </c>
      <c r="S17" s="140">
        <f>S16/S9</f>
        <v>30.834921620675502</v>
      </c>
      <c r="T17" s="12">
        <f>T16/T9</f>
        <v>20.390102039060043</v>
      </c>
    </row>
    <row r="18" spans="1:20">
      <c r="A18" s="8">
        <v>7</v>
      </c>
      <c r="B18" s="2" t="s">
        <v>32</v>
      </c>
      <c r="C18" s="8" t="str">
        <f>"("&amp;A$11&amp;") - ("&amp;A16&amp;")"</f>
        <v>(3) - (6)</v>
      </c>
      <c r="D18" s="13">
        <f t="shared" ref="D18:O18" si="5">D11-D16</f>
        <v>-546799.86133076157</v>
      </c>
      <c r="E18" s="13">
        <f t="shared" si="5"/>
        <v>1838231.0676796902</v>
      </c>
      <c r="F18" s="13">
        <f t="shared" si="5"/>
        <v>975740.09899805766</v>
      </c>
      <c r="G18" s="13">
        <f t="shared" si="5"/>
        <v>751371.92371156206</v>
      </c>
      <c r="H18" s="13">
        <f t="shared" si="5"/>
        <v>853242.9883926895</v>
      </c>
      <c r="I18" s="13">
        <f t="shared" si="5"/>
        <v>571892.74789587758</v>
      </c>
      <c r="J18" s="13">
        <f t="shared" si="5"/>
        <v>139605.82706969744</v>
      </c>
      <c r="K18" s="13">
        <f t="shared" si="5"/>
        <v>134493.42318106047</v>
      </c>
      <c r="L18" s="13">
        <f t="shared" si="5"/>
        <v>-12893.127995330608</v>
      </c>
      <c r="M18" s="13">
        <f t="shared" si="5"/>
        <v>904020.10311629856</v>
      </c>
      <c r="N18" s="13">
        <f t="shared" si="5"/>
        <v>-253413.23013503291</v>
      </c>
      <c r="O18" s="13">
        <f t="shared" si="5"/>
        <v>90144.759788152762</v>
      </c>
      <c r="P18" s="136">
        <f>SUM(D18:F18)</f>
        <v>2267171.3053469863</v>
      </c>
      <c r="Q18" s="90">
        <f>SUM(G18:I18)</f>
        <v>2176507.6600001291</v>
      </c>
      <c r="R18" s="136">
        <f>SUM(J18:L18)</f>
        <v>261206.1222554273</v>
      </c>
      <c r="S18" s="136">
        <f>SUM(M18:O18)</f>
        <v>740751.63276941841</v>
      </c>
      <c r="T18" s="13">
        <f t="shared" ref="T18:T21" si="6">SUM(D18:O18)</f>
        <v>5445636.7203719607</v>
      </c>
    </row>
    <row r="19" spans="1:20">
      <c r="A19" s="8">
        <v>8</v>
      </c>
      <c r="B19" s="2" t="s">
        <v>33</v>
      </c>
      <c r="C19" s="8" t="s">
        <v>34</v>
      </c>
      <c r="D19" s="13">
        <f>D18*-0.044797</f>
        <v>24494.993388034123</v>
      </c>
      <c r="E19" s="13">
        <f t="shared" ref="E19:O19" si="7">E18*-0.044797</f>
        <v>-82347.237138847078</v>
      </c>
      <c r="F19" s="13">
        <f t="shared" si="7"/>
        <v>-43710.229214815983</v>
      </c>
      <c r="G19" s="13">
        <f t="shared" si="7"/>
        <v>-33659.208066506842</v>
      </c>
      <c r="H19" s="13">
        <f t="shared" si="7"/>
        <v>-38222.726151027309</v>
      </c>
      <c r="I19" s="13">
        <f t="shared" si="7"/>
        <v>-25619.079427491626</v>
      </c>
      <c r="J19" s="13">
        <f t="shared" si="7"/>
        <v>-6253.9222352412353</v>
      </c>
      <c r="K19" s="13">
        <f t="shared" si="7"/>
        <v>-6024.9018782419653</v>
      </c>
      <c r="L19" s="13">
        <f t="shared" si="7"/>
        <v>577.57345480682523</v>
      </c>
      <c r="M19" s="13">
        <f t="shared" si="7"/>
        <v>-40497.388559300824</v>
      </c>
      <c r="N19" s="13">
        <f t="shared" si="7"/>
        <v>11352.152470359068</v>
      </c>
      <c r="O19" s="13">
        <f t="shared" si="7"/>
        <v>-4038.2148042298791</v>
      </c>
      <c r="P19" s="136">
        <f>SUM(D19:F19)</f>
        <v>-101562.47296562893</v>
      </c>
      <c r="Q19" s="90">
        <f>SUM(G19:I19)</f>
        <v>-97501.013645025771</v>
      </c>
      <c r="R19" s="136">
        <f>SUM(J19:L19)</f>
        <v>-11701.250658676376</v>
      </c>
      <c r="S19" s="136">
        <f>SUM(M19:O19)</f>
        <v>-33183.450893171634</v>
      </c>
      <c r="T19" s="13">
        <f t="shared" si="6"/>
        <v>-243948.18816250275</v>
      </c>
    </row>
    <row r="20" spans="1:20">
      <c r="A20" s="8"/>
      <c r="B20" s="2"/>
      <c r="C20" s="18" t="s">
        <v>35</v>
      </c>
      <c r="D20" s="19">
        <v>3.2500000000000001E-2</v>
      </c>
      <c r="E20" s="19">
        <f>D20</f>
        <v>3.2500000000000001E-2</v>
      </c>
      <c r="F20" s="19">
        <f>E20</f>
        <v>3.2500000000000001E-2</v>
      </c>
      <c r="G20" s="72">
        <f>F20</f>
        <v>3.2500000000000001E-2</v>
      </c>
      <c r="H20" s="19">
        <f>G20</f>
        <v>3.2500000000000001E-2</v>
      </c>
      <c r="I20" s="19">
        <f t="shared" ref="I20:O20" si="8">H20</f>
        <v>3.2500000000000001E-2</v>
      </c>
      <c r="J20" s="138">
        <f t="shared" si="8"/>
        <v>3.2500000000000001E-2</v>
      </c>
      <c r="K20" s="19">
        <f t="shared" si="8"/>
        <v>3.2500000000000001E-2</v>
      </c>
      <c r="L20" s="19">
        <f t="shared" si="8"/>
        <v>3.2500000000000001E-2</v>
      </c>
      <c r="M20" s="19">
        <f>L20</f>
        <v>3.2500000000000001E-2</v>
      </c>
      <c r="N20" s="19">
        <f t="shared" si="8"/>
        <v>3.2500000000000001E-2</v>
      </c>
      <c r="O20" s="19">
        <f t="shared" si="8"/>
        <v>3.2500000000000001E-2</v>
      </c>
      <c r="P20" s="138"/>
      <c r="Q20" s="72"/>
      <c r="R20" s="138"/>
      <c r="S20" s="148"/>
      <c r="T20" s="19"/>
    </row>
    <row r="21" spans="1:20">
      <c r="A21" s="8">
        <v>9</v>
      </c>
      <c r="B21" s="2" t="s">
        <v>36</v>
      </c>
      <c r="C21" s="87" t="s">
        <v>41</v>
      </c>
      <c r="D21" s="20">
        <f>(D18+D19)/2*D20/12</f>
        <v>-707.28784200577684</v>
      </c>
      <c r="E21" s="20">
        <f>(D24+(E18+E19)/2)*E20/12</f>
        <v>961.2680986070726</v>
      </c>
      <c r="F21" s="20">
        <f>(E24+(F18+F19)/2)*F20/12</f>
        <v>4603.7546688963312</v>
      </c>
      <c r="G21" s="20">
        <f t="shared" ref="G21:O21" si="9">(F24+(G18+G19)/2)*G20/12</f>
        <v>6850.2495888920785</v>
      </c>
      <c r="H21" s="20">
        <f t="shared" si="9"/>
        <v>8944.3782557502582</v>
      </c>
      <c r="I21" s="20">
        <f t="shared" si="9"/>
        <v>10812.021478029439</v>
      </c>
      <c r="J21" s="20">
        <f t="shared" si="9"/>
        <v>11761.630333380033</v>
      </c>
      <c r="K21" s="20">
        <f t="shared" si="9"/>
        <v>12148.03324259383</v>
      </c>
      <c r="L21" s="20">
        <f t="shared" si="9"/>
        <v>12338.224641783127</v>
      </c>
      <c r="M21" s="20">
        <f t="shared" si="9"/>
        <v>13524.317029376929</v>
      </c>
      <c r="N21" s="20">
        <f t="shared" si="9"/>
        <v>14402.508021289848</v>
      </c>
      <c r="O21" s="20">
        <f t="shared" si="9"/>
        <v>14230.326384175658</v>
      </c>
      <c r="P21" s="136">
        <f>SUM(D21:F21)</f>
        <v>4857.734925497627</v>
      </c>
      <c r="Q21" s="90">
        <f>SUM(G21:I21)</f>
        <v>26606.649322671776</v>
      </c>
      <c r="R21" s="136">
        <f>SUM(J21:L21)</f>
        <v>36247.88821775699</v>
      </c>
      <c r="S21" s="136">
        <f>SUM(M21:O21)</f>
        <v>42157.151434842432</v>
      </c>
      <c r="T21" s="20">
        <f t="shared" si="6"/>
        <v>109869.42390076882</v>
      </c>
    </row>
    <row r="22" spans="1:20">
      <c r="A22" s="8"/>
      <c r="B22" s="21" t="s">
        <v>37</v>
      </c>
      <c r="C22" s="18"/>
      <c r="D22" s="22">
        <f>D18+D19+D21</f>
        <v>-523012.15578473324</v>
      </c>
      <c r="E22" s="22">
        <f t="shared" ref="E22:T22" si="10">E18+E19+E21</f>
        <v>1756845.09863945</v>
      </c>
      <c r="F22" s="22">
        <f t="shared" si="10"/>
        <v>936633.62445213797</v>
      </c>
      <c r="G22" s="22">
        <f t="shared" si="10"/>
        <v>724562.96523394727</v>
      </c>
      <c r="H22" s="22">
        <f t="shared" si="10"/>
        <v>823964.64049741253</v>
      </c>
      <c r="I22" s="22">
        <f t="shared" si="10"/>
        <v>557085.68994641537</v>
      </c>
      <c r="J22" s="22">
        <f t="shared" si="10"/>
        <v>145113.53516783623</v>
      </c>
      <c r="K22" s="22">
        <f t="shared" si="10"/>
        <v>140616.55454541233</v>
      </c>
      <c r="L22" s="22">
        <f t="shared" si="10"/>
        <v>22.670101259343937</v>
      </c>
      <c r="M22" s="22">
        <f t="shared" si="10"/>
        <v>877047.03158637474</v>
      </c>
      <c r="N22" s="22">
        <f t="shared" si="10"/>
        <v>-227658.56964338399</v>
      </c>
      <c r="O22" s="22">
        <f t="shared" si="10"/>
        <v>100336.87136809854</v>
      </c>
      <c r="P22" s="139">
        <f>P18+P19+P21</f>
        <v>2170466.5673068552</v>
      </c>
      <c r="Q22" s="95">
        <f>Q18+Q19+Q21</f>
        <v>2105613.2956777751</v>
      </c>
      <c r="R22" s="139">
        <f>R18+R19+R21</f>
        <v>285752.75981450791</v>
      </c>
      <c r="S22" s="139">
        <f>S18+S19+S21</f>
        <v>749725.3333110892</v>
      </c>
      <c r="T22" s="22">
        <f t="shared" si="10"/>
        <v>5311557.9561102269</v>
      </c>
    </row>
    <row r="23" spans="1:20">
      <c r="A23" s="8"/>
      <c r="B23" s="180" t="s">
        <v>38</v>
      </c>
      <c r="C23" s="8"/>
      <c r="D23" s="14"/>
      <c r="E23" s="14"/>
      <c r="F23" s="14"/>
      <c r="G23" s="14"/>
      <c r="H23" s="14"/>
      <c r="I23" s="14"/>
      <c r="J23" s="14"/>
      <c r="K23" s="14"/>
      <c r="L23" s="14"/>
      <c r="M23" s="14"/>
      <c r="N23" s="14"/>
      <c r="O23" s="14"/>
      <c r="P23" s="133"/>
      <c r="Q23" s="62"/>
      <c r="R23" s="133"/>
      <c r="S23" s="133"/>
      <c r="T23" s="1"/>
    </row>
    <row r="24" spans="1:20">
      <c r="A24" s="8">
        <v>10</v>
      </c>
      <c r="B24" s="180"/>
      <c r="C24" s="8" t="str">
        <f>"Σ(("&amp;A$18&amp;") + ("&amp;A21&amp;"))"</f>
        <v>Σ((7) + (9))</v>
      </c>
      <c r="D24" s="13">
        <f>D18+D19+D21</f>
        <v>-523012.15578473324</v>
      </c>
      <c r="E24" s="13">
        <f>D24+E18+E19+E21</f>
        <v>1233832.9428547169</v>
      </c>
      <c r="F24" s="13">
        <f t="shared" ref="F24:N24" si="11">E24+F18+F19+F21</f>
        <v>2170466.5673068552</v>
      </c>
      <c r="G24" s="13">
        <f t="shared" si="11"/>
        <v>2895029.5325408024</v>
      </c>
      <c r="H24" s="13">
        <f t="shared" si="11"/>
        <v>3718994.1730382149</v>
      </c>
      <c r="I24" s="13">
        <f t="shared" si="11"/>
        <v>4276079.8629846303</v>
      </c>
      <c r="J24" s="13">
        <f t="shared" si="11"/>
        <v>4421193.3981524659</v>
      </c>
      <c r="K24" s="13">
        <f t="shared" si="11"/>
        <v>4561809.9526978778</v>
      </c>
      <c r="L24" s="13">
        <f t="shared" si="11"/>
        <v>4561832.6227991367</v>
      </c>
      <c r="M24" s="13">
        <f t="shared" si="11"/>
        <v>5438879.6543855118</v>
      </c>
      <c r="N24" s="13">
        <f t="shared" si="11"/>
        <v>5211221.084742127</v>
      </c>
      <c r="O24" s="23">
        <f>N24+O18+O19+O21</f>
        <v>5311557.9561102251</v>
      </c>
      <c r="P24" s="137"/>
      <c r="Q24" s="69"/>
      <c r="R24" s="137"/>
      <c r="S24" s="137"/>
      <c r="T24" s="1"/>
    </row>
    <row r="25" spans="1:20">
      <c r="A25" s="8"/>
      <c r="B25" s="180"/>
      <c r="C25" s="8"/>
      <c r="D25" s="14"/>
      <c r="E25" s="14"/>
      <c r="F25" s="14"/>
      <c r="G25" s="14"/>
      <c r="H25" s="14"/>
      <c r="I25" s="14"/>
      <c r="J25" s="14"/>
      <c r="K25" s="14"/>
      <c r="L25" s="14"/>
      <c r="M25" s="14"/>
      <c r="N25" s="14"/>
      <c r="O25" s="14"/>
      <c r="P25" s="133"/>
      <c r="Q25" s="62"/>
      <c r="R25" s="133"/>
      <c r="S25" s="133"/>
      <c r="T25" s="1"/>
    </row>
    <row r="26" spans="1:20">
      <c r="A26" s="8"/>
      <c r="B26" s="2"/>
      <c r="C26" s="8"/>
      <c r="D26" s="13"/>
      <c r="E26" s="13"/>
      <c r="F26" s="13"/>
      <c r="G26" s="13"/>
      <c r="H26" s="13"/>
      <c r="I26" s="13"/>
      <c r="J26" s="13"/>
      <c r="K26" s="13"/>
      <c r="L26" s="13"/>
      <c r="M26" s="13"/>
      <c r="N26" s="13"/>
      <c r="O26" s="13"/>
      <c r="P26" s="136"/>
      <c r="Q26" s="65"/>
      <c r="R26" s="136"/>
      <c r="S26" s="136"/>
      <c r="T26" s="1"/>
    </row>
    <row r="27" spans="1:20">
      <c r="A27" s="8"/>
      <c r="B27" s="2"/>
      <c r="C27" s="8"/>
      <c r="D27" s="13"/>
      <c r="E27" s="13"/>
      <c r="F27" s="13"/>
      <c r="G27" s="13"/>
      <c r="H27" s="13"/>
      <c r="I27" s="13"/>
      <c r="J27" s="13"/>
      <c r="K27" s="13"/>
      <c r="L27" s="13"/>
      <c r="M27" s="13"/>
      <c r="N27" s="13"/>
      <c r="O27" s="13"/>
      <c r="P27" s="136"/>
      <c r="Q27" s="65"/>
      <c r="R27" s="136"/>
      <c r="S27" s="136"/>
      <c r="T27" s="1"/>
    </row>
    <row r="28" spans="1:20">
      <c r="A28" s="8"/>
      <c r="B28" s="3" t="s">
        <v>39</v>
      </c>
      <c r="C28" s="8"/>
      <c r="D28" s="8"/>
      <c r="E28" s="8"/>
      <c r="F28" s="8"/>
      <c r="G28" s="8"/>
      <c r="H28" s="8"/>
      <c r="I28" s="8"/>
      <c r="J28" s="8"/>
      <c r="K28" s="8"/>
      <c r="L28" s="8"/>
      <c r="M28" s="8"/>
      <c r="N28" s="8"/>
      <c r="O28" s="8"/>
      <c r="P28" s="132"/>
      <c r="Q28" s="61"/>
      <c r="R28" s="132"/>
      <c r="S28" s="132"/>
      <c r="T28" s="1"/>
    </row>
    <row r="29" spans="1:20">
      <c r="A29" s="8">
        <v>11</v>
      </c>
      <c r="B29" s="2" t="s">
        <v>23</v>
      </c>
      <c r="C29" s="8" t="s">
        <v>24</v>
      </c>
      <c r="D29" s="9">
        <v>2622</v>
      </c>
      <c r="E29" s="9">
        <v>2634</v>
      </c>
      <c r="F29" s="9">
        <v>2688</v>
      </c>
      <c r="G29" s="83">
        <v>2640</v>
      </c>
      <c r="H29" s="84">
        <v>2654</v>
      </c>
      <c r="I29" s="84">
        <v>2647</v>
      </c>
      <c r="J29" s="146">
        <v>2647</v>
      </c>
      <c r="K29" s="146">
        <v>2642</v>
      </c>
      <c r="L29" s="146">
        <v>2653</v>
      </c>
      <c r="M29" s="146">
        <v>2650</v>
      </c>
      <c r="N29" s="146">
        <v>2644</v>
      </c>
      <c r="O29" s="146">
        <v>2687</v>
      </c>
      <c r="P29" s="135">
        <f>SUM(D29:F29)</f>
        <v>7944</v>
      </c>
      <c r="Q29" s="89">
        <f>SUM(G29:I29)</f>
        <v>7941</v>
      </c>
      <c r="R29" s="135">
        <f>SUM(J29:L29)</f>
        <v>7942</v>
      </c>
      <c r="S29" s="135">
        <f>SUM(M29:O29)</f>
        <v>7981</v>
      </c>
      <c r="T29" s="89">
        <f>SUM(D29:O29)</f>
        <v>31808</v>
      </c>
    </row>
    <row r="30" spans="1:20">
      <c r="A30" s="10">
        <v>12</v>
      </c>
      <c r="B30" s="11" t="s">
        <v>25</v>
      </c>
      <c r="C30" s="8" t="s">
        <v>26</v>
      </c>
      <c r="D30" s="24">
        <v>642.23525919067015</v>
      </c>
      <c r="E30" s="24">
        <v>547.49948301856114</v>
      </c>
      <c r="F30" s="24">
        <v>491.15466582936881</v>
      </c>
      <c r="G30" s="24">
        <v>334.58697461438828</v>
      </c>
      <c r="H30" s="24">
        <v>208.08129936813936</v>
      </c>
      <c r="I30" s="24">
        <v>166.52662349562945</v>
      </c>
      <c r="J30" s="24">
        <v>142.14700255957811</v>
      </c>
      <c r="K30" s="24">
        <v>156.16362568722522</v>
      </c>
      <c r="L30" s="24">
        <v>211.98631991522504</v>
      </c>
      <c r="M30" s="24">
        <v>390.54187068635031</v>
      </c>
      <c r="N30" s="24">
        <v>557.50859652134125</v>
      </c>
      <c r="O30" s="24">
        <v>660.89827911352268</v>
      </c>
      <c r="P30" s="140">
        <f>P31/P29</f>
        <v>559.70269758536904</v>
      </c>
      <c r="Q30" s="94">
        <f>Q31/Q29</f>
        <v>236.28678427124518</v>
      </c>
      <c r="R30" s="140">
        <f>R31/R29</f>
        <v>170.13940085317859</v>
      </c>
      <c r="S30" s="140">
        <f>S31/S29</f>
        <v>536.87788027807164</v>
      </c>
      <c r="T30" s="94">
        <f>T31/T29</f>
        <v>375.96519955958769</v>
      </c>
    </row>
    <row r="31" spans="1:20">
      <c r="A31" s="8">
        <v>13</v>
      </c>
      <c r="B31" s="2" t="s">
        <v>27</v>
      </c>
      <c r="C31" s="8" t="str">
        <f>"("&amp;A29&amp;") x ("&amp;A30&amp;")"</f>
        <v>(11) x (12)</v>
      </c>
      <c r="D31" s="13">
        <f t="shared" ref="D31:O31" si="12">D29*D30</f>
        <v>1683940.8495979372</v>
      </c>
      <c r="E31" s="13">
        <f t="shared" si="12"/>
        <v>1442113.6382708901</v>
      </c>
      <c r="F31" s="13">
        <f t="shared" si="12"/>
        <v>1320223.7417493435</v>
      </c>
      <c r="G31" s="13">
        <f t="shared" si="12"/>
        <v>883309.61298198509</v>
      </c>
      <c r="H31" s="13">
        <f t="shared" si="12"/>
        <v>552247.76852304186</v>
      </c>
      <c r="I31" s="13">
        <f t="shared" si="12"/>
        <v>440795.97239293117</v>
      </c>
      <c r="J31" s="13">
        <f t="shared" si="12"/>
        <v>376263.11577520327</v>
      </c>
      <c r="K31" s="13">
        <f t="shared" si="12"/>
        <v>412584.29906564904</v>
      </c>
      <c r="L31" s="13">
        <f t="shared" si="12"/>
        <v>562399.70673509198</v>
      </c>
      <c r="M31" s="13">
        <f t="shared" si="12"/>
        <v>1034935.9573188283</v>
      </c>
      <c r="N31" s="13">
        <f t="shared" si="12"/>
        <v>1474052.7292024263</v>
      </c>
      <c r="O31" s="13">
        <f t="shared" si="12"/>
        <v>1775833.6759780354</v>
      </c>
      <c r="P31" s="136">
        <f>SUM(D31:F31)</f>
        <v>4446278.2296181712</v>
      </c>
      <c r="Q31" s="90">
        <f>SUM(G31:I31)</f>
        <v>1876353.3538979581</v>
      </c>
      <c r="R31" s="136">
        <f>SUM(J31:L31)</f>
        <v>1351247.1215759444</v>
      </c>
      <c r="S31" s="136">
        <f>SUM(M31:O31)</f>
        <v>4284822.3624992901</v>
      </c>
      <c r="T31" s="13">
        <f>SUM(D31:O31)</f>
        <v>11958701.067591365</v>
      </c>
    </row>
    <row r="32" spans="1:20">
      <c r="A32" s="8"/>
      <c r="B32" s="2"/>
      <c r="C32" s="8"/>
      <c r="D32" s="14"/>
      <c r="E32" s="14"/>
      <c r="F32" s="14"/>
      <c r="G32" s="14"/>
      <c r="H32" s="14"/>
      <c r="I32" s="14"/>
      <c r="J32" s="14"/>
      <c r="K32" s="14"/>
      <c r="L32" s="14"/>
      <c r="M32" s="14"/>
      <c r="N32" s="14"/>
      <c r="O32" s="14"/>
      <c r="P32" s="133"/>
      <c r="Q32" s="88"/>
      <c r="R32" s="133"/>
      <c r="S32" s="133"/>
      <c r="T32" s="14"/>
    </row>
    <row r="33" spans="1:20" s="147" customFormat="1">
      <c r="A33" s="132"/>
      <c r="B33" s="86" t="s">
        <v>121</v>
      </c>
      <c r="C33" s="132" t="s">
        <v>24</v>
      </c>
      <c r="D33" s="157">
        <v>6976301.3523000004</v>
      </c>
      <c r="E33" s="157">
        <v>6062129</v>
      </c>
      <c r="F33" s="157">
        <v>4366524</v>
      </c>
      <c r="G33" s="157">
        <v>3881255.713</v>
      </c>
      <c r="H33" s="157">
        <v>2151394</v>
      </c>
      <c r="I33" s="157">
        <v>1884766</v>
      </c>
      <c r="J33" s="157">
        <v>1570309</v>
      </c>
      <c r="K33" s="157">
        <v>1559112</v>
      </c>
      <c r="L33" s="157">
        <v>2190921</v>
      </c>
      <c r="M33" s="157">
        <v>2990095</v>
      </c>
      <c r="N33" s="157">
        <v>6044897</v>
      </c>
      <c r="O33" s="157">
        <v>6497733</v>
      </c>
      <c r="P33" s="133"/>
      <c r="Q33" s="133"/>
      <c r="R33" s="133"/>
      <c r="S33" s="133"/>
      <c r="T33" s="133"/>
    </row>
    <row r="34" spans="1:20">
      <c r="A34" s="8">
        <v>14</v>
      </c>
      <c r="B34" s="15" t="s">
        <v>28</v>
      </c>
      <c r="C34" s="8" t="s">
        <v>24</v>
      </c>
      <c r="D34" s="16">
        <v>1739453.4398748712</v>
      </c>
      <c r="E34" s="16">
        <v>1533381.22603</v>
      </c>
      <c r="F34" s="16">
        <v>1343015.4651600004</v>
      </c>
      <c r="G34" s="96">
        <v>1101125.7798617501</v>
      </c>
      <c r="H34" s="97">
        <v>700532.59237999981</v>
      </c>
      <c r="I34" s="97">
        <v>616648.19738000014</v>
      </c>
      <c r="J34" s="149">
        <v>549118.65526999999</v>
      </c>
      <c r="K34" s="149">
        <v>547598.22138999996</v>
      </c>
      <c r="L34" s="149">
        <v>686636.99804000009</v>
      </c>
      <c r="M34" s="149">
        <v>862125.90353000001</v>
      </c>
      <c r="N34" s="149">
        <v>1566029.1900700005</v>
      </c>
      <c r="O34" s="149">
        <v>1733268.2038799999</v>
      </c>
      <c r="P34" s="91"/>
      <c r="Q34" s="91"/>
      <c r="R34" s="91"/>
      <c r="S34" s="91"/>
      <c r="T34" s="89"/>
    </row>
    <row r="35" spans="1:20">
      <c r="A35" s="8">
        <v>15</v>
      </c>
      <c r="B35" s="2" t="s">
        <v>29</v>
      </c>
      <c r="C35" s="8" t="s">
        <v>24</v>
      </c>
      <c r="D35" s="16">
        <v>231552.08000000002</v>
      </c>
      <c r="E35" s="16">
        <v>232468.36000000002</v>
      </c>
      <c r="F35" s="16">
        <v>237296.72</v>
      </c>
      <c r="G35" s="96">
        <v>233118.80000000002</v>
      </c>
      <c r="H35" s="97">
        <v>234209.16</v>
      </c>
      <c r="I35" s="97">
        <v>233599.88</v>
      </c>
      <c r="J35" s="149">
        <v>234359.71</v>
      </c>
      <c r="K35" s="149">
        <v>233812</v>
      </c>
      <c r="L35" s="149">
        <v>235201.2</v>
      </c>
      <c r="M35" s="149">
        <v>235529.44</v>
      </c>
      <c r="N35" s="149">
        <v>234163.62</v>
      </c>
      <c r="O35" s="149">
        <v>237838.19000000003</v>
      </c>
      <c r="P35" s="91"/>
      <c r="Q35" s="91"/>
      <c r="R35" s="91"/>
      <c r="S35" s="91"/>
      <c r="T35" s="94"/>
    </row>
    <row r="36" spans="1:20">
      <c r="A36" s="8">
        <v>16</v>
      </c>
      <c r="B36" s="2" t="s">
        <v>30</v>
      </c>
      <c r="C36" s="8" t="str">
        <f>"("&amp;A34&amp;") - ("&amp;A35&amp;")"</f>
        <v>(14) - (15)</v>
      </c>
      <c r="D36" s="13">
        <f t="shared" ref="D36:O36" si="13">D34-D35</f>
        <v>1507901.3598748711</v>
      </c>
      <c r="E36" s="13">
        <f t="shared" si="13"/>
        <v>1300912.8660299999</v>
      </c>
      <c r="F36" s="13">
        <f t="shared" si="13"/>
        <v>1105718.7451600004</v>
      </c>
      <c r="G36" s="13">
        <f t="shared" si="13"/>
        <v>868006.97986175003</v>
      </c>
      <c r="H36" s="13">
        <f t="shared" si="13"/>
        <v>466323.43237999978</v>
      </c>
      <c r="I36" s="13">
        <f t="shared" si="13"/>
        <v>383048.31738000014</v>
      </c>
      <c r="J36" s="13">
        <f t="shared" si="13"/>
        <v>314758.94527000003</v>
      </c>
      <c r="K36" s="13">
        <f t="shared" si="13"/>
        <v>313786.22138999996</v>
      </c>
      <c r="L36" s="13">
        <f t="shared" si="13"/>
        <v>451435.79804000008</v>
      </c>
      <c r="M36" s="13">
        <f t="shared" si="13"/>
        <v>626596.46353000007</v>
      </c>
      <c r="N36" s="13">
        <f t="shared" si="13"/>
        <v>1331865.5700700004</v>
      </c>
      <c r="O36" s="13">
        <f t="shared" si="13"/>
        <v>1495430.01388</v>
      </c>
      <c r="P36" s="136">
        <f>SUM(D36:F36)</f>
        <v>3914532.9710648712</v>
      </c>
      <c r="Q36" s="90">
        <f>SUM(G36:I36)</f>
        <v>1717378.7296217501</v>
      </c>
      <c r="R36" s="136">
        <f>SUM(J36:L36)</f>
        <v>1079980.9647000001</v>
      </c>
      <c r="S36" s="136">
        <f>SUM(M36:O36)</f>
        <v>3453892.0474800002</v>
      </c>
      <c r="T36" s="13">
        <f>SUM(D36:O36)</f>
        <v>10165784.712866621</v>
      </c>
    </row>
    <row r="37" spans="1:20">
      <c r="A37" s="8"/>
      <c r="B37" s="17" t="s">
        <v>40</v>
      </c>
      <c r="C37" s="8"/>
      <c r="D37" s="24">
        <f>D36/D29</f>
        <v>575.09586570361216</v>
      </c>
      <c r="E37" s="24">
        <f>E36/E29</f>
        <v>493.89250798405465</v>
      </c>
      <c r="F37" s="24">
        <f>F36/F29</f>
        <v>411.35369983630966</v>
      </c>
      <c r="G37" s="24">
        <f t="shared" ref="G37:O37" si="14">G36/G29</f>
        <v>328.79052267490533</v>
      </c>
      <c r="H37" s="24">
        <f t="shared" si="14"/>
        <v>175.70589012057263</v>
      </c>
      <c r="I37" s="24">
        <f t="shared" si="14"/>
        <v>144.71035790706466</v>
      </c>
      <c r="J37" s="24">
        <f t="shared" si="14"/>
        <v>118.91157735927466</v>
      </c>
      <c r="K37" s="24">
        <f t="shared" si="14"/>
        <v>118.76844110143828</v>
      </c>
      <c r="L37" s="24">
        <f t="shared" si="14"/>
        <v>170.1604968111572</v>
      </c>
      <c r="M37" s="24">
        <f t="shared" si="14"/>
        <v>236.45149567169813</v>
      </c>
      <c r="N37" s="24">
        <f t="shared" si="14"/>
        <v>503.73130486762494</v>
      </c>
      <c r="O37" s="24">
        <f t="shared" si="14"/>
        <v>556.54261774469671</v>
      </c>
      <c r="P37" s="140">
        <f>P36/P29</f>
        <v>492.7659832659707</v>
      </c>
      <c r="Q37" s="94">
        <f>Q36/Q29</f>
        <v>216.26731263339002</v>
      </c>
      <c r="R37" s="140">
        <f>R36/R29</f>
        <v>135.9835009695291</v>
      </c>
      <c r="S37" s="140">
        <f>S36/S29</f>
        <v>432.76432119784488</v>
      </c>
      <c r="T37" s="24">
        <f>T36/T29</f>
        <v>319.59836245179264</v>
      </c>
    </row>
    <row r="38" spans="1:20">
      <c r="A38" s="8">
        <v>17</v>
      </c>
      <c r="B38" s="2" t="s">
        <v>32</v>
      </c>
      <c r="C38" s="8" t="str">
        <f>"("&amp;A31&amp;") - ("&amp;A36&amp;")"</f>
        <v>(13) - (16)</v>
      </c>
      <c r="D38" s="13">
        <f t="shared" ref="D38:O38" si="15">D31-D36</f>
        <v>176039.4897230661</v>
      </c>
      <c r="E38" s="13">
        <f t="shared" si="15"/>
        <v>141200.77224089019</v>
      </c>
      <c r="F38" s="13">
        <f t="shared" si="15"/>
        <v>214504.99658934306</v>
      </c>
      <c r="G38" s="13">
        <f t="shared" si="15"/>
        <v>15302.633120235056</v>
      </c>
      <c r="H38" s="13">
        <f t="shared" si="15"/>
        <v>85924.336143042077</v>
      </c>
      <c r="I38" s="13">
        <f t="shared" si="15"/>
        <v>57747.655012931034</v>
      </c>
      <c r="J38" s="13">
        <f t="shared" si="15"/>
        <v>61504.170505203248</v>
      </c>
      <c r="K38" s="13">
        <f t="shared" si="15"/>
        <v>98798.077675649081</v>
      </c>
      <c r="L38" s="13">
        <f t="shared" si="15"/>
        <v>110963.9086950919</v>
      </c>
      <c r="M38" s="13">
        <f t="shared" si="15"/>
        <v>408339.49378882826</v>
      </c>
      <c r="N38" s="13">
        <f t="shared" si="15"/>
        <v>142187.15913242591</v>
      </c>
      <c r="O38" s="13">
        <f t="shared" si="15"/>
        <v>280403.66209803545</v>
      </c>
      <c r="P38" s="136">
        <f>SUM(D38:F38)</f>
        <v>531745.25855329935</v>
      </c>
      <c r="Q38" s="90">
        <f>SUM(G38:I38)</f>
        <v>158974.62427620817</v>
      </c>
      <c r="R38" s="136">
        <f>SUM(J38:L38)</f>
        <v>271266.15687594423</v>
      </c>
      <c r="S38" s="136">
        <f>SUM(M38:O38)</f>
        <v>830930.31501928961</v>
      </c>
      <c r="T38" s="13">
        <f t="shared" ref="T38:T41" si="16">SUM(D38:O38)</f>
        <v>1792916.3547247415</v>
      </c>
    </row>
    <row r="39" spans="1:20">
      <c r="A39" s="8">
        <v>18</v>
      </c>
      <c r="B39" s="2" t="s">
        <v>33</v>
      </c>
      <c r="C39" s="8" t="s">
        <v>34</v>
      </c>
      <c r="D39" s="13">
        <f>D38*-0.044797</f>
        <v>-7886.0410211241915</v>
      </c>
      <c r="E39" s="13">
        <f t="shared" ref="E39:O39" si="17">E38*-0.044797</f>
        <v>-6325.3709940751578</v>
      </c>
      <c r="F39" s="13">
        <f t="shared" si="17"/>
        <v>-9609.1803322127998</v>
      </c>
      <c r="G39" s="13">
        <f t="shared" si="17"/>
        <v>-685.51205588716971</v>
      </c>
      <c r="H39" s="13">
        <f t="shared" si="17"/>
        <v>-3849.1524861998555</v>
      </c>
      <c r="I39" s="13">
        <f t="shared" si="17"/>
        <v>-2586.9217016142716</v>
      </c>
      <c r="J39" s="13">
        <f t="shared" si="17"/>
        <v>-2755.2023261215895</v>
      </c>
      <c r="K39" s="13">
        <f t="shared" si="17"/>
        <v>-4425.8574856360519</v>
      </c>
      <c r="L39" s="13">
        <f t="shared" si="17"/>
        <v>-4970.8502178140316</v>
      </c>
      <c r="M39" s="13">
        <f t="shared" si="17"/>
        <v>-18292.384303258139</v>
      </c>
      <c r="N39" s="13">
        <f t="shared" si="17"/>
        <v>-6369.5581676552829</v>
      </c>
      <c r="O39" s="13">
        <f t="shared" si="17"/>
        <v>-12561.242851005693</v>
      </c>
      <c r="P39" s="136">
        <f>SUM(D39:F39)</f>
        <v>-23820.592347412148</v>
      </c>
      <c r="Q39" s="90">
        <f>SUM(G39:I39)</f>
        <v>-7121.5862437012966</v>
      </c>
      <c r="R39" s="136">
        <f>SUM(J39:L39)</f>
        <v>-12151.910029571673</v>
      </c>
      <c r="S39" s="136">
        <f>SUM(M39:O39)</f>
        <v>-37223.185321919111</v>
      </c>
      <c r="T39" s="13">
        <f t="shared" si="16"/>
        <v>-80317.273942604239</v>
      </c>
    </row>
    <row r="40" spans="1:20">
      <c r="A40" s="8"/>
      <c r="B40" s="2"/>
      <c r="C40" s="8" t="s">
        <v>35</v>
      </c>
      <c r="D40" s="19">
        <v>3.2500000000000001E-2</v>
      </c>
      <c r="E40" s="19">
        <f>D40</f>
        <v>3.2500000000000001E-2</v>
      </c>
      <c r="F40" s="19">
        <f>E40</f>
        <v>3.2500000000000001E-2</v>
      </c>
      <c r="G40" s="72">
        <f>F40</f>
        <v>3.2500000000000001E-2</v>
      </c>
      <c r="H40" s="19">
        <f>G40</f>
        <v>3.2500000000000001E-2</v>
      </c>
      <c r="I40" s="19">
        <f t="shared" ref="I40:O40" si="18">H40</f>
        <v>3.2500000000000001E-2</v>
      </c>
      <c r="J40" s="148">
        <f t="shared" si="18"/>
        <v>3.2500000000000001E-2</v>
      </c>
      <c r="K40" s="19">
        <f t="shared" si="18"/>
        <v>3.2500000000000001E-2</v>
      </c>
      <c r="L40" s="19">
        <f t="shared" si="18"/>
        <v>3.2500000000000001E-2</v>
      </c>
      <c r="M40" s="19">
        <f>L40</f>
        <v>3.2500000000000001E-2</v>
      </c>
      <c r="N40" s="19">
        <f t="shared" si="18"/>
        <v>3.2500000000000001E-2</v>
      </c>
      <c r="O40" s="19">
        <f t="shared" si="18"/>
        <v>3.2500000000000001E-2</v>
      </c>
      <c r="P40" s="138"/>
      <c r="Q40" s="93"/>
      <c r="R40" s="138"/>
      <c r="S40" s="148"/>
      <c r="T40" s="19"/>
    </row>
    <row r="41" spans="1:20">
      <c r="A41" s="8">
        <v>19</v>
      </c>
      <c r="B41" s="2" t="s">
        <v>36</v>
      </c>
      <c r="C41" s="8" t="s">
        <v>41</v>
      </c>
      <c r="D41" s="20">
        <f>(D38+D39)/2*D40/12</f>
        <v>227.70779511721301</v>
      </c>
      <c r="E41" s="20">
        <f>(D44+(E38+E39)/2)*E40/12</f>
        <v>638.6760713679306</v>
      </c>
      <c r="F41" s="20">
        <f>(E44+(F38+F39)/2)*F40/12</f>
        <v>1100.5126760978112</v>
      </c>
      <c r="G41" s="20">
        <f t="shared" ref="G41:O41" si="19">(F44+(G38+G39)/2)*G40/12</f>
        <v>1400.7503338850777</v>
      </c>
      <c r="H41" s="20">
        <f t="shared" si="19"/>
        <v>1535.4815286826281</v>
      </c>
      <c r="I41" s="20">
        <f t="shared" si="19"/>
        <v>1725.4804287171921</v>
      </c>
      <c r="J41" s="20">
        <f t="shared" si="19"/>
        <v>1884.406325646549</v>
      </c>
      <c r="K41" s="20">
        <f t="shared" si="19"/>
        <v>2096.8615353616574</v>
      </c>
      <c r="L41" s="20">
        <f t="shared" si="19"/>
        <v>2373.8685168818852</v>
      </c>
      <c r="M41" s="20">
        <f t="shared" si="19"/>
        <v>3052.0188048981295</v>
      </c>
      <c r="N41" s="20">
        <f t="shared" si="19"/>
        <v>3772.3931512295658</v>
      </c>
      <c r="O41" s="20">
        <f t="shared" si="19"/>
        <v>4329.2329933842921</v>
      </c>
      <c r="P41" s="136">
        <f>SUM(D41:F41)</f>
        <v>1966.8965425829547</v>
      </c>
      <c r="Q41" s="90">
        <f>SUM(G41:I41)</f>
        <v>4661.7122912848981</v>
      </c>
      <c r="R41" s="136">
        <f>SUM(J41:L41)</f>
        <v>6355.1363778900923</v>
      </c>
      <c r="S41" s="136">
        <f>SUM(M41:O41)</f>
        <v>11153.644949511987</v>
      </c>
      <c r="T41" s="20">
        <f t="shared" si="16"/>
        <v>24137.39016126993</v>
      </c>
    </row>
    <row r="42" spans="1:20">
      <c r="A42" s="8"/>
      <c r="B42" s="21" t="s">
        <v>42</v>
      </c>
      <c r="C42" s="8"/>
      <c r="D42" s="25">
        <f>D38+D39+D41</f>
        <v>168381.15649705913</v>
      </c>
      <c r="E42" s="25">
        <f t="shared" ref="E42:T42" si="20">E38+E39+E41</f>
        <v>135514.07731818297</v>
      </c>
      <c r="F42" s="25">
        <f t="shared" si="20"/>
        <v>205996.32893322807</v>
      </c>
      <c r="G42" s="25">
        <f t="shared" si="20"/>
        <v>16017.871398232965</v>
      </c>
      <c r="H42" s="25">
        <f t="shared" si="20"/>
        <v>83610.665185524849</v>
      </c>
      <c r="I42" s="25">
        <f t="shared" si="20"/>
        <v>56886.213740033956</v>
      </c>
      <c r="J42" s="25">
        <f t="shared" si="20"/>
        <v>60633.374504728214</v>
      </c>
      <c r="K42" s="25">
        <f t="shared" si="20"/>
        <v>96469.081725374694</v>
      </c>
      <c r="L42" s="25">
        <f t="shared" si="20"/>
        <v>108366.92699415976</v>
      </c>
      <c r="M42" s="25">
        <f t="shared" si="20"/>
        <v>393099.12829046824</v>
      </c>
      <c r="N42" s="25">
        <f t="shared" si="20"/>
        <v>139589.99411600019</v>
      </c>
      <c r="O42" s="25">
        <f t="shared" si="20"/>
        <v>272171.65224041406</v>
      </c>
      <c r="P42" s="139">
        <f>P38+P39+P41</f>
        <v>509891.56274847017</v>
      </c>
      <c r="Q42" s="95">
        <f>Q38+Q39+Q41</f>
        <v>156514.75032379178</v>
      </c>
      <c r="R42" s="139">
        <f>R38+R39+R41</f>
        <v>265469.38322426262</v>
      </c>
      <c r="S42" s="139">
        <f>S38+S39+S41</f>
        <v>804860.77464688243</v>
      </c>
      <c r="T42" s="25">
        <f t="shared" si="20"/>
        <v>1736736.4709434074</v>
      </c>
    </row>
    <row r="43" spans="1:20">
      <c r="A43" s="8"/>
      <c r="B43" s="180" t="s">
        <v>43</v>
      </c>
      <c r="C43" s="8"/>
      <c r="D43" s="14"/>
      <c r="E43" s="14"/>
      <c r="F43" s="14"/>
      <c r="G43" s="14"/>
      <c r="H43" s="14"/>
      <c r="I43" s="14"/>
      <c r="J43" s="14"/>
      <c r="K43" s="14"/>
      <c r="L43" s="14"/>
      <c r="M43" s="14"/>
      <c r="N43" s="14"/>
      <c r="O43" s="14"/>
      <c r="P43" s="133"/>
      <c r="Q43" s="62"/>
      <c r="R43" s="133"/>
      <c r="S43" s="133"/>
      <c r="T43" s="1"/>
    </row>
    <row r="44" spans="1:20">
      <c r="A44" s="8">
        <v>20</v>
      </c>
      <c r="B44" s="180"/>
      <c r="C44" s="8" t="str">
        <f>"Σ(("&amp;A38&amp;") + ("&amp;A41&amp;"))"</f>
        <v>Σ((17) + (19))</v>
      </c>
      <c r="D44" s="13">
        <f>D38+D39+D41</f>
        <v>168381.15649705913</v>
      </c>
      <c r="E44" s="13">
        <f>D44+E38+E39+E41</f>
        <v>303895.23381524213</v>
      </c>
      <c r="F44" s="13">
        <f t="shared" ref="F44:O44" si="21">E44+F38+F39+F41</f>
        <v>509891.56274847017</v>
      </c>
      <c r="G44" s="13">
        <f t="shared" si="21"/>
        <v>525909.4341467031</v>
      </c>
      <c r="H44" s="13">
        <f t="shared" si="21"/>
        <v>609520.09933222795</v>
      </c>
      <c r="I44" s="13">
        <f t="shared" si="21"/>
        <v>666406.31307226198</v>
      </c>
      <c r="J44" s="13">
        <f t="shared" si="21"/>
        <v>727039.68757699011</v>
      </c>
      <c r="K44" s="13">
        <f t="shared" si="21"/>
        <v>823508.76930236479</v>
      </c>
      <c r="L44" s="13">
        <f t="shared" si="21"/>
        <v>931875.69629652449</v>
      </c>
      <c r="M44" s="13">
        <f t="shared" si="21"/>
        <v>1324974.8245869929</v>
      </c>
      <c r="N44" s="13">
        <f t="shared" si="21"/>
        <v>1464564.818702993</v>
      </c>
      <c r="O44" s="23">
        <f t="shared" si="21"/>
        <v>1736736.4709434072</v>
      </c>
      <c r="P44" s="137"/>
      <c r="Q44" s="69"/>
      <c r="R44" s="137"/>
      <c r="S44" s="137"/>
      <c r="T44" s="1"/>
    </row>
    <row r="45" spans="1:20">
      <c r="A45" s="8"/>
      <c r="B45" s="180"/>
      <c r="C45" s="2"/>
      <c r="D45" s="2"/>
      <c r="E45" s="2"/>
      <c r="F45" s="2"/>
      <c r="G45" s="2"/>
      <c r="H45" s="2"/>
      <c r="I45" s="2"/>
      <c r="J45" s="2"/>
      <c r="K45" s="2"/>
      <c r="L45" s="2"/>
      <c r="M45" s="2"/>
      <c r="N45" s="2"/>
      <c r="O45" s="26"/>
      <c r="P45" s="26"/>
      <c r="Q45" s="26"/>
      <c r="R45" s="26"/>
      <c r="S45" s="26"/>
    </row>
    <row r="46" spans="1:20">
      <c r="A46" s="8">
        <v>21</v>
      </c>
      <c r="B46" s="86" t="s">
        <v>88</v>
      </c>
      <c r="C46" s="8" t="str">
        <f>"("&amp;A24&amp;") + ("&amp;A44&amp;")"</f>
        <v>(10) + (20)</v>
      </c>
      <c r="D46" s="13">
        <f>D24+D44</f>
        <v>-354630.99928767409</v>
      </c>
      <c r="E46" s="13">
        <f t="shared" ref="E46:O46" si="22">E24+E44</f>
        <v>1537728.176669959</v>
      </c>
      <c r="F46" s="13">
        <f t="shared" si="22"/>
        <v>2680358.1300553256</v>
      </c>
      <c r="G46" s="13">
        <f t="shared" si="22"/>
        <v>3420938.9666875056</v>
      </c>
      <c r="H46" s="13">
        <f t="shared" si="22"/>
        <v>4328514.2723704427</v>
      </c>
      <c r="I46" s="13">
        <f t="shared" si="22"/>
        <v>4942486.1760568926</v>
      </c>
      <c r="J46" s="13">
        <f t="shared" si="22"/>
        <v>5148233.0857294556</v>
      </c>
      <c r="K46" s="13">
        <f t="shared" si="22"/>
        <v>5385318.7220002422</v>
      </c>
      <c r="L46" s="13">
        <f t="shared" si="22"/>
        <v>5493708.3190956609</v>
      </c>
      <c r="M46" s="13">
        <f t="shared" si="22"/>
        <v>6763854.4789725048</v>
      </c>
      <c r="N46" s="13">
        <f t="shared" si="22"/>
        <v>6675785.90344512</v>
      </c>
      <c r="O46" s="23">
        <f t="shared" si="22"/>
        <v>7048294.4270536322</v>
      </c>
      <c r="P46" s="137"/>
      <c r="Q46" s="69"/>
      <c r="R46" s="137"/>
      <c r="S46" s="137"/>
    </row>
    <row r="47" spans="1:20">
      <c r="A47" s="27"/>
      <c r="B47" s="27"/>
      <c r="C47" s="27"/>
      <c r="D47" s="27"/>
      <c r="E47" s="27"/>
      <c r="F47" s="27"/>
      <c r="G47" s="27"/>
      <c r="H47" s="27"/>
      <c r="I47" s="27"/>
      <c r="J47" s="27"/>
      <c r="K47" s="27"/>
      <c r="L47" s="27"/>
      <c r="M47" s="27"/>
      <c r="N47" s="27"/>
      <c r="O47" s="27"/>
      <c r="P47" s="134"/>
      <c r="Q47" s="63"/>
      <c r="R47" s="134"/>
      <c r="S47" s="134"/>
      <c r="T47" s="1"/>
    </row>
  </sheetData>
  <mergeCells count="5">
    <mergeCell ref="A1:T1"/>
    <mergeCell ref="A2:T2"/>
    <mergeCell ref="A3:T3"/>
    <mergeCell ref="B43:B45"/>
    <mergeCell ref="B23:B25"/>
  </mergeCells>
  <printOptions horizontalCentered="1"/>
  <pageMargins left="0.7" right="0.57999999999999996" top="1.08" bottom="0.75" header="0.5" footer="0.5"/>
  <pageSetup scale="69" orientation="landscape" r:id="rId1"/>
  <headerFooter>
    <oddHeader>&amp;CAvista Corporation Decoupling Mechanism
Washington Jurisdiction
Quarterly Report for 4th Quarter 2015</oddHeader>
    <oddFooter>&amp;Cfile: &amp;F / &amp;A&amp;RPage 2 of 6</oddFooter>
  </headerFooter>
</worksheet>
</file>

<file path=xl/worksheets/sheet3.xml><?xml version="1.0" encoding="utf-8"?>
<worksheet xmlns="http://schemas.openxmlformats.org/spreadsheetml/2006/main" xmlns:r="http://schemas.openxmlformats.org/officeDocument/2006/relationships">
  <dimension ref="A1:Q114"/>
  <sheetViews>
    <sheetView topLeftCell="A93" zoomScaleNormal="100" workbookViewId="0">
      <selection activeCell="D4" sqref="D1:L1048576"/>
    </sheetView>
  </sheetViews>
  <sheetFormatPr defaultRowHeight="14.4"/>
  <cols>
    <col min="1" max="1" width="7.33203125" customWidth="1"/>
    <col min="2" max="2" width="34.88671875" customWidth="1"/>
    <col min="3" max="3" width="6.21875" customWidth="1"/>
    <col min="4" max="4" width="9.44140625" customWidth="1"/>
    <col min="5" max="5" width="12.21875" customWidth="1"/>
    <col min="6" max="6" width="12.44140625" customWidth="1"/>
    <col min="7" max="7" width="13.44140625" customWidth="1"/>
    <col min="8" max="8" width="1.6640625" customWidth="1"/>
    <col min="10" max="10" width="13.21875" bestFit="1" customWidth="1"/>
    <col min="11" max="11" width="12.21875" customWidth="1"/>
    <col min="12" max="12" width="11.109375" bestFit="1" customWidth="1"/>
    <col min="13" max="14" width="11.44140625" customWidth="1"/>
  </cols>
  <sheetData>
    <row r="1" spans="1:17" ht="15.6">
      <c r="A1" s="184" t="s">
        <v>55</v>
      </c>
      <c r="B1" s="184"/>
      <c r="C1" s="184"/>
      <c r="D1" s="184"/>
      <c r="E1" s="184"/>
      <c r="F1" s="184"/>
      <c r="G1" s="184"/>
      <c r="H1" s="184"/>
    </row>
    <row r="3" spans="1:17">
      <c r="A3" s="147" t="s">
        <v>122</v>
      </c>
      <c r="B3" s="147"/>
      <c r="C3" s="147"/>
      <c r="D3" s="147"/>
      <c r="E3" s="147"/>
      <c r="F3" s="147"/>
      <c r="G3" s="147"/>
      <c r="K3" s="147" t="s">
        <v>122</v>
      </c>
      <c r="L3" s="147"/>
      <c r="M3" s="147"/>
      <c r="N3" s="147"/>
      <c r="O3" s="147"/>
      <c r="P3" s="147"/>
      <c r="Q3" s="147"/>
    </row>
    <row r="4" spans="1:17">
      <c r="A4" s="147"/>
      <c r="B4" s="147"/>
      <c r="C4" s="147"/>
      <c r="D4" s="147"/>
      <c r="E4" s="147"/>
      <c r="F4" s="147"/>
      <c r="G4" s="147"/>
      <c r="K4" s="147"/>
      <c r="L4" s="147"/>
      <c r="M4" s="147"/>
      <c r="N4" s="147"/>
      <c r="O4" s="147"/>
      <c r="P4" s="147"/>
      <c r="Q4" s="147"/>
    </row>
    <row r="5" spans="1:17">
      <c r="A5" s="98" t="s">
        <v>56</v>
      </c>
      <c r="B5" s="147"/>
      <c r="C5" s="45" t="s">
        <v>74</v>
      </c>
      <c r="D5" s="147"/>
      <c r="E5" s="147"/>
      <c r="F5" s="147"/>
      <c r="G5" s="147"/>
    </row>
    <row r="6" spans="1:17">
      <c r="A6" s="147"/>
      <c r="B6" s="147"/>
      <c r="C6" s="147"/>
      <c r="D6" s="147"/>
      <c r="E6" s="147"/>
      <c r="F6" s="147"/>
      <c r="G6" s="147"/>
    </row>
    <row r="7" spans="1:17" ht="27">
      <c r="A7" s="166" t="s">
        <v>57</v>
      </c>
      <c r="B7" s="167" t="s">
        <v>58</v>
      </c>
      <c r="C7" s="168" t="s">
        <v>59</v>
      </c>
      <c r="D7" s="166" t="s">
        <v>60</v>
      </c>
      <c r="E7" s="166" t="s">
        <v>61</v>
      </c>
      <c r="F7" s="166" t="s">
        <v>62</v>
      </c>
      <c r="G7" s="166" t="s">
        <v>63</v>
      </c>
    </row>
    <row r="8" spans="1:17" ht="14.4" customHeight="1">
      <c r="A8" s="100" t="s">
        <v>64</v>
      </c>
      <c r="B8" s="99" t="s">
        <v>65</v>
      </c>
      <c r="C8" s="101" t="s">
        <v>66</v>
      </c>
      <c r="D8" s="102" t="s">
        <v>123</v>
      </c>
      <c r="E8" s="103">
        <v>2656473.94</v>
      </c>
      <c r="F8" s="104">
        <v>2614993.63</v>
      </c>
      <c r="G8" s="103">
        <v>5271467.57</v>
      </c>
    </row>
    <row r="9" spans="1:17">
      <c r="A9" s="105"/>
      <c r="B9" s="99" t="s">
        <v>65</v>
      </c>
      <c r="C9" s="106"/>
      <c r="D9" s="102" t="s">
        <v>124</v>
      </c>
      <c r="E9" s="103">
        <v>5271467.57</v>
      </c>
      <c r="F9" s="104">
        <v>959885.14</v>
      </c>
      <c r="G9" s="103">
        <v>6231352.71</v>
      </c>
    </row>
    <row r="10" spans="1:17">
      <c r="A10" s="105"/>
      <c r="B10" s="99" t="s">
        <v>65</v>
      </c>
      <c r="C10" s="107"/>
      <c r="D10" s="102" t="s">
        <v>125</v>
      </c>
      <c r="E10" s="103">
        <v>6231352.71</v>
      </c>
      <c r="F10" s="104">
        <v>936395.39</v>
      </c>
      <c r="G10" s="103">
        <v>7167748.0999999996</v>
      </c>
    </row>
    <row r="11" spans="1:17">
      <c r="A11" s="105"/>
      <c r="B11" s="158"/>
      <c r="C11" s="159" t="s">
        <v>81</v>
      </c>
      <c r="D11" s="158"/>
      <c r="E11" s="160"/>
      <c r="F11" s="161" t="s">
        <v>126</v>
      </c>
      <c r="G11" s="160"/>
    </row>
    <row r="12" spans="1:17">
      <c r="A12" s="105"/>
      <c r="B12" s="99" t="s">
        <v>65</v>
      </c>
      <c r="C12" s="101" t="s">
        <v>67</v>
      </c>
      <c r="D12" s="102" t="s">
        <v>123</v>
      </c>
      <c r="E12" s="103">
        <v>4561832.6100000003</v>
      </c>
      <c r="F12" s="104">
        <v>877047.03</v>
      </c>
      <c r="G12" s="103">
        <v>5438879.6399999997</v>
      </c>
    </row>
    <row r="13" spans="1:17">
      <c r="A13" s="105"/>
      <c r="B13" s="99" t="s">
        <v>65</v>
      </c>
      <c r="C13" s="106"/>
      <c r="D13" s="102" t="s">
        <v>124</v>
      </c>
      <c r="E13" s="103">
        <v>5438879.6399999997</v>
      </c>
      <c r="F13" s="104">
        <v>-227658.57</v>
      </c>
      <c r="G13" s="103">
        <v>5211221.07</v>
      </c>
    </row>
    <row r="14" spans="1:17">
      <c r="A14" s="105"/>
      <c r="B14" s="99" t="s">
        <v>65</v>
      </c>
      <c r="C14" s="107"/>
      <c r="D14" s="102" t="s">
        <v>125</v>
      </c>
      <c r="E14" s="103">
        <v>5211221.07</v>
      </c>
      <c r="F14" s="104">
        <v>100336.87</v>
      </c>
      <c r="G14" s="103">
        <v>5311557.9400000004</v>
      </c>
    </row>
    <row r="15" spans="1:17">
      <c r="A15" s="111"/>
      <c r="B15" s="158"/>
      <c r="C15" s="159" t="s">
        <v>82</v>
      </c>
      <c r="D15" s="158"/>
      <c r="E15" s="160"/>
      <c r="F15" s="161" t="s">
        <v>127</v>
      </c>
      <c r="G15" s="160"/>
    </row>
    <row r="16" spans="1:17" ht="14.4" customHeight="1">
      <c r="A16" s="162"/>
      <c r="B16" s="163" t="s">
        <v>77</v>
      </c>
      <c r="C16" s="162"/>
      <c r="D16" s="162"/>
      <c r="E16" s="164"/>
      <c r="F16" s="165" t="s">
        <v>128</v>
      </c>
      <c r="G16" s="164"/>
    </row>
    <row r="17" spans="1:9" ht="14.4" customHeight="1">
      <c r="A17" s="100" t="s">
        <v>68</v>
      </c>
      <c r="B17" s="99" t="s">
        <v>69</v>
      </c>
      <c r="C17" s="101" t="s">
        <v>66</v>
      </c>
      <c r="D17" s="102" t="s">
        <v>123</v>
      </c>
      <c r="E17" s="103">
        <v>-3003848.19</v>
      </c>
      <c r="F17" s="104">
        <v>-34656.120000000003</v>
      </c>
      <c r="G17" s="103">
        <v>-3038504.31</v>
      </c>
    </row>
    <row r="18" spans="1:9">
      <c r="A18" s="105"/>
      <c r="B18" s="99" t="s">
        <v>69</v>
      </c>
      <c r="C18" s="106"/>
      <c r="D18" s="102" t="s">
        <v>124</v>
      </c>
      <c r="E18" s="103">
        <v>-3038504.31</v>
      </c>
      <c r="F18" s="104">
        <v>-628814.29</v>
      </c>
      <c r="G18" s="103">
        <v>-3667318.6</v>
      </c>
    </row>
    <row r="19" spans="1:9">
      <c r="A19" s="105"/>
      <c r="B19" s="99" t="s">
        <v>69</v>
      </c>
      <c r="C19" s="107"/>
      <c r="D19" s="102" t="s">
        <v>125</v>
      </c>
      <c r="E19" s="103">
        <v>-3667318.6</v>
      </c>
      <c r="F19" s="104">
        <v>1293846.82</v>
      </c>
      <c r="G19" s="103">
        <v>-2373471.7800000003</v>
      </c>
    </row>
    <row r="20" spans="1:9">
      <c r="A20" s="105"/>
      <c r="B20" s="158"/>
      <c r="C20" s="159" t="s">
        <v>81</v>
      </c>
      <c r="D20" s="158"/>
      <c r="E20" s="160"/>
      <c r="F20" s="161" t="s">
        <v>129</v>
      </c>
      <c r="G20" s="160"/>
    </row>
    <row r="21" spans="1:9">
      <c r="A21" s="105"/>
      <c r="B21" s="99" t="s">
        <v>69</v>
      </c>
      <c r="C21" s="101" t="s">
        <v>67</v>
      </c>
      <c r="D21" s="102" t="s">
        <v>123</v>
      </c>
      <c r="E21" s="103">
        <v>931875.70000000007</v>
      </c>
      <c r="F21" s="104">
        <v>393099.13</v>
      </c>
      <c r="G21" s="103">
        <v>1324974.83</v>
      </c>
    </row>
    <row r="22" spans="1:9">
      <c r="A22" s="105"/>
      <c r="B22" s="99" t="s">
        <v>69</v>
      </c>
      <c r="C22" s="106"/>
      <c r="D22" s="102" t="s">
        <v>124</v>
      </c>
      <c r="E22" s="103">
        <v>1324974.83</v>
      </c>
      <c r="F22" s="104">
        <v>139589.99</v>
      </c>
      <c r="G22" s="103">
        <v>1464564.82</v>
      </c>
    </row>
    <row r="23" spans="1:9">
      <c r="A23" s="105"/>
      <c r="B23" s="99" t="s">
        <v>69</v>
      </c>
      <c r="C23" s="107"/>
      <c r="D23" s="102" t="s">
        <v>125</v>
      </c>
      <c r="E23" s="103">
        <v>1464564.82</v>
      </c>
      <c r="F23" s="104">
        <v>272171.65000000002</v>
      </c>
      <c r="G23" s="103">
        <v>1736736.47</v>
      </c>
    </row>
    <row r="24" spans="1:9">
      <c r="A24" s="111"/>
      <c r="B24" s="158"/>
      <c r="C24" s="159" t="s">
        <v>82</v>
      </c>
      <c r="D24" s="158"/>
      <c r="E24" s="160"/>
      <c r="F24" s="161" t="s">
        <v>130</v>
      </c>
      <c r="G24" s="160"/>
    </row>
    <row r="25" spans="1:9">
      <c r="A25" s="162"/>
      <c r="B25" s="163" t="s">
        <v>80</v>
      </c>
      <c r="C25" s="162"/>
      <c r="D25" s="162"/>
      <c r="E25" s="164"/>
      <c r="F25" s="165" t="s">
        <v>131</v>
      </c>
      <c r="G25" s="164"/>
    </row>
    <row r="26" spans="1:9">
      <c r="A26" s="46"/>
      <c r="B26" s="46"/>
      <c r="C26" s="46"/>
      <c r="D26" s="46"/>
      <c r="E26" s="47"/>
      <c r="F26" s="48"/>
      <c r="G26" s="47"/>
    </row>
    <row r="27" spans="1:9">
      <c r="A27" s="147" t="s">
        <v>122</v>
      </c>
      <c r="B27" s="147"/>
      <c r="C27" s="147"/>
      <c r="D27" s="147"/>
      <c r="E27" s="147"/>
      <c r="F27" s="147"/>
      <c r="G27" s="147"/>
    </row>
    <row r="28" spans="1:9">
      <c r="A28" s="147"/>
      <c r="B28" s="147"/>
      <c r="C28" s="147"/>
      <c r="D28" s="147"/>
      <c r="E28" s="147"/>
      <c r="F28" s="147"/>
      <c r="G28" s="147"/>
    </row>
    <row r="29" spans="1:9">
      <c r="A29" s="98" t="s">
        <v>56</v>
      </c>
      <c r="B29" s="147"/>
      <c r="C29" s="45" t="s">
        <v>75</v>
      </c>
      <c r="D29" s="147"/>
      <c r="E29" s="147"/>
      <c r="F29" s="147"/>
      <c r="G29" s="147"/>
      <c r="I29" s="45"/>
    </row>
    <row r="30" spans="1:9">
      <c r="A30" s="147"/>
      <c r="B30" s="147"/>
      <c r="C30" s="147"/>
      <c r="D30" s="147"/>
      <c r="E30" s="147"/>
      <c r="F30" s="147"/>
      <c r="G30" s="147"/>
    </row>
    <row r="31" spans="1:9" ht="27">
      <c r="A31" s="166" t="s">
        <v>57</v>
      </c>
      <c r="B31" s="167" t="s">
        <v>58</v>
      </c>
      <c r="C31" s="168" t="s">
        <v>59</v>
      </c>
      <c r="D31" s="166" t="s">
        <v>60</v>
      </c>
      <c r="E31" s="166" t="s">
        <v>61</v>
      </c>
      <c r="F31" s="166" t="s">
        <v>62</v>
      </c>
      <c r="G31" s="166" t="s">
        <v>63</v>
      </c>
    </row>
    <row r="32" spans="1:9" ht="14.4" customHeight="1">
      <c r="A32" s="100" t="s">
        <v>70</v>
      </c>
      <c r="B32" s="99" t="s">
        <v>71</v>
      </c>
      <c r="C32" s="101" t="s">
        <v>67</v>
      </c>
      <c r="D32" s="102" t="s">
        <v>123</v>
      </c>
      <c r="E32" s="103">
        <v>5594.43</v>
      </c>
      <c r="F32" s="104">
        <v>15.15</v>
      </c>
      <c r="G32" s="103">
        <v>5609.58</v>
      </c>
    </row>
    <row r="33" spans="1:13">
      <c r="A33" s="105"/>
      <c r="B33" s="99" t="s">
        <v>71</v>
      </c>
      <c r="C33" s="106"/>
      <c r="D33" s="102" t="s">
        <v>124</v>
      </c>
      <c r="E33" s="103">
        <v>5609.58</v>
      </c>
      <c r="F33" s="104">
        <v>15.19</v>
      </c>
      <c r="G33" s="103">
        <v>5624.77</v>
      </c>
    </row>
    <row r="34" spans="1:13">
      <c r="A34" s="105"/>
      <c r="B34" s="99" t="s">
        <v>71</v>
      </c>
      <c r="C34" s="107"/>
      <c r="D34" s="102" t="s">
        <v>125</v>
      </c>
      <c r="E34" s="103">
        <v>5624.77</v>
      </c>
      <c r="F34" s="104">
        <v>15.23</v>
      </c>
      <c r="G34" s="103">
        <v>5640</v>
      </c>
    </row>
    <row r="35" spans="1:13">
      <c r="A35" s="111"/>
      <c r="B35" s="158"/>
      <c r="C35" s="159" t="s">
        <v>82</v>
      </c>
      <c r="D35" s="158"/>
      <c r="E35" s="160"/>
      <c r="F35" s="161" t="s">
        <v>132</v>
      </c>
      <c r="G35" s="160"/>
    </row>
    <row r="37" spans="1:13">
      <c r="A37" s="147" t="s">
        <v>122</v>
      </c>
      <c r="B37" s="147"/>
      <c r="C37" s="147"/>
      <c r="D37" s="147"/>
      <c r="E37" s="147"/>
      <c r="F37" s="147"/>
      <c r="G37" s="147"/>
    </row>
    <row r="38" spans="1:13">
      <c r="A38" s="147"/>
      <c r="B38" s="147"/>
      <c r="C38" s="147"/>
      <c r="D38" s="147"/>
      <c r="E38" s="147"/>
      <c r="F38" s="147"/>
      <c r="G38" s="147"/>
    </row>
    <row r="39" spans="1:13">
      <c r="A39" s="98" t="s">
        <v>56</v>
      </c>
      <c r="B39" s="92"/>
      <c r="C39" s="45" t="s">
        <v>76</v>
      </c>
      <c r="D39" s="92"/>
      <c r="E39" s="92"/>
      <c r="F39" s="92"/>
      <c r="G39" s="92"/>
    </row>
    <row r="40" spans="1:13">
      <c r="A40" s="92"/>
      <c r="B40" s="92"/>
      <c r="C40" s="92"/>
      <c r="D40" s="92"/>
      <c r="E40" s="92"/>
      <c r="F40" s="92"/>
      <c r="G40" s="92"/>
    </row>
    <row r="41" spans="1:13" ht="27">
      <c r="A41" s="166" t="s">
        <v>57</v>
      </c>
      <c r="B41" s="167" t="s">
        <v>58</v>
      </c>
      <c r="C41" s="168" t="s">
        <v>59</v>
      </c>
      <c r="D41" s="166" t="s">
        <v>60</v>
      </c>
      <c r="E41" s="166" t="s">
        <v>61</v>
      </c>
      <c r="F41" s="166" t="s">
        <v>62</v>
      </c>
      <c r="G41" s="166" t="s">
        <v>63</v>
      </c>
      <c r="J41" s="50" t="s">
        <v>84</v>
      </c>
    </row>
    <row r="42" spans="1:13">
      <c r="A42" s="100" t="s">
        <v>72</v>
      </c>
      <c r="B42" s="99" t="s">
        <v>73</v>
      </c>
      <c r="C42" s="101" t="s">
        <v>66</v>
      </c>
      <c r="D42" s="102" t="s">
        <v>123</v>
      </c>
      <c r="E42" s="103">
        <v>121580.99</v>
      </c>
      <c r="F42" s="104">
        <v>-903118.13</v>
      </c>
      <c r="G42" s="103">
        <v>-781537.14</v>
      </c>
      <c r="J42" s="49">
        <f>(G8+G17)*-0.35</f>
        <v>-781537.14100000006</v>
      </c>
      <c r="K42" s="51">
        <f>G42-J42</f>
        <v>1.0000000474974513E-3</v>
      </c>
    </row>
    <row r="43" spans="1:13" s="85" customFormat="1">
      <c r="A43" s="105"/>
      <c r="B43" s="99" t="s">
        <v>73</v>
      </c>
      <c r="C43" s="106"/>
      <c r="D43" s="102" t="s">
        <v>124</v>
      </c>
      <c r="E43" s="103">
        <v>-781537.14</v>
      </c>
      <c r="F43" s="104">
        <v>-115874.8</v>
      </c>
      <c r="G43" s="103">
        <v>-897411.94000000006</v>
      </c>
      <c r="I43"/>
      <c r="J43" s="68">
        <f t="shared" ref="J43:J44" si="0">(G9+G18)*-0.35</f>
        <v>-897411.93849999993</v>
      </c>
      <c r="K43" s="51">
        <f t="shared" ref="K43:K44" si="1">G43-J43</f>
        <v>-1.5000001294538379E-3</v>
      </c>
    </row>
    <row r="44" spans="1:13" s="85" customFormat="1">
      <c r="A44" s="105"/>
      <c r="B44" s="99" t="s">
        <v>73</v>
      </c>
      <c r="C44" s="107"/>
      <c r="D44" s="102" t="s">
        <v>125</v>
      </c>
      <c r="E44" s="103">
        <v>-897411.94000000006</v>
      </c>
      <c r="F44" s="104">
        <v>-780584.77</v>
      </c>
      <c r="G44" s="103">
        <v>-1677996.71</v>
      </c>
      <c r="I44"/>
      <c r="J44" s="68">
        <f t="shared" si="0"/>
        <v>-1677996.7119999996</v>
      </c>
      <c r="K44" s="51">
        <f t="shared" si="1"/>
        <v>1.9999996293336153E-3</v>
      </c>
    </row>
    <row r="45" spans="1:13">
      <c r="A45" s="105"/>
      <c r="B45" s="158"/>
      <c r="C45" s="159" t="s">
        <v>81</v>
      </c>
      <c r="D45" s="158"/>
      <c r="E45" s="160"/>
      <c r="F45" s="161" t="s">
        <v>133</v>
      </c>
      <c r="G45" s="160"/>
    </row>
    <row r="46" spans="1:13">
      <c r="A46" s="105"/>
      <c r="B46" s="99" t="s">
        <v>73</v>
      </c>
      <c r="C46" s="101" t="s">
        <v>67</v>
      </c>
      <c r="D46" s="102" t="s">
        <v>123</v>
      </c>
      <c r="E46" s="103">
        <v>-1924755.96</v>
      </c>
      <c r="F46" s="104">
        <v>-225588.24</v>
      </c>
      <c r="G46" s="103">
        <v>-2150344.2000000002</v>
      </c>
      <c r="J46" s="49">
        <f>(G12+G21+G32+G105)*-0.35</f>
        <v>-2150344.1995000001</v>
      </c>
      <c r="K46" s="51">
        <f>G46-J46</f>
        <v>-5.0000008195638657E-4</v>
      </c>
      <c r="L46" s="51"/>
      <c r="M46" s="51"/>
    </row>
    <row r="47" spans="1:13">
      <c r="A47" s="105"/>
      <c r="B47" s="99" t="s">
        <v>73</v>
      </c>
      <c r="C47" s="106"/>
      <c r="D47" s="102" t="s">
        <v>124</v>
      </c>
      <c r="E47" s="103">
        <v>-2150344.2000000002</v>
      </c>
      <c r="F47" s="104">
        <v>-5.32</v>
      </c>
      <c r="G47" s="103">
        <v>-2150349.52</v>
      </c>
      <c r="J47" s="68">
        <f t="shared" ref="J47:J48" si="2">(G13+G22+G33+G106)*-0.35</f>
        <v>-2150349.5159999998</v>
      </c>
      <c r="K47" s="51">
        <f t="shared" ref="K47:K48" si="3">G47-J47</f>
        <v>-4.0000001899898052E-3</v>
      </c>
      <c r="L47" s="51"/>
      <c r="M47" s="51"/>
    </row>
    <row r="48" spans="1:13">
      <c r="A48" s="105"/>
      <c r="B48" s="99" t="s">
        <v>73</v>
      </c>
      <c r="C48" s="107"/>
      <c r="D48" s="102" t="s">
        <v>125</v>
      </c>
      <c r="E48" s="103">
        <v>-2150349.52</v>
      </c>
      <c r="F48" s="104">
        <v>-5.33</v>
      </c>
      <c r="G48" s="103">
        <v>-2150354.85</v>
      </c>
      <c r="J48" s="68">
        <f t="shared" si="2"/>
        <v>-2150354.8465</v>
      </c>
      <c r="K48" s="51">
        <f t="shared" si="3"/>
        <v>-3.5000001080334187E-3</v>
      </c>
      <c r="L48" s="51"/>
      <c r="M48" s="51"/>
    </row>
    <row r="49" spans="1:10">
      <c r="A49" s="111"/>
      <c r="B49" s="158"/>
      <c r="C49" s="159" t="s">
        <v>82</v>
      </c>
      <c r="D49" s="158"/>
      <c r="E49" s="160"/>
      <c r="F49" s="161" t="s">
        <v>134</v>
      </c>
      <c r="G49" s="160"/>
    </row>
    <row r="50" spans="1:10">
      <c r="A50" s="162"/>
      <c r="B50" s="163" t="s">
        <v>78</v>
      </c>
      <c r="C50" s="162"/>
      <c r="D50" s="162"/>
      <c r="E50" s="164"/>
      <c r="F50" s="165" t="s">
        <v>135</v>
      </c>
      <c r="G50" s="164"/>
    </row>
    <row r="51" spans="1:10" ht="15.6">
      <c r="A51" s="184" t="s">
        <v>79</v>
      </c>
      <c r="B51" s="184"/>
      <c r="C51" s="184"/>
      <c r="D51" s="184"/>
      <c r="E51" s="184"/>
      <c r="F51" s="184"/>
      <c r="G51" s="184"/>
      <c r="H51" s="184"/>
    </row>
    <row r="52" spans="1:10" s="85" customFormat="1" ht="15.6">
      <c r="A52" s="53"/>
      <c r="B52" s="53"/>
      <c r="C52" s="53"/>
      <c r="D52" s="53"/>
      <c r="E52" s="53"/>
      <c r="F52" s="53"/>
      <c r="G52" s="53"/>
      <c r="H52" s="53"/>
    </row>
    <row r="53" spans="1:10">
      <c r="A53" s="92" t="s">
        <v>122</v>
      </c>
      <c r="B53" s="92"/>
      <c r="C53" s="92"/>
      <c r="D53" s="92"/>
      <c r="E53" s="92"/>
      <c r="F53" s="92"/>
      <c r="G53" s="92"/>
    </row>
    <row r="54" spans="1:10">
      <c r="A54" s="92"/>
      <c r="B54" s="92"/>
      <c r="C54" s="92"/>
      <c r="D54" s="92"/>
      <c r="E54" s="92"/>
      <c r="F54" s="92"/>
      <c r="G54" s="92"/>
    </row>
    <row r="55" spans="1:10">
      <c r="A55" s="98" t="s">
        <v>56</v>
      </c>
      <c r="B55" s="92"/>
      <c r="C55" s="45" t="s">
        <v>74</v>
      </c>
      <c r="D55" s="92"/>
      <c r="E55" s="92"/>
      <c r="F55" s="92"/>
      <c r="G55" s="92"/>
    </row>
    <row r="56" spans="1:10">
      <c r="A56" s="92"/>
      <c r="B56" s="92"/>
      <c r="C56" s="92"/>
      <c r="D56" s="92"/>
      <c r="E56" s="92"/>
      <c r="F56" s="92"/>
      <c r="G56" s="92"/>
    </row>
    <row r="57" spans="1:10" ht="27">
      <c r="A57" s="166" t="s">
        <v>57</v>
      </c>
      <c r="B57" s="167" t="s">
        <v>58</v>
      </c>
      <c r="C57" s="168" t="s">
        <v>59</v>
      </c>
      <c r="D57" s="166" t="s">
        <v>60</v>
      </c>
      <c r="E57" s="166" t="s">
        <v>61</v>
      </c>
      <c r="F57" s="166" t="s">
        <v>62</v>
      </c>
      <c r="G57" s="166" t="s">
        <v>63</v>
      </c>
    </row>
    <row r="58" spans="1:10">
      <c r="A58" s="100" t="s">
        <v>89</v>
      </c>
      <c r="B58" s="99" t="s">
        <v>90</v>
      </c>
      <c r="C58" s="101" t="s">
        <v>66</v>
      </c>
      <c r="D58" s="102" t="s">
        <v>123</v>
      </c>
      <c r="E58" s="103">
        <v>-2603972.9300000002</v>
      </c>
      <c r="F58" s="104">
        <v>-2604272.39</v>
      </c>
      <c r="G58" s="103">
        <v>-5208245.32</v>
      </c>
    </row>
    <row r="59" spans="1:10">
      <c r="A59" s="105"/>
      <c r="B59" s="99" t="s">
        <v>90</v>
      </c>
      <c r="C59" s="106"/>
      <c r="D59" s="102" t="s">
        <v>124</v>
      </c>
      <c r="E59" s="103">
        <v>-5208245.32</v>
      </c>
      <c r="F59" s="104">
        <v>-944329.47</v>
      </c>
      <c r="G59" s="103">
        <v>-6152574.79</v>
      </c>
    </row>
    <row r="60" spans="1:10" s="147" customFormat="1">
      <c r="A60" s="105"/>
      <c r="B60" s="99" t="s">
        <v>90</v>
      </c>
      <c r="C60" s="107"/>
      <c r="D60" s="102" t="s">
        <v>125</v>
      </c>
      <c r="E60" s="103">
        <v>-6152574.79</v>
      </c>
      <c r="F60" s="104">
        <v>-918275.31</v>
      </c>
      <c r="G60" s="103">
        <v>-7070850.0999999996</v>
      </c>
      <c r="I60"/>
      <c r="J60"/>
    </row>
    <row r="61" spans="1:10">
      <c r="A61" s="111"/>
      <c r="B61" s="162"/>
      <c r="C61" s="169" t="s">
        <v>95</v>
      </c>
      <c r="D61" s="162"/>
      <c r="E61" s="164"/>
      <c r="F61" s="165" t="s">
        <v>145</v>
      </c>
      <c r="G61" s="164"/>
    </row>
    <row r="62" spans="1:10">
      <c r="A62" s="100" t="s">
        <v>91</v>
      </c>
      <c r="B62" s="99" t="s">
        <v>92</v>
      </c>
      <c r="C62" s="101" t="s">
        <v>66</v>
      </c>
      <c r="D62" s="102" t="s">
        <v>123</v>
      </c>
      <c r="E62" s="103">
        <v>2986196.58</v>
      </c>
      <c r="F62" s="104">
        <v>26484.83</v>
      </c>
      <c r="G62" s="103">
        <v>3012681.41</v>
      </c>
    </row>
    <row r="63" spans="1:10">
      <c r="A63" s="105"/>
      <c r="B63" s="99" t="s">
        <v>92</v>
      </c>
      <c r="C63" s="106"/>
      <c r="D63" s="102" t="s">
        <v>124</v>
      </c>
      <c r="E63" s="103">
        <v>3012681.41</v>
      </c>
      <c r="F63" s="104">
        <v>619745.77</v>
      </c>
      <c r="G63" s="103">
        <v>3632427.18</v>
      </c>
    </row>
    <row r="64" spans="1:10" s="147" customFormat="1">
      <c r="A64" s="105"/>
      <c r="B64" s="99" t="s">
        <v>92</v>
      </c>
      <c r="C64" s="107"/>
      <c r="D64" s="102" t="s">
        <v>125</v>
      </c>
      <c r="E64" s="103">
        <v>3632427.18</v>
      </c>
      <c r="F64" s="104">
        <v>-1302015.99</v>
      </c>
      <c r="G64" s="103">
        <v>2330411.19</v>
      </c>
      <c r="I64"/>
      <c r="J64"/>
    </row>
    <row r="65" spans="1:10">
      <c r="A65" s="111"/>
      <c r="B65" s="162"/>
      <c r="C65" s="169" t="s">
        <v>96</v>
      </c>
      <c r="D65" s="162"/>
      <c r="E65" s="164"/>
      <c r="F65" s="165" t="s">
        <v>146</v>
      </c>
      <c r="G65" s="164"/>
    </row>
    <row r="66" spans="1:10">
      <c r="A66" s="100" t="s">
        <v>93</v>
      </c>
      <c r="B66" s="99" t="s">
        <v>90</v>
      </c>
      <c r="C66" s="101" t="s">
        <v>67</v>
      </c>
      <c r="D66" s="102" t="s">
        <v>123</v>
      </c>
      <c r="E66" s="103">
        <v>-4494120.3499999996</v>
      </c>
      <c r="F66" s="104">
        <v>-863522.71</v>
      </c>
      <c r="G66" s="103">
        <v>-5357643.0599999996</v>
      </c>
    </row>
    <row r="67" spans="1:10">
      <c r="A67" s="105"/>
      <c r="B67" s="99" t="s">
        <v>90</v>
      </c>
      <c r="C67" s="106"/>
      <c r="D67" s="102" t="s">
        <v>124</v>
      </c>
      <c r="E67" s="103">
        <v>-5357643.0599999996</v>
      </c>
      <c r="F67" s="104">
        <v>242061.08000000002</v>
      </c>
      <c r="G67" s="103">
        <v>-5115581.9800000004</v>
      </c>
    </row>
    <row r="68" spans="1:10" s="147" customFormat="1">
      <c r="A68" s="105"/>
      <c r="B68" s="99" t="s">
        <v>90</v>
      </c>
      <c r="C68" s="107"/>
      <c r="D68" s="102" t="s">
        <v>125</v>
      </c>
      <c r="E68" s="103">
        <v>-5115581.9800000004</v>
      </c>
      <c r="F68" s="104">
        <v>-86106.540000000008</v>
      </c>
      <c r="G68" s="103">
        <v>-5201688.5199999996</v>
      </c>
      <c r="I68"/>
      <c r="J68"/>
    </row>
    <row r="69" spans="1:10">
      <c r="A69" s="111"/>
      <c r="B69" s="162"/>
      <c r="C69" s="169" t="s">
        <v>97</v>
      </c>
      <c r="D69" s="162"/>
      <c r="E69" s="164"/>
      <c r="F69" s="165" t="s">
        <v>147</v>
      </c>
      <c r="G69" s="164"/>
    </row>
    <row r="70" spans="1:10">
      <c r="A70" s="100" t="s">
        <v>94</v>
      </c>
      <c r="B70" s="99" t="s">
        <v>92</v>
      </c>
      <c r="C70" s="101" t="s">
        <v>67</v>
      </c>
      <c r="D70" s="102" t="s">
        <v>123</v>
      </c>
      <c r="E70" s="103">
        <v>-918891.95000000007</v>
      </c>
      <c r="F70" s="104">
        <v>-390047.11</v>
      </c>
      <c r="G70" s="103">
        <v>-1308939.06</v>
      </c>
    </row>
    <row r="71" spans="1:10">
      <c r="A71" s="105"/>
      <c r="B71" s="99" t="s">
        <v>92</v>
      </c>
      <c r="C71" s="106"/>
      <c r="D71" s="102" t="s">
        <v>124</v>
      </c>
      <c r="E71" s="103">
        <v>-1308939.06</v>
      </c>
      <c r="F71" s="104">
        <v>-135817.60000000001</v>
      </c>
      <c r="G71" s="103">
        <v>-1444756.6600000001</v>
      </c>
    </row>
    <row r="72" spans="1:10" s="147" customFormat="1">
      <c r="A72" s="105"/>
      <c r="B72" s="99" t="s">
        <v>92</v>
      </c>
      <c r="C72" s="107"/>
      <c r="D72" s="102" t="s">
        <v>125</v>
      </c>
      <c r="E72" s="103">
        <v>-1444756.6600000001</v>
      </c>
      <c r="F72" s="104">
        <v>-267842.42</v>
      </c>
      <c r="G72" s="103">
        <v>-1712599.08</v>
      </c>
      <c r="I72"/>
      <c r="J72"/>
    </row>
    <row r="73" spans="1:10">
      <c r="A73" s="111"/>
      <c r="B73" s="162"/>
      <c r="C73" s="169" t="s">
        <v>98</v>
      </c>
      <c r="D73" s="162"/>
      <c r="E73" s="164"/>
      <c r="F73" s="165" t="s">
        <v>148</v>
      </c>
      <c r="G73" s="164"/>
    </row>
    <row r="75" spans="1:10">
      <c r="A75" s="92" t="s">
        <v>122</v>
      </c>
      <c r="B75" s="92"/>
      <c r="C75" s="92"/>
      <c r="D75" s="92"/>
      <c r="E75" s="92"/>
      <c r="F75" s="92"/>
      <c r="G75" s="92"/>
    </row>
    <row r="76" spans="1:10">
      <c r="A76" s="92"/>
      <c r="B76" s="92"/>
      <c r="C76" s="92"/>
      <c r="D76" s="92"/>
      <c r="E76" s="92"/>
      <c r="F76" s="92"/>
      <c r="G76" s="92"/>
    </row>
    <row r="77" spans="1:10">
      <c r="A77" s="98" t="s">
        <v>56</v>
      </c>
      <c r="B77" s="92"/>
      <c r="C77" s="112" t="s">
        <v>103</v>
      </c>
      <c r="D77" s="92"/>
      <c r="E77" s="92"/>
      <c r="F77" s="92"/>
      <c r="G77" s="92"/>
      <c r="I77" s="112" t="s">
        <v>103</v>
      </c>
    </row>
    <row r="78" spans="1:10">
      <c r="A78" s="92"/>
      <c r="B78" s="92"/>
      <c r="C78" s="92"/>
      <c r="D78" s="92"/>
      <c r="E78" s="92"/>
      <c r="F78" s="92"/>
      <c r="G78" s="92"/>
    </row>
    <row r="79" spans="1:10" ht="27">
      <c r="A79" s="166" t="s">
        <v>57</v>
      </c>
      <c r="B79" s="167" t="s">
        <v>58</v>
      </c>
      <c r="C79" s="168" t="s">
        <v>59</v>
      </c>
      <c r="D79" s="166" t="s">
        <v>60</v>
      </c>
      <c r="E79" s="166" t="s">
        <v>61</v>
      </c>
      <c r="F79" s="166" t="s">
        <v>62</v>
      </c>
      <c r="G79" s="166" t="s">
        <v>63</v>
      </c>
    </row>
    <row r="80" spans="1:10">
      <c r="A80" s="100" t="s">
        <v>99</v>
      </c>
      <c r="B80" s="99" t="s">
        <v>100</v>
      </c>
      <c r="C80" s="101" t="s">
        <v>66</v>
      </c>
      <c r="D80" s="102" t="s">
        <v>123</v>
      </c>
      <c r="E80" s="103">
        <v>-63202.22</v>
      </c>
      <c r="F80" s="104">
        <v>-10721.24</v>
      </c>
      <c r="G80" s="103">
        <v>-73923.460000000006</v>
      </c>
    </row>
    <row r="81" spans="1:7">
      <c r="A81" s="105"/>
      <c r="B81" s="99" t="s">
        <v>100</v>
      </c>
      <c r="C81" s="106"/>
      <c r="D81" s="102" t="s">
        <v>124</v>
      </c>
      <c r="E81" s="103">
        <v>-73923.460000000006</v>
      </c>
      <c r="F81" s="104">
        <v>-15555.67</v>
      </c>
      <c r="G81" s="103">
        <v>-89479.13</v>
      </c>
    </row>
    <row r="82" spans="1:7">
      <c r="A82" s="105"/>
      <c r="B82" s="99" t="s">
        <v>100</v>
      </c>
      <c r="C82" s="107"/>
      <c r="D82" s="102" t="s">
        <v>125</v>
      </c>
      <c r="E82" s="103">
        <v>-89479.13</v>
      </c>
      <c r="F82" s="104">
        <v>-18120.080000000002</v>
      </c>
      <c r="G82" s="103">
        <v>-107599.21</v>
      </c>
    </row>
    <row r="83" spans="1:7">
      <c r="A83" s="105"/>
      <c r="B83" s="158"/>
      <c r="C83" s="159" t="s">
        <v>81</v>
      </c>
      <c r="D83" s="158"/>
      <c r="E83" s="160"/>
      <c r="F83" s="161" t="s">
        <v>149</v>
      </c>
      <c r="G83" s="160"/>
    </row>
    <row r="84" spans="1:7">
      <c r="A84" s="105"/>
      <c r="B84" s="99" t="s">
        <v>100</v>
      </c>
      <c r="C84" s="101" t="s">
        <v>67</v>
      </c>
      <c r="D84" s="102" t="s">
        <v>123</v>
      </c>
      <c r="E84" s="103">
        <v>-81537.850000000006</v>
      </c>
      <c r="F84" s="104">
        <v>-16591.490000000002</v>
      </c>
      <c r="G84" s="103">
        <v>-98129.34</v>
      </c>
    </row>
    <row r="85" spans="1:7">
      <c r="A85" s="105"/>
      <c r="B85" s="99" t="s">
        <v>100</v>
      </c>
      <c r="C85" s="106"/>
      <c r="D85" s="102" t="s">
        <v>124</v>
      </c>
      <c r="E85" s="103">
        <v>-98129.34</v>
      </c>
      <c r="F85" s="104">
        <v>-18190.09</v>
      </c>
      <c r="G85" s="103">
        <v>-116319.43000000001</v>
      </c>
    </row>
    <row r="86" spans="1:7">
      <c r="A86" s="105"/>
      <c r="B86" s="99" t="s">
        <v>100</v>
      </c>
      <c r="C86" s="107"/>
      <c r="D86" s="102" t="s">
        <v>125</v>
      </c>
      <c r="E86" s="103">
        <v>-116319.43000000001</v>
      </c>
      <c r="F86" s="104">
        <v>-18574.79</v>
      </c>
      <c r="G86" s="103">
        <v>-134894.22</v>
      </c>
    </row>
    <row r="87" spans="1:7">
      <c r="A87" s="111"/>
      <c r="B87" s="158"/>
      <c r="C87" s="159" t="s">
        <v>82</v>
      </c>
      <c r="D87" s="158"/>
      <c r="E87" s="160"/>
      <c r="F87" s="161" t="s">
        <v>150</v>
      </c>
      <c r="G87" s="160"/>
    </row>
    <row r="88" spans="1:7">
      <c r="A88" s="162"/>
      <c r="B88" s="169" t="s">
        <v>154</v>
      </c>
      <c r="C88" s="162"/>
      <c r="D88" s="162"/>
      <c r="E88" s="164"/>
      <c r="F88" s="165" t="s">
        <v>151</v>
      </c>
      <c r="G88" s="164"/>
    </row>
    <row r="89" spans="1:7">
      <c r="A89" s="100" t="s">
        <v>101</v>
      </c>
      <c r="B89" s="99" t="s">
        <v>102</v>
      </c>
      <c r="C89" s="101" t="s">
        <v>66</v>
      </c>
      <c r="D89" s="102" t="s">
        <v>123</v>
      </c>
      <c r="E89" s="103">
        <v>28352.82</v>
      </c>
      <c r="F89" s="104">
        <v>8171.29</v>
      </c>
      <c r="G89" s="103">
        <v>36524.11</v>
      </c>
    </row>
    <row r="90" spans="1:7">
      <c r="A90" s="105"/>
      <c r="B90" s="99" t="s">
        <v>102</v>
      </c>
      <c r="C90" s="106"/>
      <c r="D90" s="102" t="s">
        <v>124</v>
      </c>
      <c r="E90" s="103">
        <v>36524.11</v>
      </c>
      <c r="F90" s="104">
        <v>9068.52</v>
      </c>
      <c r="G90" s="103">
        <v>45592.63</v>
      </c>
    </row>
    <row r="91" spans="1:7">
      <c r="A91" s="105"/>
      <c r="B91" s="99" t="s">
        <v>102</v>
      </c>
      <c r="C91" s="107"/>
      <c r="D91" s="102" t="s">
        <v>125</v>
      </c>
      <c r="E91" s="103">
        <v>45592.63</v>
      </c>
      <c r="F91" s="104">
        <v>8169.17</v>
      </c>
      <c r="G91" s="103">
        <v>53761.8</v>
      </c>
    </row>
    <row r="92" spans="1:7">
      <c r="A92" s="105"/>
      <c r="B92" s="108"/>
      <c r="C92" s="159" t="s">
        <v>81</v>
      </c>
      <c r="D92" s="108"/>
      <c r="E92" s="109"/>
      <c r="F92" s="110" t="s">
        <v>152</v>
      </c>
      <c r="G92" s="109"/>
    </row>
    <row r="93" spans="1:7">
      <c r="A93" s="105"/>
      <c r="B93" s="99" t="s">
        <v>102</v>
      </c>
      <c r="C93" s="101" t="s">
        <v>67</v>
      </c>
      <c r="D93" s="102" t="s">
        <v>123</v>
      </c>
      <c r="E93" s="103">
        <v>707.29</v>
      </c>
      <c r="F93" s="104">
        <v>0</v>
      </c>
      <c r="G93" s="103">
        <v>707.29</v>
      </c>
    </row>
    <row r="94" spans="1:7">
      <c r="A94" s="105"/>
      <c r="B94" s="99" t="s">
        <v>102</v>
      </c>
      <c r="C94" s="106"/>
      <c r="D94" s="102" t="s">
        <v>124</v>
      </c>
      <c r="E94" s="103">
        <v>707.29</v>
      </c>
      <c r="F94" s="104">
        <v>0</v>
      </c>
      <c r="G94" s="103">
        <v>707.29</v>
      </c>
    </row>
    <row r="95" spans="1:7">
      <c r="A95" s="105"/>
      <c r="B95" s="99" t="s">
        <v>102</v>
      </c>
      <c r="C95" s="107"/>
      <c r="D95" s="102" t="s">
        <v>125</v>
      </c>
      <c r="E95" s="103">
        <v>707.29</v>
      </c>
      <c r="F95" s="104">
        <v>0</v>
      </c>
      <c r="G95" s="103">
        <v>707.29</v>
      </c>
    </row>
    <row r="96" spans="1:7">
      <c r="A96" s="111"/>
      <c r="B96" s="158"/>
      <c r="C96" s="159" t="s">
        <v>82</v>
      </c>
      <c r="D96" s="158"/>
      <c r="E96" s="160"/>
      <c r="F96" s="161" t="s">
        <v>83</v>
      </c>
      <c r="G96" s="160"/>
    </row>
    <row r="97" spans="1:8">
      <c r="A97" s="162"/>
      <c r="B97" s="169" t="s">
        <v>155</v>
      </c>
      <c r="C97" s="162"/>
      <c r="D97" s="162"/>
      <c r="E97" s="164"/>
      <c r="F97" s="165" t="s">
        <v>152</v>
      </c>
      <c r="G97" s="164"/>
    </row>
    <row r="98" spans="1:8">
      <c r="A98" s="170"/>
      <c r="B98" s="170" t="s">
        <v>156</v>
      </c>
      <c r="C98" s="170"/>
      <c r="D98" s="170"/>
      <c r="E98" s="171"/>
      <c r="F98" s="172" t="s">
        <v>153</v>
      </c>
      <c r="G98" s="171"/>
    </row>
    <row r="99" spans="1:8" ht="15.6">
      <c r="A99" s="184" t="s">
        <v>136</v>
      </c>
      <c r="B99" s="184"/>
      <c r="C99" s="184"/>
      <c r="D99" s="184"/>
      <c r="E99" s="184"/>
      <c r="F99" s="184"/>
      <c r="G99" s="184"/>
      <c r="H99" s="184"/>
    </row>
    <row r="100" spans="1:8">
      <c r="A100" s="92" t="s">
        <v>122</v>
      </c>
      <c r="B100" s="92"/>
      <c r="C100" s="92"/>
      <c r="D100" s="92"/>
      <c r="E100" s="92"/>
      <c r="F100" s="92"/>
      <c r="G100" s="92"/>
    </row>
    <row r="101" spans="1:8">
      <c r="A101" s="92"/>
      <c r="B101" s="92"/>
      <c r="C101" s="92"/>
      <c r="D101" s="92"/>
      <c r="E101" s="92"/>
      <c r="F101" s="92"/>
      <c r="G101" s="92"/>
    </row>
    <row r="102" spans="1:8">
      <c r="A102" s="98" t="s">
        <v>56</v>
      </c>
      <c r="B102" s="92"/>
      <c r="C102" s="92"/>
      <c r="D102" s="92"/>
      <c r="E102" s="92"/>
      <c r="F102" s="92"/>
      <c r="G102" s="92"/>
    </row>
    <row r="103" spans="1:8">
      <c r="A103" s="92"/>
      <c r="B103" s="92"/>
      <c r="C103" s="92"/>
      <c r="D103" s="92"/>
      <c r="E103" s="92"/>
      <c r="F103" s="92"/>
      <c r="G103" s="92"/>
    </row>
    <row r="104" spans="1:8" ht="27">
      <c r="A104" s="166" t="s">
        <v>57</v>
      </c>
      <c r="B104" s="167" t="s">
        <v>58</v>
      </c>
      <c r="C104" s="168" t="s">
        <v>59</v>
      </c>
      <c r="D104" s="166" t="s">
        <v>60</v>
      </c>
      <c r="E104" s="166" t="s">
        <v>61</v>
      </c>
      <c r="F104" s="166" t="s">
        <v>62</v>
      </c>
      <c r="G104" s="166" t="s">
        <v>63</v>
      </c>
    </row>
    <row r="105" spans="1:8">
      <c r="A105" s="100" t="s">
        <v>137</v>
      </c>
      <c r="B105" s="99" t="s">
        <v>138</v>
      </c>
      <c r="C105" s="101" t="s">
        <v>67</v>
      </c>
      <c r="D105" s="102" t="s">
        <v>123</v>
      </c>
      <c r="E105" s="103">
        <v>0</v>
      </c>
      <c r="F105" s="104">
        <v>-625623.48</v>
      </c>
      <c r="G105" s="103">
        <v>-625623.48</v>
      </c>
    </row>
    <row r="106" spans="1:8">
      <c r="A106" s="105"/>
      <c r="B106" s="99" t="s">
        <v>138</v>
      </c>
      <c r="C106" s="106"/>
      <c r="D106" s="102" t="s">
        <v>124</v>
      </c>
      <c r="E106" s="103">
        <v>-625623.48</v>
      </c>
      <c r="F106" s="104">
        <v>88068.58</v>
      </c>
      <c r="G106" s="103">
        <v>-537554.9</v>
      </c>
    </row>
    <row r="107" spans="1:8">
      <c r="A107" s="105"/>
      <c r="B107" s="99" t="s">
        <v>138</v>
      </c>
      <c r="C107" s="107"/>
      <c r="D107" s="102" t="s">
        <v>125</v>
      </c>
      <c r="E107" s="103">
        <v>-537554.9</v>
      </c>
      <c r="F107" s="104">
        <v>-372508.52</v>
      </c>
      <c r="G107" s="103">
        <v>-910063.42</v>
      </c>
    </row>
    <row r="108" spans="1:8">
      <c r="A108" s="111"/>
      <c r="B108" s="158"/>
      <c r="C108" s="159" t="s">
        <v>82</v>
      </c>
      <c r="D108" s="158"/>
      <c r="E108" s="160"/>
      <c r="F108" s="161" t="s">
        <v>139</v>
      </c>
      <c r="G108" s="160"/>
    </row>
    <row r="109" spans="1:8">
      <c r="A109" s="162"/>
      <c r="B109" s="163" t="s">
        <v>143</v>
      </c>
      <c r="C109" s="162"/>
      <c r="D109" s="162"/>
      <c r="E109" s="164"/>
      <c r="F109" s="165" t="s">
        <v>139</v>
      </c>
      <c r="G109" s="164"/>
    </row>
    <row r="110" spans="1:8">
      <c r="A110" s="100" t="s">
        <v>140</v>
      </c>
      <c r="B110" s="99" t="s">
        <v>141</v>
      </c>
      <c r="C110" s="101" t="s">
        <v>67</v>
      </c>
      <c r="D110" s="102" t="s">
        <v>123</v>
      </c>
      <c r="E110" s="103">
        <v>0</v>
      </c>
      <c r="F110" s="104">
        <v>625623.48</v>
      </c>
      <c r="G110" s="103">
        <v>625623.48</v>
      </c>
    </row>
    <row r="111" spans="1:8">
      <c r="A111" s="105"/>
      <c r="B111" s="99" t="s">
        <v>141</v>
      </c>
      <c r="C111" s="106"/>
      <c r="D111" s="102" t="s">
        <v>124</v>
      </c>
      <c r="E111" s="103">
        <v>625623.48</v>
      </c>
      <c r="F111" s="104">
        <v>-88068.58</v>
      </c>
      <c r="G111" s="103">
        <v>537554.9</v>
      </c>
    </row>
    <row r="112" spans="1:8">
      <c r="A112" s="105"/>
      <c r="B112" s="99" t="s">
        <v>141</v>
      </c>
      <c r="C112" s="107"/>
      <c r="D112" s="102" t="s">
        <v>125</v>
      </c>
      <c r="E112" s="103">
        <v>537554.9</v>
      </c>
      <c r="F112" s="104">
        <v>372508.52</v>
      </c>
      <c r="G112" s="103">
        <v>910063.42</v>
      </c>
    </row>
    <row r="113" spans="1:7">
      <c r="A113" s="111"/>
      <c r="B113" s="158"/>
      <c r="C113" s="159" t="s">
        <v>82</v>
      </c>
      <c r="D113" s="158"/>
      <c r="E113" s="160"/>
      <c r="F113" s="161" t="s">
        <v>142</v>
      </c>
      <c r="G113" s="160"/>
    </row>
    <row r="114" spans="1:7">
      <c r="A114" s="162"/>
      <c r="B114" s="163" t="s">
        <v>144</v>
      </c>
      <c r="C114" s="162"/>
      <c r="D114" s="162"/>
      <c r="E114" s="164"/>
      <c r="F114" s="165" t="s">
        <v>142</v>
      </c>
      <c r="G114" s="164"/>
    </row>
  </sheetData>
  <mergeCells count="3">
    <mergeCell ref="A51:H51"/>
    <mergeCell ref="A1:H1"/>
    <mergeCell ref="A99:H99"/>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4th Quarter 2015</oddHeader>
    <oddFooter>&amp;Cfile: &amp;F / &amp;A&amp;RPage &amp;P of 6</oddFooter>
  </headerFooter>
  <rowBreaks count="1" manualBreakCount="1">
    <brk id="98" max="7" man="1"/>
  </rowBreaks>
</worksheet>
</file>

<file path=xl/worksheets/sheet4.xml><?xml version="1.0" encoding="utf-8"?>
<worksheet xmlns="http://schemas.openxmlformats.org/spreadsheetml/2006/main" xmlns:r="http://schemas.openxmlformats.org/officeDocument/2006/relationships">
  <dimension ref="A1:L28"/>
  <sheetViews>
    <sheetView tabSelected="1" topLeftCell="A4" zoomScaleNormal="100" workbookViewId="0">
      <selection activeCell="A6" sqref="A6"/>
    </sheetView>
  </sheetViews>
  <sheetFormatPr defaultRowHeight="14.4"/>
  <cols>
    <col min="1" max="1" width="2.88671875" customWidth="1"/>
    <col min="2" max="2" width="20.6640625" customWidth="1"/>
    <col min="3" max="3" width="8.33203125" customWidth="1"/>
    <col min="4" max="4" width="8.5546875" customWidth="1"/>
    <col min="5" max="5" width="8.21875" customWidth="1"/>
    <col min="6" max="6" width="7.88671875" customWidth="1"/>
    <col min="7" max="7" width="8" customWidth="1"/>
    <col min="8" max="8" width="8.21875" style="147" customWidth="1"/>
    <col min="9" max="10" width="8.5546875" customWidth="1"/>
    <col min="11" max="11" width="8.5546875" hidden="1" customWidth="1"/>
    <col min="12" max="12" width="8.5546875" customWidth="1"/>
  </cols>
  <sheetData>
    <row r="1" spans="1:12">
      <c r="A1" t="s">
        <v>85</v>
      </c>
    </row>
    <row r="2" spans="1:12" s="147" customFormat="1"/>
    <row r="3" spans="1:12" ht="103.8" customHeight="1">
      <c r="A3" s="187" t="s">
        <v>158</v>
      </c>
      <c r="B3" s="187"/>
      <c r="C3" s="187"/>
      <c r="D3" s="187"/>
      <c r="E3" s="187"/>
      <c r="F3" s="187"/>
      <c r="G3" s="187"/>
      <c r="H3" s="187"/>
      <c r="I3" s="187"/>
      <c r="J3" s="187"/>
      <c r="K3" s="187"/>
    </row>
    <row r="4" spans="1:12" s="85" customFormat="1" ht="14.4" customHeight="1">
      <c r="A4" s="116"/>
      <c r="B4" s="116"/>
      <c r="C4" s="116"/>
      <c r="D4" s="116"/>
      <c r="E4" s="116"/>
      <c r="F4" s="116"/>
      <c r="G4" s="116"/>
      <c r="H4" s="155"/>
      <c r="I4" s="116"/>
      <c r="J4" s="116"/>
      <c r="K4" s="116"/>
    </row>
    <row r="5" spans="1:12" s="85" customFormat="1" ht="43.8" customHeight="1">
      <c r="A5" s="186" t="s">
        <v>160</v>
      </c>
      <c r="B5" s="186"/>
      <c r="C5" s="186"/>
      <c r="D5" s="186"/>
      <c r="E5" s="186"/>
      <c r="F5" s="186"/>
      <c r="G5" s="186"/>
      <c r="H5" s="186"/>
      <c r="I5" s="186"/>
      <c r="J5" s="186"/>
      <c r="K5" s="186"/>
    </row>
    <row r="6" spans="1:12" ht="14.4" customHeight="1"/>
    <row r="7" spans="1:12" ht="14.4" customHeight="1">
      <c r="A7" s="185" t="s">
        <v>112</v>
      </c>
      <c r="B7" s="185"/>
      <c r="C7" s="185"/>
      <c r="D7" s="185"/>
      <c r="E7" s="185"/>
      <c r="F7" s="185"/>
      <c r="G7" s="185"/>
      <c r="H7" s="185"/>
      <c r="I7" s="185"/>
      <c r="J7" s="185"/>
      <c r="K7" s="185"/>
    </row>
    <row r="8" spans="1:12" s="85" customFormat="1" ht="13.8" customHeight="1">
      <c r="A8" s="185" t="s">
        <v>113</v>
      </c>
      <c r="B8" s="185"/>
      <c r="C8" s="185"/>
      <c r="D8" s="185"/>
      <c r="E8" s="185"/>
      <c r="F8" s="185"/>
      <c r="G8" s="185"/>
      <c r="H8" s="185"/>
      <c r="I8" s="185"/>
      <c r="J8" s="185"/>
      <c r="K8" s="185"/>
    </row>
    <row r="9" spans="1:12" ht="28.8" customHeight="1">
      <c r="A9" s="113"/>
      <c r="B9" s="113"/>
      <c r="C9" s="113"/>
      <c r="E9" s="118" t="s">
        <v>106</v>
      </c>
      <c r="F9" s="118" t="s">
        <v>107</v>
      </c>
      <c r="G9" s="122" t="s">
        <v>118</v>
      </c>
      <c r="H9" s="154" t="s">
        <v>157</v>
      </c>
      <c r="I9" s="179" t="s">
        <v>159</v>
      </c>
      <c r="J9" s="118" t="s">
        <v>108</v>
      </c>
      <c r="K9" s="113"/>
      <c r="L9" s="113"/>
    </row>
    <row r="10" spans="1:12" ht="14.4" customHeight="1">
      <c r="A10" s="117" t="s">
        <v>104</v>
      </c>
      <c r="B10" s="52"/>
      <c r="C10" s="52"/>
      <c r="E10" s="52"/>
      <c r="F10" s="52"/>
      <c r="G10" s="52"/>
      <c r="H10" s="52"/>
      <c r="I10" s="52"/>
      <c r="J10" s="52"/>
      <c r="K10" s="52"/>
      <c r="L10" s="52"/>
    </row>
    <row r="11" spans="1:12" ht="14.4" customHeight="1">
      <c r="A11" s="114"/>
      <c r="B11" s="114" t="s">
        <v>105</v>
      </c>
      <c r="C11" s="114"/>
      <c r="E11" s="120">
        <v>-300</v>
      </c>
      <c r="F11" s="120">
        <v>-16</v>
      </c>
      <c r="G11" s="150">
        <v>155</v>
      </c>
      <c r="H11" s="176">
        <v>-368</v>
      </c>
      <c r="I11" s="150">
        <v>-531</v>
      </c>
      <c r="J11" s="178">
        <v>-4.4999999999999998E-2</v>
      </c>
      <c r="K11" s="114"/>
      <c r="L11" s="114"/>
    </row>
    <row r="12" spans="1:12" ht="14.4" customHeight="1">
      <c r="A12" s="114"/>
      <c r="B12" s="114" t="s">
        <v>114</v>
      </c>
      <c r="C12" s="114"/>
      <c r="E12" s="119">
        <v>-14.15</v>
      </c>
      <c r="F12" s="119">
        <v>-6.41</v>
      </c>
      <c r="G12" s="151">
        <v>7.37</v>
      </c>
      <c r="H12" s="177">
        <v>-22.41</v>
      </c>
      <c r="I12" s="151">
        <v>-35.72</v>
      </c>
      <c r="J12" s="178">
        <v>-0.05</v>
      </c>
      <c r="K12" s="114"/>
      <c r="L12" s="114"/>
    </row>
    <row r="13" spans="1:12">
      <c r="B13" s="85" t="s">
        <v>115</v>
      </c>
      <c r="E13" s="119">
        <f>-E12</f>
        <v>14.15</v>
      </c>
      <c r="F13" s="119">
        <f t="shared" ref="F13:I13" si="0">-F12</f>
        <v>6.41</v>
      </c>
      <c r="G13" s="119">
        <f t="shared" si="0"/>
        <v>-7.37</v>
      </c>
      <c r="H13" s="119">
        <f t="shared" si="0"/>
        <v>22.41</v>
      </c>
      <c r="I13" s="119">
        <f t="shared" si="0"/>
        <v>35.72</v>
      </c>
    </row>
    <row r="14" spans="1:12" s="85" customFormat="1" ht="6" customHeight="1">
      <c r="E14" s="119"/>
      <c r="F14" s="119"/>
      <c r="G14" s="151"/>
      <c r="H14" s="173"/>
      <c r="I14" s="151"/>
    </row>
    <row r="15" spans="1:12">
      <c r="A15" s="117" t="s">
        <v>109</v>
      </c>
      <c r="B15" s="52"/>
      <c r="C15" s="52"/>
      <c r="E15" s="52"/>
      <c r="F15" s="52"/>
      <c r="G15" s="152"/>
      <c r="H15" s="174"/>
      <c r="I15" s="152"/>
      <c r="J15" s="52"/>
      <c r="K15" s="115"/>
      <c r="L15" s="115"/>
    </row>
    <row r="16" spans="1:12">
      <c r="A16" s="114"/>
      <c r="B16" s="114" t="s">
        <v>105</v>
      </c>
      <c r="C16" s="114"/>
      <c r="E16" s="120">
        <v>-639</v>
      </c>
      <c r="F16" s="120">
        <v>1474</v>
      </c>
      <c r="G16" s="150">
        <v>511</v>
      </c>
      <c r="H16" s="176">
        <v>-502</v>
      </c>
      <c r="I16" s="150">
        <v>839</v>
      </c>
      <c r="J16" s="178">
        <v>1.4E-2</v>
      </c>
      <c r="K16" s="115"/>
      <c r="L16" s="115"/>
    </row>
    <row r="17" spans="1:12" ht="14.4" customHeight="1">
      <c r="A17" s="114"/>
      <c r="B17" s="114" t="s">
        <v>114</v>
      </c>
      <c r="C17" s="114"/>
      <c r="E17" s="119">
        <v>-31.87</v>
      </c>
      <c r="F17" s="119">
        <v>98.06</v>
      </c>
      <c r="G17" s="151">
        <v>22.64</v>
      </c>
      <c r="H17" s="177">
        <v>-19.41</v>
      </c>
      <c r="I17" s="151">
        <v>69.22</v>
      </c>
      <c r="J17" s="178">
        <v>1.6E-2</v>
      </c>
      <c r="K17" s="115"/>
      <c r="L17" s="115"/>
    </row>
    <row r="18" spans="1:12">
      <c r="B18" s="85" t="s">
        <v>115</v>
      </c>
      <c r="E18" s="119">
        <f>-E17</f>
        <v>31.87</v>
      </c>
      <c r="F18" s="119">
        <f t="shared" ref="F18:I18" si="1">-F17</f>
        <v>-98.06</v>
      </c>
      <c r="G18" s="119">
        <f t="shared" si="1"/>
        <v>-22.64</v>
      </c>
      <c r="H18" s="119">
        <f t="shared" si="1"/>
        <v>19.41</v>
      </c>
      <c r="I18" s="119">
        <f t="shared" si="1"/>
        <v>-69.22</v>
      </c>
    </row>
    <row r="19" spans="1:12" s="85" customFormat="1" ht="9" customHeight="1">
      <c r="G19" s="92"/>
      <c r="H19" s="175"/>
      <c r="I19" s="92"/>
    </row>
    <row r="20" spans="1:12" ht="14.4" customHeight="1">
      <c r="A20" s="117" t="s">
        <v>110</v>
      </c>
      <c r="B20" s="52"/>
      <c r="C20" s="52"/>
      <c r="E20" s="52"/>
      <c r="F20" s="52"/>
      <c r="G20" s="152"/>
      <c r="H20" s="174"/>
      <c r="I20" s="152"/>
      <c r="J20" s="52"/>
    </row>
    <row r="21" spans="1:12" ht="14.4" customHeight="1">
      <c r="A21" s="114"/>
      <c r="B21" s="114" t="s">
        <v>105</v>
      </c>
      <c r="C21" s="114"/>
      <c r="E21" s="120">
        <v>-50</v>
      </c>
      <c r="F21" s="120">
        <v>-32</v>
      </c>
      <c r="G21" s="150">
        <v>-2</v>
      </c>
      <c r="H21" s="176">
        <v>-11</v>
      </c>
      <c r="I21" s="150">
        <v>-94</v>
      </c>
      <c r="J21" s="178">
        <v>-0.12</v>
      </c>
    </row>
    <row r="22" spans="1:12">
      <c r="A22" s="114"/>
      <c r="B22" s="114" t="s">
        <v>114</v>
      </c>
      <c r="C22" s="114"/>
      <c r="E22" s="119">
        <v>-15.04</v>
      </c>
      <c r="F22" s="119">
        <v>-14.46</v>
      </c>
      <c r="G22" s="151">
        <v>-1.73</v>
      </c>
      <c r="H22" s="177">
        <v>-4.8499999999999996</v>
      </c>
      <c r="I22" s="151">
        <v>-36.01</v>
      </c>
      <c r="J22" s="178">
        <v>-0.128</v>
      </c>
    </row>
    <row r="23" spans="1:12" s="85" customFormat="1">
      <c r="A23" s="114"/>
      <c r="B23" s="85" t="s">
        <v>115</v>
      </c>
      <c r="C23" s="114"/>
      <c r="E23" s="119">
        <f>-E22</f>
        <v>15.04</v>
      </c>
      <c r="F23" s="119">
        <f t="shared" ref="F23:I23" si="2">-F22</f>
        <v>14.46</v>
      </c>
      <c r="G23" s="119">
        <f t="shared" si="2"/>
        <v>1.73</v>
      </c>
      <c r="H23" s="119">
        <f t="shared" si="2"/>
        <v>4.8499999999999996</v>
      </c>
      <c r="I23" s="119">
        <f t="shared" si="2"/>
        <v>36.01</v>
      </c>
      <c r="J23" s="121"/>
    </row>
    <row r="24" spans="1:12" ht="9" customHeight="1">
      <c r="A24" s="85"/>
      <c r="B24" s="85"/>
      <c r="C24" s="85"/>
      <c r="E24" s="85"/>
      <c r="F24" s="85"/>
      <c r="G24" s="92"/>
      <c r="H24" s="175"/>
      <c r="I24" s="92"/>
      <c r="J24" s="85"/>
    </row>
    <row r="25" spans="1:12">
      <c r="A25" s="117" t="s">
        <v>111</v>
      </c>
      <c r="B25" s="52"/>
      <c r="C25" s="52"/>
      <c r="E25" s="52"/>
      <c r="F25" s="52"/>
      <c r="G25" s="152"/>
      <c r="H25" s="174"/>
      <c r="I25" s="152"/>
      <c r="J25" s="52"/>
    </row>
    <row r="26" spans="1:12">
      <c r="A26" s="114"/>
      <c r="B26" s="114" t="s">
        <v>105</v>
      </c>
      <c r="C26" s="114"/>
      <c r="E26" s="120">
        <v>-991</v>
      </c>
      <c r="F26" s="120">
        <v>-202</v>
      </c>
      <c r="G26" s="150">
        <v>-289</v>
      </c>
      <c r="H26" s="176">
        <v>-1416</v>
      </c>
      <c r="I26" s="150">
        <v>-2902</v>
      </c>
      <c r="J26" s="178">
        <v>-0.14299999999999999</v>
      </c>
    </row>
    <row r="27" spans="1:12">
      <c r="A27" s="114"/>
      <c r="B27" s="114" t="s">
        <v>114</v>
      </c>
      <c r="C27" s="114"/>
      <c r="E27" s="119">
        <v>-200.81</v>
      </c>
      <c r="F27" s="119">
        <v>-60.06</v>
      </c>
      <c r="G27" s="151">
        <v>-102.47</v>
      </c>
      <c r="H27" s="177">
        <v>-312.33999999999997</v>
      </c>
      <c r="I27" s="151">
        <v>-676.4</v>
      </c>
      <c r="J27" s="178">
        <v>-0.15</v>
      </c>
    </row>
    <row r="28" spans="1:12">
      <c r="B28" s="85" t="s">
        <v>115</v>
      </c>
      <c r="E28" s="119">
        <f>-E27</f>
        <v>200.81</v>
      </c>
      <c r="F28" s="119">
        <f t="shared" ref="F28:I28" si="3">-F27</f>
        <v>60.06</v>
      </c>
      <c r="G28" s="119">
        <f t="shared" si="3"/>
        <v>102.47</v>
      </c>
      <c r="H28" s="119">
        <f t="shared" si="3"/>
        <v>312.33999999999997</v>
      </c>
      <c r="I28" s="119">
        <f t="shared" si="3"/>
        <v>676.4</v>
      </c>
    </row>
  </sheetData>
  <mergeCells count="4">
    <mergeCell ref="A7:K7"/>
    <mergeCell ref="A8:K8"/>
    <mergeCell ref="A5:K5"/>
    <mergeCell ref="A3:K3"/>
  </mergeCells>
  <pageMargins left="0.7" right="0.7" top="1.43" bottom="0.75" header="0.75" footer="0.73"/>
  <pageSetup orientation="portrait" r:id="rId1"/>
  <headerFooter>
    <oddHeader>&amp;CAvista Corporation Decoupling Mechanism
Washington Jurisdiction
Quarterly Report for 4th Quarter 2015</oddHeader>
    <oddFooter>&amp;Cfile: &amp;F / &amp;A&amp;RPage 6 of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2016-02-29T08:00:00+00:00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7CE6A07-895D-49F7-A786-F45FA41CA086}"/>
</file>

<file path=customXml/itemProps2.xml><?xml version="1.0" encoding="utf-8"?>
<ds:datastoreItem xmlns:ds="http://schemas.openxmlformats.org/officeDocument/2006/customXml" ds:itemID="{603B220C-1598-4440-8460-7E28B6CB0DF5}"/>
</file>

<file path=customXml/itemProps3.xml><?xml version="1.0" encoding="utf-8"?>
<ds:datastoreItem xmlns:ds="http://schemas.openxmlformats.org/officeDocument/2006/customXml" ds:itemID="{3CC93E83-8995-4612-8604-98902A2B3CEF}"/>
</file>

<file path=customXml/itemProps4.xml><?xml version="1.0" encoding="utf-8"?>
<ds:datastoreItem xmlns:ds="http://schemas.openxmlformats.org/officeDocument/2006/customXml" ds:itemID="{775CC13A-00FA-4EC5-9359-5EEAF003C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2016-02-11T21:09:52Z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