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app.xml" ContentType="application/vnd.openxmlformats-officedocument.extended-properties+xml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RASANEN\#  Rate Filings\Sch 95 - PCA\2023 Power Cost for 2024 Update\Filed on 12-2023 (Compliance)\"/>
    </mc:Choice>
  </mc:AlternateContent>
  <xr:revisionPtr revIDLastSave="0" documentId="13_ncr:1_{C4D3655B-612B-4B5C-A4C2-EF429388F02D}" xr6:coauthVersionLast="47" xr6:coauthVersionMax="47" xr10:uidLastSave="{00000000-0000-0000-0000-000000000000}"/>
  <bookViews>
    <workbookView xWindow="29445" yWindow="-16200" windowWidth="43425" windowHeight="15135" tabRatio="966" activeTab="4" xr2:uid="{00000000-000D-0000-FFFF-FFFF00000000}"/>
  </bookViews>
  <sheets>
    <sheet name="Sch 95" sheetId="85" r:id="rId1"/>
    <sheet name="Street &amp; Area Lighting" sheetId="89" r:id="rId2"/>
    <sheet name="Revenue Impacts Sch 95" sheetId="86" r:id="rId3"/>
    <sheet name="Rate Spread" sheetId="87" r:id="rId4"/>
    <sheet name="Typical Residential Notice" sheetId="88" r:id="rId5"/>
    <sheet name="WorkPapers-&gt;" sheetId="90" r:id="rId6"/>
    <sheet name="2024 Variable PC Deficiency" sheetId="103" r:id="rId7"/>
    <sheet name="F2023 Forecasted Delivered Load" sheetId="100" r:id="rId8"/>
    <sheet name="2022 GRC Compliance--&gt;" sheetId="95" r:id="rId9"/>
    <sheet name="2022 GRC Load Research - Energy" sheetId="96" r:id="rId10"/>
    <sheet name="2022 GRC PCA Costs" sheetId="97" r:id="rId11"/>
    <sheet name="2022 GRC Conversion Factor" sheetId="98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___six6" localSheetId="3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3" hidden="1">{#N/A,#N/A,FALSE,"schA"}</definedName>
    <definedName name="__________________www1" hidden="1">{#N/A,#N/A,FALSE,"schA"}</definedName>
    <definedName name="_________________six6" localSheetId="3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3" hidden="1">{#N/A,#N/A,FALSE,"schA"}</definedName>
    <definedName name="_________________www1" hidden="1">{#N/A,#N/A,FALSE,"schA"}</definedName>
    <definedName name="________________six6" localSheetId="3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3" hidden="1">{#N/A,#N/A,FALSE,"schA"}</definedName>
    <definedName name="________________www1" hidden="1">{#N/A,#N/A,FALSE,"schA"}</definedName>
    <definedName name="_______________six6" localSheetId="3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3" hidden="1">{#N/A,#N/A,FALSE,"schA"}</definedName>
    <definedName name="_______________www1" hidden="1">{#N/A,#N/A,FALSE,"schA"}</definedName>
    <definedName name="______________six6" localSheetId="3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3" hidden="1">{#N/A,#N/A,FALSE,"schA"}</definedName>
    <definedName name="______________www1" hidden="1">{#N/A,#N/A,FALSE,"schA"}</definedName>
    <definedName name="_____________six6" localSheetId="3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3" hidden="1">{#N/A,#N/A,FALSE,"schA"}</definedName>
    <definedName name="_____________www1" hidden="1">{#N/A,#N/A,FALSE,"schA"}</definedName>
    <definedName name="____________six6" localSheetId="3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3" hidden="1">{#N/A,#N/A,FALSE,"schA"}</definedName>
    <definedName name="____________www1" hidden="1">{#N/A,#N/A,FALSE,"schA"}</definedName>
    <definedName name="___________six6" localSheetId="3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3" hidden="1">{#N/A,#N/A,FALSE,"schA"}</definedName>
    <definedName name="___________www1" hidden="1">{#N/A,#N/A,FALSE,"schA"}</definedName>
    <definedName name="__________six6" localSheetId="3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3" hidden="1">{#N/A,#N/A,FALSE,"schA"}</definedName>
    <definedName name="__________www1" hidden="1">{#N/A,#N/A,FALSE,"schA"}</definedName>
    <definedName name="_________six6" localSheetId="3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3" hidden="1">{#N/A,#N/A,FALSE,"schA"}</definedName>
    <definedName name="_________www1" hidden="1">{#N/A,#N/A,FALSE,"schA"}</definedName>
    <definedName name="________six6" localSheetId="3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3" hidden="1">{#N/A,#N/A,FALSE,"schA"}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localSheetId="3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3" hidden="1">{#N/A,#N/A,FALSE,"schA"}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localSheetId="3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3" hidden="1">{#N/A,#N/A,FALSE,"schA"}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localSheetId="3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3" hidden="1">{#N/A,#N/A,FALSE,"schA"}</definedName>
    <definedName name="_____www1" hidden="1">{#N/A,#N/A,FALSE,"schA"}</definedName>
    <definedName name="____ex1" localSheetId="3" hidden="1">{#N/A,#N/A,FALSE,"Summ";#N/A,#N/A,FALSE,"General"}</definedName>
    <definedName name="____ex1" hidden="1">{#N/A,#N/A,FALSE,"Summ";#N/A,#N/A,FALSE,"General"}</definedName>
    <definedName name="____new1" localSheetId="3" hidden="1">{#N/A,#N/A,FALSE,"Summ";#N/A,#N/A,FALSE,"General"}</definedName>
    <definedName name="____new1" hidden="1">{#N/A,#N/A,FALSE,"Summ";#N/A,#N/A,FALSE,"General"}</definedName>
    <definedName name="____six6" localSheetId="3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3" hidden="1">{#N/A,#N/A,FALSE,"schA"}</definedName>
    <definedName name="____www1" hidden="1">{#N/A,#N/A,FALSE,"schA"}</definedName>
    <definedName name="___ex1" localSheetId="3" hidden="1">{#N/A,#N/A,FALSE,"Summ";#N/A,#N/A,FALSE,"General"}</definedName>
    <definedName name="___ex1" hidden="1">{#N/A,#N/A,FALSE,"Summ";#N/A,#N/A,FALSE,"General"}</definedName>
    <definedName name="___new1" localSheetId="3" hidden="1">{#N/A,#N/A,FALSE,"Summ";#N/A,#N/A,FALSE,"General"}</definedName>
    <definedName name="___new1" hidden="1">{#N/A,#N/A,FALSE,"Summ";#N/A,#N/A,FALSE,"General"}</definedName>
    <definedName name="___six6" localSheetId="3" hidden="1">{#N/A,#N/A,FALSE,"CRPT";#N/A,#N/A,FALSE,"TREND";#N/A,#N/A,FALSE,"%Curve"}</definedName>
    <definedName name="___six6" hidden="1">{#N/A,#N/A,FALSE,"CRPT";#N/A,#N/A,FALSE,"TREND";#N/A,#N/A,FALSE,"%Curve"}</definedName>
    <definedName name="___www1" localSheetId="3" hidden="1">{#N/A,#N/A,FALSE,"schA"}</definedName>
    <definedName name="___www1" hidden="1">{#N/A,#N/A,FALSE,"schA"}</definedName>
    <definedName name="__123Graph_A" hidden="1">[1]Inputs!#REF!</definedName>
    <definedName name="__123Graph_B" hidden="1">[1]Inputs!#REF!</definedName>
    <definedName name="__123Graph_D" hidden="1">#REF!</definedName>
    <definedName name="__123Graph_ECURRENT" hidden="1">[2]ConsolidatingPL!#REF!</definedName>
    <definedName name="__ex1" localSheetId="3" hidden="1">{#N/A,#N/A,FALSE,"Summ";#N/A,#N/A,FALSE,"General"}</definedName>
    <definedName name="__ex1" hidden="1">{#N/A,#N/A,FALSE,"Summ";#N/A,#N/A,FALSE,"General"}</definedName>
    <definedName name="__new1" localSheetId="3" hidden="1">{#N/A,#N/A,FALSE,"Summ";#N/A,#N/A,FALSE,"General"}</definedName>
    <definedName name="__new1" hidden="1">{#N/A,#N/A,FALSE,"Summ";#N/A,#N/A,FALSE,"General"}</definedName>
    <definedName name="__six6" localSheetId="3" hidden="1">{#N/A,#N/A,FALSE,"CRPT";#N/A,#N/A,FALSE,"TREND";#N/A,#N/A,FALSE,"%Curve"}</definedName>
    <definedName name="__six6" hidden="1">{#N/A,#N/A,FALSE,"CRPT";#N/A,#N/A,FALSE,"TREND";#N/A,#N/A,FALSE,"%Curve"}</definedName>
    <definedName name="__www1" localSheetId="3" hidden="1">{#N/A,#N/A,FALSE,"schA"}</definedName>
    <definedName name="__www1" hidden="1">{#N/A,#N/A,FALSE,"schA"}</definedName>
    <definedName name="_2__123Graph_ABUDG6_Dtons_inv" hidden="1">[3]Quant!#REF!</definedName>
    <definedName name="_3__123Graph_ABUDG6_Dtons_inv" hidden="1">[4]Quant!#REF!</definedName>
    <definedName name="_4__123Graph_ABUDG6_Dtons_inv" hidden="1">'[5]Area D 2011'!#REF!</definedName>
    <definedName name="_6__123Graph_CBUDG6_D_ESCRPR" hidden="1">'[6]2012 Area AB BudgetSummary'!#REF!</definedName>
    <definedName name="_7__123Graph_CBUDG6_D_ESCRPR" hidden="1">'[5]Area D 2011'!#REF!</definedName>
    <definedName name="_7__123Graph_DBUDG6_D_ESCRPR" hidden="1">'[6]2012 Area AB BudgetSummary'!#REF!</definedName>
    <definedName name="_8__123Graph_DBUDG6_D_ESCRPR" hidden="1">'[5]Area D 2011'!#REF!</definedName>
    <definedName name="_ex1" localSheetId="3" hidden="1">{#N/A,#N/A,FALSE,"Summ";#N/A,#N/A,FALSE,"General"}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localSheetId="3" hidden="1">{#N/A,#N/A,FALSE,"Summ";#N/A,#N/A,FALSE,"General"}</definedName>
    <definedName name="_new1" hidden="1">{#N/A,#N/A,FALSE,"Summ";#N/A,#N/A,FALSE,"General"}</definedName>
    <definedName name="_Parse_In" hidden="1">#REF!</definedName>
    <definedName name="_six6" localSheetId="3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3" hidden="1">{#N/A,#N/A,FALSE,"schA"}</definedName>
    <definedName name="_www1" hidden="1">{#N/A,#N/A,FALSE,"schA"}</definedName>
    <definedName name="a" localSheetId="3" hidden="1">{#N/A,#N/A,FALSE,"Coversheet";#N/A,#N/A,FALSE,"QA"}</definedName>
    <definedName name="a" hidden="1">{#N/A,#N/A,FALSE,"Coversheet";#N/A,#N/A,FALSE,"QA"}</definedName>
    <definedName name="AAAAAAAAAAAAAA" localSheetId="3" hidden="1">{#N/A,#N/A,FALSE,"Coversheet";#N/A,#N/A,FALSE,"QA"}</definedName>
    <definedName name="AAAAAAAAAAAAAA" hidden="1">{#N/A,#N/A,FALSE,"Coversheet";#N/A,#N/A,FALSE,"QA"}</definedName>
    <definedName name="b" localSheetId="3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[7]ZZCOOM_M03_Q005!#REF!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[7]ZZCOOM_M03_Q005!#REF!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[7]ZZCOOM_M03_Q005!#REF!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[7]ZZCOOM_M03_Q005!#REF!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[7]ZZCOOM_M03_Q005!#REF!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[7]ZZCOOM_M03_Q005!#REF!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localSheetId="3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PMWorkbookOptions_2" hidden="1">"neDegofIWXJPzMBMrNgumTsYj5aNFMCdt0dWNNTCh0hB8BniemvYxQ1RY+NOmRs/FCA9sIzxmCT5vumtDpsVa3qv7M2IYa5obKFX3pp+Mh4VTQj/znhJEqWf+OOzafvwiaPD4fNmeM+zrbVZEO7sptIa5SoFczLXsWKbjoNX7WjsWKRctw590jW1NhvoTKwddPyo09OheZd+KQZHaVv3kNUAru2icYD2kKMJjo9So1kQMiuzSxIxCAF8C+7M"</definedName>
    <definedName name="EPMWorkbookOptions_3" hidden="1">"VxdZAe4rWoo4ueI7yp9aL1sb/wYatDFMcDO1IDLRemvldT6MOaOfOwv5QWFCZP9RoWzWpwU/N6oYt3Csf/YwUpIHQF5IOkeTnB/ViFcQbw8Dhu2N2EIB0tpGuTLaQDRmODr+QKzue7b5riDXgyh4PyIwCZqZfrYIc7hb4c2LEFYGlhiAQ+L8wpQfE0Geuo8KrwqSPmXxRyD8NMBUAL96+H+7knOidgrIex7awfvljWPZt1QIAkWc36mlOi+X"</definedName>
    <definedName name="EPMWorkbookOptions_4" hidden="1">"oz+eNUefI19hNf9H8nTxXtSXhr5UhPr8MUwf78rn48c2Hb+CKmUIdVnnZwYOiH0tiKQ264C4mIhYU5UXZ7Ux7PUGg36/fz6GVw3HMNeECGHobgkktlmDQCDPFV5aGkCe1N8Jh9csMxpdn49gr9kIFkUpMxjedbfskdqsxZ6mGwBLK6h/chEeDnu9T1yF+01nLxOlgp4xFbG15Y/UZg3+7hYSMLDA/AUfQQbNpi+TpMweP5sZuasFkNRmDQCV"</definedName>
    <definedName name="EPMWorkbookOptions_5" hidden="1">"Ka/9wfPHp+EbNhu+SI4qeJFZa6kjtlmHOlkTdVGWtAuSd91w8lJJCPRlrhZAUps1AFQVHSxUrDJYXhDBUbMRLIiCycM/M9ASR2yzBnGavFCBYABwQd7+ajZvmSTVLS93tQCS2qwBoC7OL3mjxzb8pCOUo8zdFcMOu9E3fC10xDZrQHcvqBq+c7kkdw0/4kgUiS+wg6VqhOfnLXDENmsA9/Djks8UbMMPMrAapAOM0NwSR2qzDnGy+stIDy4v"</definedName>
    <definedName name="EPMWorkbookOptions_6" hidden="1">"yV7DTzBKulTv8Ipusf1u5USbNXicC7y2UIWLboMNP9BIJYkvuoqgivJEbB8tPhVU6oYcxNGkl/RK1jQcV6u+ulg0Vl935FT4jKC/lR3Zg076YlrZGMUBG5ooLCo7mvkK08hjcxSbvteJ6QwiGdPoqqMcf9gkq8aJ/r2JLHNlwzlEL3mFiv3rl7xs8h7p+F9/XVb5gioAAA=="</definedName>
    <definedName name="error" localSheetId="3" hidden="1">{#N/A,#N/A,FALSE,"Coversheet";#N/A,#N/A,FALSE,"QA"}</definedName>
    <definedName name="error" hidden="1">{#N/A,#N/A,FALSE,"Coversheet";#N/A,#N/A,FALSE,"QA"}</definedName>
    <definedName name="Estimate" localSheetId="3" hidden="1">{#N/A,#N/A,FALSE,"Summ";#N/A,#N/A,FALSE,"General"}</definedName>
    <definedName name="Estimate" hidden="1">{#N/A,#N/A,FALSE,"Summ";#N/A,#N/A,FALSE,"General"}</definedName>
    <definedName name="ex" localSheetId="3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3" hidden="1">{#N/A,#N/A,FALSE,"Coversheet";#N/A,#N/A,FALSE,"QA"}</definedName>
    <definedName name="ffff" hidden="1">{#N/A,#N/A,FALSE,"Coversheet";#N/A,#N/A,FALSE,"QA"}</definedName>
    <definedName name="fffgf" localSheetId="3" hidden="1">{#N/A,#N/A,FALSE,"Coversheet";#N/A,#N/A,FALSE,"QA"}</definedName>
    <definedName name="fffgf" hidden="1">{#N/A,#N/A,FALSE,"Coversheet";#N/A,#N/A,FALSE,"QA"}</definedName>
    <definedName name="helllo" localSheetId="3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3" hidden="1">{#N/A,#N/A,FALSE,"Coversheet";#N/A,#N/A,FALSE,"QA"}</definedName>
    <definedName name="HELP" hidden="1">{#N/A,#N/A,FALSE,"Coversheet";#N/A,#N/A,FALSE,"QA"}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3" hidden="1">{#N/A,#N/A,FALSE,"Summ";#N/A,#N/A,FALSE,"General"}</definedName>
    <definedName name="jfkljsdkljiejgr" hidden="1">{#N/A,#N/A,FALSE,"Summ";#N/A,#N/A,FALSE,"General"}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3" hidden="1">{#N/A,#N/A,FALSE,"Coversheet";#N/A,#N/A,FALSE,"QA"}</definedName>
    <definedName name="lookup" hidden="1">{#N/A,#N/A,FALSE,"Coversheet";#N/A,#N/A,FALSE,"QA"}</definedName>
    <definedName name="Miller" localSheetId="3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3" hidden="1">{#N/A,#N/A,FALSE,"Summ";#N/A,#N/A,FALSE,"General"}</definedName>
    <definedName name="new" hidden="1">{#N/A,#N/A,FALSE,"Summ";#N/A,#N/A,FALSE,"General"}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3" hidden="1">{#N/A,#N/A,FALSE,"Coversheet";#N/A,#N/A,FALSE,"QA"}</definedName>
    <definedName name="q" hidden="1">{#N/A,#N/A,FALSE,"Coversheet";#N/A,#N/A,FALSE,"QA"}</definedName>
    <definedName name="qqq" localSheetId="3" hidden="1">{#N/A,#N/A,FALSE,"schA"}</definedName>
    <definedName name="qqq" hidden="1">{#N/A,#N/A,FALSE,"schA"}</definedName>
    <definedName name="re" localSheetId="3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3" hidden="1">{#N/A,#N/A,FALSE,"Summ";#N/A,#N/A,FALSE,"General"}</definedName>
    <definedName name="sdlfhsdlhfkl" hidden="1">{#N/A,#N/A,FALSE,"Summ";#N/A,#N/A,FALSE,"General"}</definedName>
    <definedName name="seven" localSheetId="3" hidden="1">{#N/A,#N/A,FALSE,"CRPT";#N/A,#N/A,FALSE,"TREND";#N/A,#N/A,FALSE,"%Curve"}</definedName>
    <definedName name="seven" hidden="1">{#N/A,#N/A,FALSE,"CRPT";#N/A,#N/A,FALSE,"TREND";#N/A,#N/A,FALSE,"%Curve"}</definedName>
    <definedName name="six" localSheetId="3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3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3" hidden="1">{#N/A,#N/A,FALSE,"Summ";#N/A,#N/A,FALSE,"General"}</definedName>
    <definedName name="tem" hidden="1">{#N/A,#N/A,FALSE,"Summ";#N/A,#N/A,FALSE,"General"}</definedName>
    <definedName name="TEMP" localSheetId="3" hidden="1">{#N/A,#N/A,FALSE,"Summ";#N/A,#N/A,FALSE,"General"}</definedName>
    <definedName name="TEMP" hidden="1">{#N/A,#N/A,FALSE,"Summ";#N/A,#N/A,FALSE,"General"}</definedName>
    <definedName name="Temp1" localSheetId="3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3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3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3" hidden="1">{#N/A,#N/A,FALSE,"Summ";#N/A,#N/A,FALSE,"General"}</definedName>
    <definedName name="u" hidden="1">{#N/A,#N/A,FALSE,"Summ";#N/A,#N/A,FALSE,"General"}</definedName>
    <definedName name="v" localSheetId="3" hidden="1">{#N/A,#N/A,FALSE,"Coversheet";#N/A,#N/A,FALSE,"QA"}</definedName>
    <definedName name="v" hidden="1">{#N/A,#N/A,FALSE,"Coversheet";#N/A,#N/A,FALSE,"QA"}</definedName>
    <definedName name="Value" localSheetId="3" hidden="1">{#N/A,#N/A,FALSE,"Summ";#N/A,#N/A,FALSE,"General"}</definedName>
    <definedName name="Value" hidden="1">{#N/A,#N/A,FALSE,"Summ";#N/A,#N/A,FALSE,"General"}</definedName>
    <definedName name="w" localSheetId="3" hidden="1">{#N/A,#N/A,FALSE,"Schedule F";#N/A,#N/A,FALSE,"Schedule G"}</definedName>
    <definedName name="w" hidden="1">{#N/A,#N/A,FALSE,"Schedule F";#N/A,#N/A,FALSE,"Schedule G"}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3" hidden="1">{#N/A,#N/A,FALSE,"Coversheet";#N/A,#N/A,FALSE,"QA"}</definedName>
    <definedName name="WH" hidden="1">{#N/A,#N/A,FALSE,"Coversheet";#N/A,#N/A,FALSE,"QA"}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3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3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3" hidden="1">{#N/A,#N/A,FALSE,"schA"}</definedName>
    <definedName name="wrn.ECR." hidden="1">{#N/A,#N/A,FALSE,"schA"}</definedName>
    <definedName name="wrn.ESTIMATE." localSheetId="3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3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3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localSheetId="3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3" hidden="1">{#N/A,#N/A,FALSE,"7617 Fab";#N/A,#N/A,FALSE,"7617 NSK"}</definedName>
    <definedName name="wrn.SCHEDULE." hidden="1">{#N/A,#N/A,FALSE,"7617 Fab";#N/A,#N/A,FALSE,"7617 NSK"}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3" hidden="1">{#N/A,#N/A,FALSE,"2002 Small Tool OH";#N/A,#N/A,FALSE,"QA"}</definedName>
    <definedName name="wrn.Small._.Tools._.Overhead." hidden="1">{#N/A,#N/A,FALSE,"2002 Small Tool OH";#N/A,#N/A,FALSE,"QA"}</definedName>
    <definedName name="wrn.Summary." localSheetId="3" hidden="1">{#N/A,#N/A,FALSE,"Summ";#N/A,#N/A,FALSE,"General"}</definedName>
    <definedName name="wrn.Summary." hidden="1">{#N/A,#N/A,FALSE,"Summ";#N/A,#N/A,FALSE,"General"}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3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3" hidden="1">{#N/A,#N/A,FALSE,"schA"}</definedName>
    <definedName name="www" hidden="1">{#N/A,#N/A,FALSE,"schA"}</definedName>
    <definedName name="x" localSheetId="3" hidden="1">{#N/A,#N/A,FALSE,"Coversheet";#N/A,#N/A,FALSE,"QA"}</definedName>
    <definedName name="x" hidden="1">{#N/A,#N/A,FALSE,"Coversheet";#N/A,#N/A,FALSE,"QA"}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localSheetId="3" hidden="1">{#N/A,#N/A,FALSE,"2002 Small Tool OH";#N/A,#N/A,FALSE,"QA"}</definedName>
    <definedName name="XXXX" hidden="1">{#N/A,#N/A,FALSE,"2002 Small Tool OH";#N/A,#N/A,FALSE,"QA"}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3" hidden="1">{#N/A,#N/A,FALSE,"Summ";#N/A,#N/A,FALSE,"General"}</definedName>
    <definedName name="yuf" hidden="1">{#N/A,#N/A,FALSE,"Summ";#N/A,#N/A,FALSE,"General"}</definedName>
    <definedName name="z" localSheetId="3" hidden="1">{#N/A,#N/A,FALSE,"Coversheet";#N/A,#N/A,FALSE,"QA"}</definedName>
    <definedName name="z" hidden="1">{#N/A,#N/A,FALSE,"Coversheet";#N/A,#N/A,FALSE,"QA"}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88" l="1"/>
  <c r="F71" i="88"/>
  <c r="E71" i="88"/>
  <c r="F70" i="88"/>
  <c r="E58" i="88"/>
  <c r="F58" i="88" s="1"/>
  <c r="E52" i="88"/>
  <c r="F52" i="88" s="1"/>
  <c r="E54" i="88"/>
  <c r="F54" i="88" s="1"/>
  <c r="E55" i="88"/>
  <c r="F55" i="88" s="1"/>
  <c r="E60" i="88"/>
  <c r="F60" i="88" s="1"/>
  <c r="E62" i="88"/>
  <c r="F62" i="88" s="1"/>
  <c r="F32" i="88"/>
  <c r="E51" i="88"/>
  <c r="F51" i="88" s="1"/>
  <c r="E53" i="88"/>
  <c r="F53" i="88" s="1"/>
  <c r="E56" i="88"/>
  <c r="F56" i="88" s="1"/>
  <c r="E57" i="88"/>
  <c r="F57" i="88" s="1"/>
  <c r="E59" i="88"/>
  <c r="F59" i="88" s="1"/>
  <c r="E61" i="88"/>
  <c r="F61" i="88" s="1"/>
  <c r="E63" i="88"/>
  <c r="F63" i="88"/>
  <c r="F33" i="88"/>
  <c r="E31" i="88"/>
  <c r="E49" i="88" s="1"/>
  <c r="X9" i="86"/>
  <c r="X15" i="86"/>
  <c r="X20" i="86"/>
  <c r="X24" i="86"/>
  <c r="X36" i="86"/>
  <c r="X37" i="86"/>
  <c r="Y32" i="86"/>
  <c r="Y28" i="86"/>
  <c r="Y27" i="86"/>
  <c r="Y26" i="86"/>
  <c r="Y23" i="86"/>
  <c r="Y22" i="86"/>
  <c r="Y19" i="86"/>
  <c r="Y18" i="86"/>
  <c r="Y17" i="86"/>
  <c r="Y14" i="86"/>
  <c r="Y13" i="86"/>
  <c r="Y12" i="86"/>
  <c r="Y11" i="86"/>
  <c r="Y8" i="86"/>
  <c r="E50" i="88" l="1"/>
  <c r="F50" i="88" s="1"/>
  <c r="X30" i="86"/>
  <c r="X34" i="86" s="1"/>
  <c r="X38" i="86" l="1"/>
  <c r="E89" i="88" l="1"/>
  <c r="B17" i="88" s="1"/>
  <c r="E90" i="88"/>
  <c r="B18" i="88" s="1"/>
  <c r="E88" i="88" l="1"/>
  <c r="B16" i="88" s="1"/>
  <c r="G14" i="89"/>
  <c r="E83" i="88"/>
  <c r="B11" i="88" s="1"/>
  <c r="E86" i="88"/>
  <c r="B14" i="88" s="1"/>
  <c r="D91" i="88"/>
  <c r="E80" i="88"/>
  <c r="B8" i="88" s="1"/>
  <c r="E84" i="88"/>
  <c r="B12" i="88" s="1"/>
  <c r="E87" i="88"/>
  <c r="B15" i="88" s="1"/>
  <c r="E81" i="88"/>
  <c r="B9" i="88" s="1"/>
  <c r="E85" i="88"/>
  <c r="B13" i="88" s="1"/>
  <c r="C91" i="88"/>
  <c r="E82" i="88"/>
  <c r="B10" i="88" s="1"/>
  <c r="E79" i="88"/>
  <c r="B7" i="88" s="1"/>
  <c r="A3" i="89"/>
  <c r="A2" i="89"/>
  <c r="A1" i="89"/>
  <c r="H174" i="89"/>
  <c r="H173" i="89"/>
  <c r="H172" i="89"/>
  <c r="H170" i="89"/>
  <c r="H169" i="89"/>
  <c r="H167" i="89"/>
  <c r="H166" i="89"/>
  <c r="B162" i="89"/>
  <c r="B163" i="89" s="1"/>
  <c r="B164" i="89" s="1"/>
  <c r="B165" i="89" s="1"/>
  <c r="B166" i="89" s="1"/>
  <c r="B167" i="89" s="1"/>
  <c r="B168" i="89" s="1"/>
  <c r="B169" i="89" s="1"/>
  <c r="B170" i="89" s="1"/>
  <c r="B171" i="89" s="1"/>
  <c r="B172" i="89" s="1"/>
  <c r="B173" i="89" s="1"/>
  <c r="B174" i="89" s="1"/>
  <c r="B175" i="89" s="1"/>
  <c r="H160" i="89"/>
  <c r="B157" i="89"/>
  <c r="B158" i="89" s="1"/>
  <c r="B147" i="89"/>
  <c r="B148" i="89" s="1"/>
  <c r="B149" i="89" s="1"/>
  <c r="B150" i="89" s="1"/>
  <c r="H146" i="89"/>
  <c r="H143" i="89"/>
  <c r="B140" i="89"/>
  <c r="B141" i="89" s="1"/>
  <c r="B142" i="89" s="1"/>
  <c r="B143" i="89" s="1"/>
  <c r="B144" i="89" s="1"/>
  <c r="G19" i="89"/>
  <c r="H133" i="89"/>
  <c r="H132" i="89"/>
  <c r="H131" i="89"/>
  <c r="H130" i="89"/>
  <c r="H129" i="89"/>
  <c r="H128" i="89"/>
  <c r="H124" i="89"/>
  <c r="H116" i="89"/>
  <c r="B116" i="89"/>
  <c r="B117" i="89" s="1"/>
  <c r="B118" i="89" s="1"/>
  <c r="B119" i="89" s="1"/>
  <c r="B120" i="89" s="1"/>
  <c r="B122" i="89" s="1"/>
  <c r="H112" i="89"/>
  <c r="H110" i="89"/>
  <c r="H103" i="89"/>
  <c r="H101" i="89"/>
  <c r="H100" i="89"/>
  <c r="H99" i="89"/>
  <c r="B94" i="89"/>
  <c r="B95" i="89" s="1"/>
  <c r="B96" i="89" s="1"/>
  <c r="B97" i="89" s="1"/>
  <c r="B98" i="89" s="1"/>
  <c r="B99" i="89" s="1"/>
  <c r="B100" i="89" s="1"/>
  <c r="B101" i="89" s="1"/>
  <c r="B104" i="89" s="1"/>
  <c r="B105" i="89" s="1"/>
  <c r="B106" i="89" s="1"/>
  <c r="B107" i="89" s="1"/>
  <c r="B108" i="89" s="1"/>
  <c r="B109" i="89" s="1"/>
  <c r="B110" i="89" s="1"/>
  <c r="B111" i="89" s="1"/>
  <c r="B112" i="89" s="1"/>
  <c r="H80" i="89"/>
  <c r="H78" i="89"/>
  <c r="H75" i="89"/>
  <c r="H74" i="89"/>
  <c r="H73" i="89"/>
  <c r="H71" i="89"/>
  <c r="H68" i="89"/>
  <c r="H64" i="89"/>
  <c r="B64" i="89"/>
  <c r="B65" i="89" s="1"/>
  <c r="B66" i="89" s="1"/>
  <c r="B67" i="89" s="1"/>
  <c r="B68" i="89" s="1"/>
  <c r="B69" i="89" s="1"/>
  <c r="B70" i="89" s="1"/>
  <c r="B71" i="89" s="1"/>
  <c r="B73" i="89" s="1"/>
  <c r="B74" i="89" s="1"/>
  <c r="B75" i="89" s="1"/>
  <c r="B76" i="89" s="1"/>
  <c r="B77" i="89" s="1"/>
  <c r="H60" i="89"/>
  <c r="C58" i="89"/>
  <c r="C59" i="89" s="1"/>
  <c r="C60" i="89" s="1"/>
  <c r="H57" i="89"/>
  <c r="H55" i="89"/>
  <c r="H54" i="89"/>
  <c r="H50" i="89"/>
  <c r="H49" i="89"/>
  <c r="H46" i="89"/>
  <c r="B46" i="89"/>
  <c r="B47" i="89" s="1"/>
  <c r="B48" i="89" s="1"/>
  <c r="B49" i="89" s="1"/>
  <c r="H45" i="89"/>
  <c r="H38" i="89"/>
  <c r="H36" i="89"/>
  <c r="H32" i="89"/>
  <c r="H29" i="89"/>
  <c r="B27" i="89"/>
  <c r="B28" i="89" s="1"/>
  <c r="B29" i="89" s="1"/>
  <c r="A10" i="89"/>
  <c r="A11" i="89" s="1"/>
  <c r="A12" i="89" s="1"/>
  <c r="A13" i="89" s="1"/>
  <c r="A14" i="89" s="1"/>
  <c r="A15" i="89" s="1"/>
  <c r="A16" i="89" s="1"/>
  <c r="A17" i="89" s="1"/>
  <c r="A18" i="89" s="1"/>
  <c r="A19" i="89" s="1"/>
  <c r="A20" i="89" s="1"/>
  <c r="A21" i="89" s="1"/>
  <c r="A22" i="89" s="1"/>
  <c r="A23" i="89" s="1"/>
  <c r="A24" i="89" s="1"/>
  <c r="A25" i="89" s="1"/>
  <c r="A26" i="89" s="1"/>
  <c r="A27" i="89" s="1"/>
  <c r="A28" i="89" s="1"/>
  <c r="A29" i="89" s="1"/>
  <c r="A30" i="89" s="1"/>
  <c r="A31" i="89" s="1"/>
  <c r="A32" i="89" s="1"/>
  <c r="A33" i="89" s="1"/>
  <c r="A34" i="89" s="1"/>
  <c r="A35" i="89" s="1"/>
  <c r="A36" i="89" s="1"/>
  <c r="A37" i="89" s="1"/>
  <c r="A38" i="89" s="1"/>
  <c r="A39" i="89" s="1"/>
  <c r="A40" i="89" s="1"/>
  <c r="A41" i="89" s="1"/>
  <c r="A42" i="89" s="1"/>
  <c r="A43" i="89" s="1"/>
  <c r="A44" i="89" s="1"/>
  <c r="A45" i="89" s="1"/>
  <c r="A46" i="89" s="1"/>
  <c r="A47" i="89" s="1"/>
  <c r="A48" i="89" s="1"/>
  <c r="A49" i="89" s="1"/>
  <c r="A50" i="89" s="1"/>
  <c r="A51" i="89" s="1"/>
  <c r="A52" i="89" s="1"/>
  <c r="A53" i="89" s="1"/>
  <c r="A54" i="89" s="1"/>
  <c r="A55" i="89" s="1"/>
  <c r="A56" i="89" s="1"/>
  <c r="A57" i="89" s="1"/>
  <c r="A58" i="89" s="1"/>
  <c r="A59" i="89" s="1"/>
  <c r="A60" i="89" s="1"/>
  <c r="A61" i="89" s="1"/>
  <c r="A62" i="89" s="1"/>
  <c r="A63" i="89" s="1"/>
  <c r="A64" i="89" s="1"/>
  <c r="A65" i="89" s="1"/>
  <c r="A66" i="89" s="1"/>
  <c r="A67" i="89" s="1"/>
  <c r="A68" i="89" s="1"/>
  <c r="A69" i="89" s="1"/>
  <c r="A70" i="89" s="1"/>
  <c r="A71" i="89" s="1"/>
  <c r="A72" i="89" s="1"/>
  <c r="A73" i="89" s="1"/>
  <c r="A74" i="89" s="1"/>
  <c r="A75" i="89" s="1"/>
  <c r="A76" i="89" s="1"/>
  <c r="A77" i="89" s="1"/>
  <c r="A78" i="89" s="1"/>
  <c r="A79" i="89" s="1"/>
  <c r="A80" i="89" s="1"/>
  <c r="A81" i="89" s="1"/>
  <c r="A82" i="89" s="1"/>
  <c r="A83" i="89" s="1"/>
  <c r="A84" i="89" s="1"/>
  <c r="A85" i="89" s="1"/>
  <c r="A86" i="89" s="1"/>
  <c r="A87" i="89" s="1"/>
  <c r="A88" i="89" s="1"/>
  <c r="A89" i="89" s="1"/>
  <c r="A90" i="89" s="1"/>
  <c r="A91" i="89" s="1"/>
  <c r="A92" i="89" s="1"/>
  <c r="A93" i="89" s="1"/>
  <c r="A94" i="89" s="1"/>
  <c r="A95" i="89" s="1"/>
  <c r="A96" i="89" s="1"/>
  <c r="A97" i="89" s="1"/>
  <c r="A98" i="89" s="1"/>
  <c r="A99" i="89" s="1"/>
  <c r="A100" i="89" s="1"/>
  <c r="A101" i="89" s="1"/>
  <c r="A102" i="89" s="1"/>
  <c r="A103" i="89" s="1"/>
  <c r="A104" i="89" s="1"/>
  <c r="A105" i="89" s="1"/>
  <c r="A106" i="89" s="1"/>
  <c r="A107" i="89" s="1"/>
  <c r="A108" i="89" s="1"/>
  <c r="A109" i="89" s="1"/>
  <c r="A110" i="89" s="1"/>
  <c r="A111" i="89" s="1"/>
  <c r="A112" i="89" s="1"/>
  <c r="A113" i="89" s="1"/>
  <c r="A114" i="89" s="1"/>
  <c r="A115" i="89" s="1"/>
  <c r="A116" i="89" s="1"/>
  <c r="A117" i="89" s="1"/>
  <c r="A118" i="89" s="1"/>
  <c r="A119" i="89" s="1"/>
  <c r="A120" i="89" s="1"/>
  <c r="A121" i="89" s="1"/>
  <c r="A122" i="89" s="1"/>
  <c r="A123" i="89" s="1"/>
  <c r="A124" i="89" s="1"/>
  <c r="A125" i="89" s="1"/>
  <c r="A126" i="89" s="1"/>
  <c r="A127" i="89" s="1"/>
  <c r="A128" i="89" s="1"/>
  <c r="A129" i="89" s="1"/>
  <c r="A130" i="89" s="1"/>
  <c r="A131" i="89" s="1"/>
  <c r="A132" i="89" s="1"/>
  <c r="A133" i="89" s="1"/>
  <c r="A134" i="89" s="1"/>
  <c r="A135" i="89" s="1"/>
  <c r="A136" i="89" s="1"/>
  <c r="A137" i="89" s="1"/>
  <c r="A138" i="89" s="1"/>
  <c r="A139" i="89" s="1"/>
  <c r="A140" i="89" s="1"/>
  <c r="A141" i="89" s="1"/>
  <c r="A142" i="89" s="1"/>
  <c r="A143" i="89" s="1"/>
  <c r="A144" i="89" s="1"/>
  <c r="A145" i="89" s="1"/>
  <c r="A146" i="89" s="1"/>
  <c r="A147" i="89" s="1"/>
  <c r="A148" i="89" s="1"/>
  <c r="A149" i="89" s="1"/>
  <c r="A150" i="89" s="1"/>
  <c r="A151" i="89" s="1"/>
  <c r="A152" i="89" s="1"/>
  <c r="A153" i="89" s="1"/>
  <c r="A154" i="89" s="1"/>
  <c r="A155" i="89" s="1"/>
  <c r="A156" i="89" s="1"/>
  <c r="A157" i="89" s="1"/>
  <c r="A158" i="89" s="1"/>
  <c r="A159" i="89" s="1"/>
  <c r="A160" i="89" s="1"/>
  <c r="A161" i="89" s="1"/>
  <c r="A162" i="89" s="1"/>
  <c r="A163" i="89" s="1"/>
  <c r="A164" i="89" s="1"/>
  <c r="A165" i="89" s="1"/>
  <c r="A166" i="89" s="1"/>
  <c r="A167" i="89" s="1"/>
  <c r="A168" i="89" s="1"/>
  <c r="A169" i="89" s="1"/>
  <c r="A170" i="89" s="1"/>
  <c r="A171" i="89" s="1"/>
  <c r="A172" i="89" s="1"/>
  <c r="A173" i="89" s="1"/>
  <c r="A174" i="89" s="1"/>
  <c r="A175" i="89" s="1"/>
  <c r="B22" i="88" l="1"/>
  <c r="B20" i="88"/>
  <c r="E91" i="88"/>
  <c r="E93" i="88"/>
  <c r="H83" i="89"/>
  <c r="H94" i="89"/>
  <c r="H158" i="89"/>
  <c r="H163" i="89"/>
  <c r="H115" i="89"/>
  <c r="H125" i="89"/>
  <c r="H81" i="89"/>
  <c r="H85" i="89"/>
  <c r="H76" i="89"/>
  <c r="H155" i="89"/>
  <c r="H89" i="89"/>
  <c r="H98" i="89"/>
  <c r="H104" i="89"/>
  <c r="H108" i="89"/>
  <c r="H82" i="89"/>
  <c r="H140" i="89"/>
  <c r="H168" i="89"/>
  <c r="H34" i="89"/>
  <c r="H87" i="89"/>
  <c r="H96" i="89"/>
  <c r="H106" i="89"/>
  <c r="H120" i="89"/>
  <c r="H141" i="89"/>
  <c r="H157" i="89"/>
  <c r="H162" i="89"/>
  <c r="H33" i="89"/>
  <c r="H41" i="89"/>
  <c r="H59" i="89"/>
  <c r="H95" i="89"/>
  <c r="H105" i="89"/>
  <c r="H109" i="89"/>
  <c r="H119" i="89"/>
  <c r="H144" i="89"/>
  <c r="H149" i="89"/>
  <c r="H154" i="89"/>
  <c r="H37" i="89"/>
  <c r="H86" i="89"/>
  <c r="H27" i="89"/>
  <c r="H47" i="89"/>
  <c r="H51" i="89"/>
  <c r="H56" i="89"/>
  <c r="H65" i="89"/>
  <c r="H69" i="89"/>
  <c r="H126" i="89"/>
  <c r="H150" i="89"/>
  <c r="H161" i="89"/>
  <c r="H164" i="89"/>
  <c r="H28" i="89"/>
  <c r="H52" i="89"/>
  <c r="H93" i="89"/>
  <c r="H127" i="89"/>
  <c r="H24" i="89"/>
  <c r="H35" i="89"/>
  <c r="H39" i="89"/>
  <c r="H63" i="89"/>
  <c r="H84" i="89"/>
  <c r="H88" i="89"/>
  <c r="H97" i="89"/>
  <c r="H107" i="89"/>
  <c r="H111" i="89"/>
  <c r="H117" i="89"/>
  <c r="H142" i="89"/>
  <c r="H147" i="89"/>
  <c r="H152" i="89"/>
  <c r="H70" i="89"/>
  <c r="H67" i="89"/>
  <c r="H118" i="89"/>
  <c r="H139" i="89"/>
  <c r="H48" i="89"/>
  <c r="H66" i="89"/>
  <c r="H136" i="89"/>
  <c r="H19" i="89" s="1"/>
  <c r="H165" i="89"/>
  <c r="H26" i="89"/>
  <c r="H40" i="89"/>
  <c r="H58" i="89"/>
  <c r="H148" i="89"/>
  <c r="H153" i="89"/>
  <c r="H90" i="89"/>
  <c r="H122" i="89"/>
  <c r="H171" i="89"/>
  <c r="H77" i="89"/>
  <c r="H42" i="89"/>
  <c r="H175" i="89"/>
  <c r="B152" i="89"/>
  <c r="B153" i="89" s="1"/>
  <c r="B154" i="89" s="1"/>
  <c r="B155" i="89" s="1"/>
  <c r="B78" i="89"/>
  <c r="B81" i="89" s="1"/>
  <c r="B82" i="89" s="1"/>
  <c r="B83" i="89" s="1"/>
  <c r="B84" i="89" s="1"/>
  <c r="B85" i="89" s="1"/>
  <c r="B86" i="89" s="1"/>
  <c r="B87" i="89" s="1"/>
  <c r="B88" i="89" s="1"/>
  <c r="B89" i="89" s="1"/>
  <c r="B90" i="89" s="1"/>
  <c r="B80" i="89"/>
  <c r="B54" i="89"/>
  <c r="B50" i="89"/>
  <c r="B103" i="89"/>
  <c r="G15" i="89"/>
  <c r="G20" i="89"/>
  <c r="G16" i="89"/>
  <c r="G13" i="89"/>
  <c r="G17" i="89"/>
  <c r="G18" i="89"/>
  <c r="H13" i="89" l="1"/>
  <c r="B51" i="89"/>
  <c r="B55" i="89"/>
  <c r="G21" i="89"/>
  <c r="H16" i="89"/>
  <c r="H15" i="89"/>
  <c r="H18" i="89"/>
  <c r="H17" i="89"/>
  <c r="H9" i="89" l="1"/>
  <c r="H20" i="89"/>
  <c r="G22" i="89"/>
  <c r="B56" i="89"/>
  <c r="B52" i="89"/>
  <c r="B57" i="89" s="1"/>
  <c r="B58" i="89" s="1"/>
  <c r="B59" i="89" s="1"/>
  <c r="B60" i="89" s="1"/>
  <c r="H14" i="89"/>
  <c r="H21" i="89" l="1"/>
  <c r="H22" i="89" s="1"/>
  <c r="B13" i="96" l="1"/>
  <c r="C26" i="97" l="1"/>
  <c r="C25" i="97" l="1"/>
  <c r="L9" i="86" l="1"/>
  <c r="K9" i="86"/>
  <c r="C9" i="87"/>
  <c r="C8" i="87"/>
  <c r="F43" i="88"/>
  <c r="F45" i="88"/>
  <c r="A14" i="103"/>
  <c r="A15" i="103"/>
  <c r="A16" i="103"/>
  <c r="A17" i="103"/>
  <c r="F31" i="103"/>
  <c r="F33" i="103" s="1"/>
  <c r="A18" i="103"/>
  <c r="A19" i="103"/>
  <c r="A20" i="103"/>
  <c r="G24" i="103"/>
  <c r="F34" i="103"/>
  <c r="A21" i="103"/>
  <c r="A22" i="103"/>
  <c r="A23" i="103"/>
  <c r="A24" i="103"/>
  <c r="A25" i="103"/>
  <c r="A26" i="103"/>
  <c r="A27" i="103"/>
  <c r="A28" i="103"/>
  <c r="A29" i="103"/>
  <c r="A30" i="103"/>
  <c r="D30" i="103"/>
  <c r="F30" i="103"/>
  <c r="A31" i="103"/>
  <c r="A32" i="103"/>
  <c r="A33" i="103"/>
  <c r="B36" i="103" s="1"/>
  <c r="A34" i="103"/>
  <c r="A35" i="103"/>
  <c r="A36" i="103"/>
  <c r="A37" i="103"/>
  <c r="C15" i="88" l="1"/>
  <c r="C11" i="88"/>
  <c r="C7" i="88"/>
  <c r="C17" i="88"/>
  <c r="C18" i="88"/>
  <c r="C14" i="88"/>
  <c r="C10" i="88"/>
  <c r="C9" i="88"/>
  <c r="C13" i="88"/>
  <c r="C23" i="88"/>
  <c r="C16" i="88"/>
  <c r="C12" i="88"/>
  <c r="C8" i="88"/>
  <c r="C22" i="88"/>
  <c r="D19" i="103"/>
  <c r="D22" i="103" s="1"/>
  <c r="F36" i="103"/>
  <c r="F37" i="103" s="1"/>
  <c r="D31" i="103"/>
  <c r="D33" i="103" s="1"/>
  <c r="D34" i="103"/>
  <c r="F19" i="103"/>
  <c r="F22" i="103" s="1"/>
  <c r="D36" i="103" l="1"/>
  <c r="G36" i="103" s="1"/>
  <c r="C20" i="88"/>
  <c r="G22" i="103"/>
  <c r="G26" i="103" s="1"/>
  <c r="E24" i="87" s="1"/>
  <c r="D37" i="103" l="1"/>
  <c r="N24" i="100"/>
  <c r="C5" i="100"/>
  <c r="N14" i="100" l="1"/>
  <c r="N20" i="100"/>
  <c r="N10" i="100"/>
  <c r="N9" i="100"/>
  <c r="N13" i="100"/>
  <c r="N12" i="100"/>
  <c r="N17" i="100"/>
  <c r="N25" i="100" s="1"/>
  <c r="N6" i="100"/>
  <c r="N19" i="100"/>
  <c r="N26" i="100" s="1"/>
  <c r="N11" i="100"/>
  <c r="N16" i="100"/>
  <c r="N8" i="100"/>
  <c r="N18" i="100"/>
  <c r="N15" i="100"/>
  <c r="N7" i="100"/>
  <c r="D5" i="100"/>
  <c r="F21" i="100"/>
  <c r="G21" i="100"/>
  <c r="H21" i="100"/>
  <c r="I21" i="100"/>
  <c r="B21" i="100"/>
  <c r="J21" i="100"/>
  <c r="C21" i="100"/>
  <c r="K21" i="100"/>
  <c r="D21" i="100"/>
  <c r="L21" i="100"/>
  <c r="E21" i="100"/>
  <c r="M21" i="100"/>
  <c r="N21" i="100" l="1"/>
  <c r="N27" i="100" s="1"/>
  <c r="N29" i="100" s="1"/>
  <c r="E5" i="100"/>
  <c r="F5" i="100" l="1"/>
  <c r="G5" i="100" l="1"/>
  <c r="H5" i="100" l="1"/>
  <c r="I5" i="100" l="1"/>
  <c r="J5" i="100" l="1"/>
  <c r="K5" i="100" l="1"/>
  <c r="L5" i="100" l="1"/>
  <c r="M5" i="100" l="1"/>
  <c r="A2" i="87" l="1"/>
  <c r="A3" i="87"/>
  <c r="A1" i="87"/>
  <c r="A3" i="86"/>
  <c r="J17" i="98" l="1"/>
  <c r="J12" i="98"/>
  <c r="E12" i="98"/>
  <c r="E14" i="98" s="1"/>
  <c r="E16" i="98" s="1"/>
  <c r="K10" i="98"/>
  <c r="G5" i="98"/>
  <c r="G4" i="98"/>
  <c r="C23" i="97"/>
  <c r="C13" i="97"/>
  <c r="A12" i="97"/>
  <c r="A13" i="97" s="1"/>
  <c r="A14" i="97" s="1"/>
  <c r="A15" i="97" s="1"/>
  <c r="A16" i="97" s="1"/>
  <c r="A17" i="97" s="1"/>
  <c r="A18" i="97" s="1"/>
  <c r="A19" i="97" s="1"/>
  <c r="A20" i="97" s="1"/>
  <c r="A21" i="97" s="1"/>
  <c r="A22" i="97" s="1"/>
  <c r="A23" i="97" s="1"/>
  <c r="A24" i="97" s="1"/>
  <c r="A25" i="97" s="1"/>
  <c r="A26" i="97" s="1"/>
  <c r="A27" i="97" s="1"/>
  <c r="A28" i="97" s="1"/>
  <c r="A29" i="97" s="1"/>
  <c r="A30" i="97" s="1"/>
  <c r="A31" i="97" s="1"/>
  <c r="A32" i="97" s="1"/>
  <c r="C11" i="97"/>
  <c r="A10" i="97"/>
  <c r="A11" i="97" s="1"/>
  <c r="C9" i="97"/>
  <c r="E10" i="97" s="1"/>
  <c r="I49" i="96"/>
  <c r="B49" i="96"/>
  <c r="F47" i="96"/>
  <c r="G47" i="96" s="1"/>
  <c r="H47" i="96" s="1"/>
  <c r="J47" i="96" s="1"/>
  <c r="C47" i="96"/>
  <c r="F46" i="96"/>
  <c r="G46" i="96" s="1"/>
  <c r="H46" i="96" s="1"/>
  <c r="J46" i="96" s="1"/>
  <c r="C46" i="96"/>
  <c r="F45" i="96"/>
  <c r="G45" i="96" s="1"/>
  <c r="H45" i="96" s="1"/>
  <c r="J45" i="96" s="1"/>
  <c r="C45" i="96"/>
  <c r="F44" i="96"/>
  <c r="C44" i="96"/>
  <c r="I39" i="96"/>
  <c r="H39" i="96"/>
  <c r="B39" i="96"/>
  <c r="J11" i="96" s="1"/>
  <c r="G37" i="96"/>
  <c r="C37" i="96"/>
  <c r="G36" i="96"/>
  <c r="H36" i="96" s="1"/>
  <c r="J36" i="96" s="1"/>
  <c r="C36" i="96"/>
  <c r="G35" i="96"/>
  <c r="F35" i="96" s="1"/>
  <c r="C35" i="96"/>
  <c r="G34" i="96"/>
  <c r="F34" i="96" s="1"/>
  <c r="C34" i="96"/>
  <c r="G33" i="96"/>
  <c r="F33" i="96"/>
  <c r="C33" i="96"/>
  <c r="G31" i="96"/>
  <c r="F31" i="96" s="1"/>
  <c r="C31" i="96"/>
  <c r="G30" i="96"/>
  <c r="F30" i="96" s="1"/>
  <c r="C30" i="96"/>
  <c r="G29" i="96"/>
  <c r="C29" i="96"/>
  <c r="G28" i="96"/>
  <c r="C28" i="96"/>
  <c r="G27" i="96"/>
  <c r="F27" i="96" s="1"/>
  <c r="C27" i="96"/>
  <c r="G26" i="96"/>
  <c r="C26" i="96"/>
  <c r="G25" i="96"/>
  <c r="C25" i="96"/>
  <c r="F48" i="88"/>
  <c r="F30" i="88"/>
  <c r="E28" i="88"/>
  <c r="F27" i="88"/>
  <c r="A3" i="88"/>
  <c r="A9" i="87"/>
  <c r="A10" i="87" s="1"/>
  <c r="A11" i="87" s="1"/>
  <c r="A12" i="87" s="1"/>
  <c r="A13" i="87" s="1"/>
  <c r="A14" i="87" s="1"/>
  <c r="A15" i="87" s="1"/>
  <c r="A16" i="87" s="1"/>
  <c r="A17" i="87" s="1"/>
  <c r="A18" i="87" s="1"/>
  <c r="A19" i="87" s="1"/>
  <c r="A20" i="87" s="1"/>
  <c r="A21" i="87" s="1"/>
  <c r="A22" i="87" s="1"/>
  <c r="A23" i="87" s="1"/>
  <c r="A24" i="87" s="1"/>
  <c r="A25" i="87" s="1"/>
  <c r="A26" i="87" s="1"/>
  <c r="A27" i="87" s="1"/>
  <c r="A28" i="87" s="1"/>
  <c r="G5" i="87"/>
  <c r="F5" i="87"/>
  <c r="AC37" i="86"/>
  <c r="AC36" i="86"/>
  <c r="A9" i="86"/>
  <c r="A10" i="86" s="1"/>
  <c r="A11" i="86" s="1"/>
  <c r="A12" i="86" s="1"/>
  <c r="A13" i="86" s="1"/>
  <c r="A14" i="86" s="1"/>
  <c r="A15" i="86" s="1"/>
  <c r="A16" i="86" s="1"/>
  <c r="A17" i="86" s="1"/>
  <c r="A18" i="86" s="1"/>
  <c r="A19" i="86" s="1"/>
  <c r="A20" i="86" s="1"/>
  <c r="A21" i="86" s="1"/>
  <c r="A22" i="86" s="1"/>
  <c r="A23" i="86" s="1"/>
  <c r="A24" i="86" s="1"/>
  <c r="A25" i="86" s="1"/>
  <c r="A26" i="86" s="1"/>
  <c r="A27" i="86" s="1"/>
  <c r="A28" i="86" s="1"/>
  <c r="A29" i="86" s="1"/>
  <c r="A30" i="86" s="1"/>
  <c r="A31" i="86" s="1"/>
  <c r="A32" i="86" s="1"/>
  <c r="A33" i="86" s="1"/>
  <c r="A34" i="86" s="1"/>
  <c r="A35" i="86" s="1"/>
  <c r="A36" i="86" s="1"/>
  <c r="A37" i="86" s="1"/>
  <c r="A38" i="86" s="1"/>
  <c r="F9" i="85"/>
  <c r="A8" i="85"/>
  <c r="A9" i="85" s="1"/>
  <c r="A10" i="85" s="1"/>
  <c r="A11" i="85" s="1"/>
  <c r="A12" i="85" s="1"/>
  <c r="A13" i="85" s="1"/>
  <c r="A14" i="85" s="1"/>
  <c r="A15" i="85" s="1"/>
  <c r="A16" i="85" s="1"/>
  <c r="A17" i="85" s="1"/>
  <c r="A18" i="85" s="1"/>
  <c r="A19" i="85" s="1"/>
  <c r="A20" i="85" s="1"/>
  <c r="A21" i="85" s="1"/>
  <c r="A22" i="85" s="1"/>
  <c r="A23" i="85" s="1"/>
  <c r="A24" i="85" s="1"/>
  <c r="A25" i="85" s="1"/>
  <c r="A26" i="85" s="1"/>
  <c r="A27" i="85" s="1"/>
  <c r="A28" i="85" s="1"/>
  <c r="A29" i="85" s="1"/>
  <c r="A30" i="85" s="1"/>
  <c r="A31" i="85" s="1"/>
  <c r="A32" i="85" s="1"/>
  <c r="A33" i="85" s="1"/>
  <c r="H18" i="88" l="1"/>
  <c r="H14" i="88"/>
  <c r="H10" i="88"/>
  <c r="H17" i="88"/>
  <c r="H23" i="88"/>
  <c r="H13" i="88"/>
  <c r="H9" i="88"/>
  <c r="H16" i="88"/>
  <c r="H12" i="88"/>
  <c r="H8" i="88"/>
  <c r="H22" i="88"/>
  <c r="H15" i="88"/>
  <c r="H11" i="88"/>
  <c r="H7" i="88"/>
  <c r="H28" i="96"/>
  <c r="J28" i="96" s="1"/>
  <c r="H25" i="96"/>
  <c r="J25" i="96" s="1"/>
  <c r="F36" i="96"/>
  <c r="H33" i="96"/>
  <c r="J33" i="96" s="1"/>
  <c r="F49" i="96"/>
  <c r="H27" i="96"/>
  <c r="J27" i="96" s="1"/>
  <c r="F25" i="96"/>
  <c r="F28" i="96"/>
  <c r="F12" i="97"/>
  <c r="H12" i="97"/>
  <c r="K12" i="97"/>
  <c r="J12" i="97"/>
  <c r="E12" i="97"/>
  <c r="N12" i="97"/>
  <c r="M12" i="97"/>
  <c r="G12" i="97"/>
  <c r="P12" i="97"/>
  <c r="I12" i="97"/>
  <c r="L12" i="97"/>
  <c r="O12" i="97"/>
  <c r="F17" i="97"/>
  <c r="F27" i="97" s="1"/>
  <c r="K10" i="97"/>
  <c r="D15" i="87" s="1"/>
  <c r="J10" i="97"/>
  <c r="D14" i="87" s="1"/>
  <c r="L10" i="97"/>
  <c r="I10" i="97"/>
  <c r="D13" i="87" s="1"/>
  <c r="N10" i="97"/>
  <c r="F10" i="97"/>
  <c r="D9" i="87" s="1"/>
  <c r="G10" i="97"/>
  <c r="M10" i="97"/>
  <c r="P10" i="97"/>
  <c r="D22" i="87" s="1"/>
  <c r="O10" i="97"/>
  <c r="D20" i="87" s="1"/>
  <c r="H10" i="97"/>
  <c r="D11" i="87" s="1"/>
  <c r="E14" i="97"/>
  <c r="P14" i="97"/>
  <c r="I14" i="97"/>
  <c r="O14" i="97"/>
  <c r="K14" i="97"/>
  <c r="M14" i="97"/>
  <c r="N14" i="97"/>
  <c r="F14" i="97"/>
  <c r="L14" i="97"/>
  <c r="G14" i="97"/>
  <c r="H14" i="97"/>
  <c r="J14" i="97"/>
  <c r="H30" i="96"/>
  <c r="J30" i="96" s="1"/>
  <c r="H34" i="96"/>
  <c r="J34" i="96" s="1"/>
  <c r="F28" i="88"/>
  <c r="G44" i="96"/>
  <c r="H44" i="96" s="1"/>
  <c r="C39" i="96"/>
  <c r="C49" i="96"/>
  <c r="D49" i="96" s="1"/>
  <c r="C28" i="97"/>
  <c r="H35" i="96"/>
  <c r="J35" i="96" s="1"/>
  <c r="H31" i="96"/>
  <c r="J31" i="96" s="1"/>
  <c r="H29" i="96"/>
  <c r="J29" i="96" s="1"/>
  <c r="F29" i="96"/>
  <c r="J17" i="97"/>
  <c r="J27" i="97" s="1"/>
  <c r="J29" i="97" s="1"/>
  <c r="I17" i="97"/>
  <c r="I27" i="97" s="1"/>
  <c r="I29" i="97" s="1"/>
  <c r="P17" i="97"/>
  <c r="P27" i="97" s="1"/>
  <c r="P29" i="97" s="1"/>
  <c r="H17" i="97"/>
  <c r="H27" i="97" s="1"/>
  <c r="H29" i="97" s="1"/>
  <c r="O17" i="97"/>
  <c r="O27" i="97" s="1"/>
  <c r="O29" i="97" s="1"/>
  <c r="G17" i="97"/>
  <c r="G27" i="97" s="1"/>
  <c r="G29" i="97" s="1"/>
  <c r="M17" i="97"/>
  <c r="M27" i="97" s="1"/>
  <c r="M29" i="97" s="1"/>
  <c r="E17" i="97"/>
  <c r="L17" i="97"/>
  <c r="L27" i="97" s="1"/>
  <c r="L29" i="97" s="1"/>
  <c r="K12" i="98"/>
  <c r="K14" i="98" s="1"/>
  <c r="K16" i="98" s="1"/>
  <c r="H37" i="96"/>
  <c r="J37" i="96" s="1"/>
  <c r="F37" i="96"/>
  <c r="F29" i="97"/>
  <c r="K17" i="97"/>
  <c r="K27" i="97" s="1"/>
  <c r="K29" i="97" s="1"/>
  <c r="E17" i="98"/>
  <c r="E18" i="98" s="1"/>
  <c r="H26" i="96"/>
  <c r="J26" i="96" s="1"/>
  <c r="G39" i="96"/>
  <c r="F26" i="96"/>
  <c r="N17" i="97"/>
  <c r="N27" i="97" s="1"/>
  <c r="N29" i="97" s="1"/>
  <c r="H20" i="88" l="1"/>
  <c r="L29" i="96"/>
  <c r="D12" i="87" s="1"/>
  <c r="D39" i="96"/>
  <c r="J12" i="96" s="1"/>
  <c r="J13" i="96"/>
  <c r="G49" i="96"/>
  <c r="L34" i="96"/>
  <c r="D17" i="87" s="1"/>
  <c r="C12" i="97"/>
  <c r="D8" i="87"/>
  <c r="C10" i="97"/>
  <c r="C14" i="97"/>
  <c r="L35" i="96"/>
  <c r="D18" i="87" s="1"/>
  <c r="F39" i="96"/>
  <c r="L27" i="96"/>
  <c r="D10" i="87" s="1"/>
  <c r="J39" i="96"/>
  <c r="K17" i="98"/>
  <c r="K18" i="98" s="1"/>
  <c r="J44" i="96"/>
  <c r="J49" i="96" s="1"/>
  <c r="H49" i="96"/>
  <c r="C17" i="97"/>
  <c r="L36" i="96" l="1"/>
  <c r="J52" i="96"/>
  <c r="L30" i="96"/>
  <c r="D24" i="87"/>
  <c r="E27" i="97"/>
  <c r="E29" i="97" s="1"/>
  <c r="C27" i="97" l="1"/>
  <c r="C29" i="97" s="1"/>
  <c r="C31" i="97" s="1"/>
  <c r="C32" i="97" l="1"/>
  <c r="F10" i="87" l="1"/>
  <c r="F15" i="87"/>
  <c r="F14" i="87"/>
  <c r="F17" i="87"/>
  <c r="F11" i="87"/>
  <c r="F8" i="87"/>
  <c r="F22" i="87"/>
  <c r="F18" i="87"/>
  <c r="F20" i="87"/>
  <c r="F12" i="87"/>
  <c r="F9" i="87"/>
  <c r="F13" i="87"/>
  <c r="F24" i="87" l="1"/>
  <c r="AB7" i="86" l="1"/>
  <c r="AC7" i="86" s="1"/>
  <c r="L36" i="86" l="1"/>
  <c r="L37" i="86"/>
  <c r="K37" i="86" l="1"/>
  <c r="K36" i="86"/>
  <c r="D21" i="85" l="1"/>
  <c r="D15" i="85"/>
  <c r="D14" i="85"/>
  <c r="D26" i="85"/>
  <c r="C37" i="86"/>
  <c r="D20" i="85"/>
  <c r="D31" i="85"/>
  <c r="C36" i="86"/>
  <c r="D29" i="85"/>
  <c r="G12" i="87" l="1"/>
  <c r="H12" i="87" s="1"/>
  <c r="G15" i="85" s="1"/>
  <c r="J15" i="85"/>
  <c r="J31" i="85"/>
  <c r="G22" i="87"/>
  <c r="H22" i="87" s="1"/>
  <c r="G31" i="85" s="1"/>
  <c r="G18" i="87"/>
  <c r="H18" i="87" s="1"/>
  <c r="G26" i="85" s="1"/>
  <c r="J26" i="85"/>
  <c r="J14" i="85"/>
  <c r="G11" i="87"/>
  <c r="H11" i="87" s="1"/>
  <c r="G14" i="85" s="1"/>
  <c r="D13" i="85"/>
  <c r="G14" i="87"/>
  <c r="H14" i="87" s="1"/>
  <c r="G20" i="85" s="1"/>
  <c r="J20" i="85"/>
  <c r="G15" i="87"/>
  <c r="H15" i="87" s="1"/>
  <c r="G21" i="85" s="1"/>
  <c r="J21" i="85"/>
  <c r="G20" i="87"/>
  <c r="H20" i="87" s="1"/>
  <c r="G29" i="85" s="1"/>
  <c r="J29" i="85"/>
  <c r="F42" i="89" l="1"/>
  <c r="I42" i="89" s="1"/>
  <c r="F90" i="89"/>
  <c r="I90" i="89" s="1"/>
  <c r="K21" i="85"/>
  <c r="H21" i="85"/>
  <c r="D8" i="85"/>
  <c r="C9" i="86"/>
  <c r="H14" i="85"/>
  <c r="K14" i="85"/>
  <c r="K31" i="85"/>
  <c r="H31" i="85"/>
  <c r="F37" i="86"/>
  <c r="AB28" i="86"/>
  <c r="K15" i="85"/>
  <c r="H15" i="85"/>
  <c r="K20" i="85"/>
  <c r="H20" i="85"/>
  <c r="H26" i="85"/>
  <c r="K26" i="85"/>
  <c r="H29" i="85"/>
  <c r="K29" i="85"/>
  <c r="I10" i="89" s="1"/>
  <c r="J10" i="89" s="1"/>
  <c r="J9" i="89" s="1"/>
  <c r="D25" i="85"/>
  <c r="C24" i="86"/>
  <c r="G10" i="87"/>
  <c r="H10" i="87" s="1"/>
  <c r="G13" i="85" s="1"/>
  <c r="J13" i="85"/>
  <c r="F36" i="86"/>
  <c r="AB27" i="86"/>
  <c r="F120" i="89" l="1"/>
  <c r="I120" i="89" s="1"/>
  <c r="F33" i="89"/>
  <c r="I33" i="89" s="1"/>
  <c r="F100" i="89"/>
  <c r="I100" i="89" s="1"/>
  <c r="F39" i="89"/>
  <c r="I39" i="89" s="1"/>
  <c r="F115" i="89"/>
  <c r="I115" i="89" s="1"/>
  <c r="F80" i="89"/>
  <c r="I80" i="89" s="1"/>
  <c r="F49" i="89"/>
  <c r="I49" i="89" s="1"/>
  <c r="F77" i="89"/>
  <c r="I77" i="89" s="1"/>
  <c r="F85" i="89"/>
  <c r="I85" i="89" s="1"/>
  <c r="F65" i="89"/>
  <c r="I65" i="89" s="1"/>
  <c r="F50" i="89"/>
  <c r="I50" i="89" s="1"/>
  <c r="F158" i="89"/>
  <c r="I158" i="89" s="1"/>
  <c r="F104" i="89"/>
  <c r="I104" i="89" s="1"/>
  <c r="F60" i="89"/>
  <c r="I60" i="89" s="1"/>
  <c r="F57" i="89"/>
  <c r="I57" i="89" s="1"/>
  <c r="F93" i="89"/>
  <c r="I93" i="89" s="1"/>
  <c r="F52" i="89"/>
  <c r="I52" i="89" s="1"/>
  <c r="F173" i="89"/>
  <c r="I173" i="89" s="1"/>
  <c r="F101" i="89"/>
  <c r="I101" i="89" s="1"/>
  <c r="F171" i="89"/>
  <c r="I171" i="89" s="1"/>
  <c r="F71" i="89"/>
  <c r="I71" i="89" s="1"/>
  <c r="F29" i="89"/>
  <c r="I29" i="89" s="1"/>
  <c r="F36" i="89"/>
  <c r="I36" i="89" s="1"/>
  <c r="F161" i="89"/>
  <c r="I161" i="89" s="1"/>
  <c r="F58" i="89"/>
  <c r="I58" i="89" s="1"/>
  <c r="F35" i="89"/>
  <c r="I35" i="89" s="1"/>
  <c r="F95" i="89"/>
  <c r="I95" i="89" s="1"/>
  <c r="F27" i="89"/>
  <c r="I27" i="89" s="1"/>
  <c r="F103" i="89"/>
  <c r="I103" i="89" s="1"/>
  <c r="F122" i="89"/>
  <c r="I122" i="89" s="1"/>
  <c r="F56" i="89"/>
  <c r="I56" i="89" s="1"/>
  <c r="F140" i="89"/>
  <c r="I140" i="89" s="1"/>
  <c r="F26" i="89"/>
  <c r="I26" i="89" s="1"/>
  <c r="F24" i="89"/>
  <c r="I24" i="89" s="1"/>
  <c r="F150" i="89"/>
  <c r="I150" i="89" s="1"/>
  <c r="F153" i="89"/>
  <c r="I153" i="89" s="1"/>
  <c r="F82" i="89"/>
  <c r="I82" i="89" s="1"/>
  <c r="F130" i="89"/>
  <c r="I130" i="89" s="1"/>
  <c r="F136" i="89"/>
  <c r="I136" i="89" s="1"/>
  <c r="I19" i="89" s="1"/>
  <c r="F37" i="89"/>
  <c r="I37" i="89" s="1"/>
  <c r="F155" i="89"/>
  <c r="I155" i="89" s="1"/>
  <c r="F128" i="89"/>
  <c r="I128" i="89" s="1"/>
  <c r="F147" i="89"/>
  <c r="I147" i="89" s="1"/>
  <c r="F99" i="89"/>
  <c r="I99" i="89" s="1"/>
  <c r="F47" i="89"/>
  <c r="I47" i="89" s="1"/>
  <c r="F107" i="89"/>
  <c r="I107" i="89" s="1"/>
  <c r="F78" i="89"/>
  <c r="I78" i="89" s="1"/>
  <c r="F106" i="89"/>
  <c r="I106" i="89" s="1"/>
  <c r="F141" i="89"/>
  <c r="I141" i="89" s="1"/>
  <c r="F172" i="89"/>
  <c r="I172" i="89" s="1"/>
  <c r="F69" i="89"/>
  <c r="I69" i="89" s="1"/>
  <c r="F126" i="89"/>
  <c r="I126" i="89" s="1"/>
  <c r="F149" i="89"/>
  <c r="I149" i="89" s="1"/>
  <c r="F152" i="89"/>
  <c r="I152" i="89" s="1"/>
  <c r="F64" i="89"/>
  <c r="I64" i="89" s="1"/>
  <c r="F110" i="89"/>
  <c r="I110" i="89" s="1"/>
  <c r="F160" i="89"/>
  <c r="I160" i="89" s="1"/>
  <c r="F124" i="89"/>
  <c r="I124" i="89" s="1"/>
  <c r="F74" i="89"/>
  <c r="I74" i="89" s="1"/>
  <c r="F96" i="89"/>
  <c r="I96" i="89" s="1"/>
  <c r="F83" i="89"/>
  <c r="I83" i="89" s="1"/>
  <c r="F70" i="89"/>
  <c r="I70" i="89" s="1"/>
  <c r="F131" i="89"/>
  <c r="I131" i="89" s="1"/>
  <c r="F169" i="89"/>
  <c r="I169" i="89" s="1"/>
  <c r="F175" i="89"/>
  <c r="I175" i="89" s="1"/>
  <c r="F88" i="89"/>
  <c r="I88" i="89" s="1"/>
  <c r="F54" i="89"/>
  <c r="I54" i="89" s="1"/>
  <c r="F32" i="89"/>
  <c r="I32" i="89" s="1"/>
  <c r="F146" i="89"/>
  <c r="I146" i="89" s="1"/>
  <c r="F119" i="89"/>
  <c r="I119" i="89" s="1"/>
  <c r="F154" i="89"/>
  <c r="I154" i="89" s="1"/>
  <c r="F109" i="89"/>
  <c r="I109" i="89" s="1"/>
  <c r="F162" i="89"/>
  <c r="I162" i="89" s="1"/>
  <c r="F73" i="89"/>
  <c r="I73" i="89" s="1"/>
  <c r="F98" i="89"/>
  <c r="I98" i="89" s="1"/>
  <c r="F68" i="89"/>
  <c r="I68" i="89" s="1"/>
  <c r="F168" i="89"/>
  <c r="I168" i="89" s="1"/>
  <c r="F125" i="89"/>
  <c r="I125" i="89" s="1"/>
  <c r="F166" i="89"/>
  <c r="I166" i="89" s="1"/>
  <c r="F28" i="89"/>
  <c r="I28" i="89" s="1"/>
  <c r="F38" i="89"/>
  <c r="I38" i="89" s="1"/>
  <c r="F148" i="89"/>
  <c r="I148" i="89" s="1"/>
  <c r="F75" i="89"/>
  <c r="I75" i="89" s="1"/>
  <c r="F167" i="89"/>
  <c r="I167" i="89" s="1"/>
  <c r="F48" i="89"/>
  <c r="I48" i="89" s="1"/>
  <c r="F112" i="89"/>
  <c r="I112" i="89" s="1"/>
  <c r="F67" i="89"/>
  <c r="I67" i="89" s="1"/>
  <c r="F41" i="89"/>
  <c r="I41" i="89" s="1"/>
  <c r="F174" i="89"/>
  <c r="I174" i="89" s="1"/>
  <c r="F81" i="89"/>
  <c r="I81" i="89" s="1"/>
  <c r="F142" i="89"/>
  <c r="I142" i="89" s="1"/>
  <c r="F34" i="89"/>
  <c r="I34" i="89" s="1"/>
  <c r="F87" i="89"/>
  <c r="I87" i="89" s="1"/>
  <c r="F157" i="89"/>
  <c r="I157" i="89" s="1"/>
  <c r="F163" i="89"/>
  <c r="I163" i="89" s="1"/>
  <c r="F51" i="89"/>
  <c r="I51" i="89" s="1"/>
  <c r="F132" i="89"/>
  <c r="I132" i="89" s="1"/>
  <c r="F40" i="89"/>
  <c r="I40" i="89" s="1"/>
  <c r="F76" i="89"/>
  <c r="I76" i="89" s="1"/>
  <c r="F118" i="89"/>
  <c r="I118" i="89" s="1"/>
  <c r="F117" i="89"/>
  <c r="I117" i="89" s="1"/>
  <c r="F45" i="89"/>
  <c r="I45" i="89" s="1"/>
  <c r="F86" i="89"/>
  <c r="I86" i="89" s="1"/>
  <c r="F63" i="89"/>
  <c r="I63" i="89" s="1"/>
  <c r="F165" i="89"/>
  <c r="I165" i="89" s="1"/>
  <c r="F170" i="89"/>
  <c r="I170" i="89" s="1"/>
  <c r="F144" i="89"/>
  <c r="I144" i="89" s="1"/>
  <c r="F143" i="89"/>
  <c r="I143" i="89" s="1"/>
  <c r="F89" i="89"/>
  <c r="I89" i="89" s="1"/>
  <c r="F129" i="89"/>
  <c r="I129" i="89" s="1"/>
  <c r="F59" i="89"/>
  <c r="I59" i="89" s="1"/>
  <c r="F84" i="89"/>
  <c r="I84" i="89" s="1"/>
  <c r="F127" i="89"/>
  <c r="I127" i="89" s="1"/>
  <c r="F94" i="89"/>
  <c r="I94" i="89" s="1"/>
  <c r="F139" i="89"/>
  <c r="I139" i="89" s="1"/>
  <c r="F46" i="89"/>
  <c r="I46" i="89" s="1"/>
  <c r="F116" i="89"/>
  <c r="I116" i="89" s="1"/>
  <c r="F111" i="89"/>
  <c r="I111" i="89" s="1"/>
  <c r="F164" i="89"/>
  <c r="I164" i="89" s="1"/>
  <c r="F97" i="89"/>
  <c r="I97" i="89" s="1"/>
  <c r="F133" i="89"/>
  <c r="I133" i="89" s="1"/>
  <c r="F66" i="89"/>
  <c r="I66" i="89" s="1"/>
  <c r="F105" i="89"/>
  <c r="I105" i="89" s="1"/>
  <c r="F108" i="89"/>
  <c r="I108" i="89" s="1"/>
  <c r="F55" i="89"/>
  <c r="I55" i="89" s="1"/>
  <c r="J25" i="85"/>
  <c r="J27" i="85" s="1"/>
  <c r="F27" i="85"/>
  <c r="G17" i="87"/>
  <c r="H17" i="87" s="1"/>
  <c r="G25" i="85" s="1"/>
  <c r="D27" i="85"/>
  <c r="AC18" i="86"/>
  <c r="L20" i="85"/>
  <c r="L29" i="85"/>
  <c r="AC26" i="86"/>
  <c r="D19" i="85"/>
  <c r="C20" i="86"/>
  <c r="AC14" i="86"/>
  <c r="L15" i="85"/>
  <c r="AB36" i="86"/>
  <c r="AD27" i="86"/>
  <c r="AB37" i="86"/>
  <c r="AD28" i="86"/>
  <c r="D9" i="85"/>
  <c r="J8" i="85"/>
  <c r="J9" i="85" s="1"/>
  <c r="G8" i="87"/>
  <c r="L26" i="85"/>
  <c r="AC23" i="86"/>
  <c r="H13" i="85"/>
  <c r="K13" i="85"/>
  <c r="AC32" i="86"/>
  <c r="L31" i="85"/>
  <c r="AC13" i="86"/>
  <c r="L14" i="85"/>
  <c r="L21" i="85"/>
  <c r="AC19" i="86"/>
  <c r="G27" i="85" l="1"/>
  <c r="I16" i="89"/>
  <c r="I17" i="89"/>
  <c r="I15" i="89"/>
  <c r="I18" i="89"/>
  <c r="I14" i="89"/>
  <c r="I20" i="89"/>
  <c r="I13" i="89"/>
  <c r="I9" i="89"/>
  <c r="I11" i="89" s="1"/>
  <c r="AC12" i="86"/>
  <c r="L13" i="85"/>
  <c r="C15" i="86"/>
  <c r="C30" i="86" s="1"/>
  <c r="C34" i="86" s="1"/>
  <c r="D12" i="85"/>
  <c r="J19" i="85"/>
  <c r="J22" i="85" s="1"/>
  <c r="G13" i="87"/>
  <c r="H13" i="87" s="1"/>
  <c r="G19" i="85" s="1"/>
  <c r="F22" i="85"/>
  <c r="D22" i="85"/>
  <c r="K25" i="85"/>
  <c r="H25" i="85"/>
  <c r="H8" i="87"/>
  <c r="G8" i="85" s="1"/>
  <c r="F31" i="88" s="1"/>
  <c r="C38" i="86" l="1"/>
  <c r="H27" i="85"/>
  <c r="G22" i="85"/>
  <c r="I21" i="89"/>
  <c r="I22" i="89" s="1"/>
  <c r="G9" i="87"/>
  <c r="F16" i="85"/>
  <c r="F33" i="85" s="1"/>
  <c r="D16" i="85"/>
  <c r="D33" i="85" s="1"/>
  <c r="G31" i="87" s="1"/>
  <c r="J12" i="85"/>
  <c r="J16" i="85" s="1"/>
  <c r="J33" i="85" s="1"/>
  <c r="H19" i="85"/>
  <c r="K19" i="85"/>
  <c r="K8" i="85"/>
  <c r="H8" i="85"/>
  <c r="G9" i="85"/>
  <c r="K27" i="85"/>
  <c r="AC22" i="86"/>
  <c r="AC24" i="86" s="1"/>
  <c r="L25" i="85"/>
  <c r="L27" i="85" s="1"/>
  <c r="H22" i="85" l="1"/>
  <c r="H9" i="85"/>
  <c r="L8" i="85"/>
  <c r="L9" i="85" s="1"/>
  <c r="K9" i="85"/>
  <c r="AC8" i="86"/>
  <c r="AC9" i="86" s="1"/>
  <c r="K22" i="85"/>
  <c r="AC17" i="86"/>
  <c r="AC20" i="86" s="1"/>
  <c r="L19" i="85"/>
  <c r="L22" i="85" s="1"/>
  <c r="H9" i="87"/>
  <c r="G12" i="85" s="1"/>
  <c r="G24" i="87"/>
  <c r="H24" i="87" l="1"/>
  <c r="G28" i="87"/>
  <c r="G32" i="87" s="1"/>
  <c r="F35" i="88"/>
  <c r="H12" i="85"/>
  <c r="K12" i="85"/>
  <c r="G16" i="85"/>
  <c r="G33" i="85" s="1"/>
  <c r="H16" i="85" l="1"/>
  <c r="H33" i="85" s="1"/>
  <c r="K16" i="85"/>
  <c r="K33" i="85" s="1"/>
  <c r="L12" i="85"/>
  <c r="L16" i="85" s="1"/>
  <c r="L33" i="85" s="1"/>
  <c r="AC11" i="86"/>
  <c r="AC15" i="86" s="1"/>
  <c r="AC30" i="86" s="1"/>
  <c r="AC34" i="86" s="1"/>
  <c r="AC38" i="86" s="1"/>
  <c r="AD43" i="86" l="1"/>
  <c r="J36" i="86"/>
  <c r="J37" i="86"/>
  <c r="J9" i="86" l="1"/>
  <c r="J24" i="86"/>
  <c r="J20" i="86"/>
  <c r="J15" i="86"/>
  <c r="J30" i="86" l="1"/>
  <c r="J34" i="86" s="1"/>
  <c r="J38" i="86" l="1"/>
  <c r="S36" i="86" l="1"/>
  <c r="O37" i="86"/>
  <c r="S37" i="86"/>
  <c r="O36" i="86"/>
  <c r="V36" i="86" l="1"/>
  <c r="G36" i="86"/>
  <c r="G37" i="86"/>
  <c r="E37" i="86" l="1"/>
  <c r="V24" i="86"/>
  <c r="E36" i="86"/>
  <c r="T36" i="86" l="1"/>
  <c r="U36" i="86"/>
  <c r="W36" i="86" l="1"/>
  <c r="W37" i="86"/>
  <c r="U24" i="86"/>
  <c r="W24" i="86" l="1"/>
  <c r="V37" i="86" l="1"/>
  <c r="V9" i="86" l="1"/>
  <c r="V15" i="86" l="1"/>
  <c r="V20" i="86" l="1"/>
  <c r="V30" i="86" s="1"/>
  <c r="V34" i="86" s="1"/>
  <c r="V38" i="86" l="1"/>
  <c r="F69" i="88" l="1"/>
  <c r="E9" i="86" l="1"/>
  <c r="E20" i="86"/>
  <c r="E24" i="86"/>
  <c r="G24" i="86"/>
  <c r="G20" i="86"/>
  <c r="G9" i="86"/>
  <c r="E15" i="86" l="1"/>
  <c r="E30" i="86" s="1"/>
  <c r="E34" i="86" s="1"/>
  <c r="G15" i="86"/>
  <c r="G30" i="86" s="1"/>
  <c r="G34" i="86" s="1"/>
  <c r="E38" i="86" l="1"/>
  <c r="G38" i="86"/>
  <c r="K20" i="86" l="1"/>
  <c r="K24" i="86"/>
  <c r="L20" i="86" l="1"/>
  <c r="L24" i="86"/>
  <c r="L15" i="86"/>
  <c r="L30" i="86" l="1"/>
  <c r="L34" i="86" s="1"/>
  <c r="L38" i="86" l="1"/>
  <c r="F44" i="88" l="1"/>
  <c r="U9" i="86" l="1"/>
  <c r="U15" i="86" l="1"/>
  <c r="U20" i="86"/>
  <c r="T37" i="86" l="1"/>
  <c r="T24" i="86" l="1"/>
  <c r="T20" i="86" l="1"/>
  <c r="T9" i="86"/>
  <c r="T15" i="86"/>
  <c r="T30" i="86" l="1"/>
  <c r="T34" i="86" s="1"/>
  <c r="T38" i="86" l="1"/>
  <c r="F66" i="88" l="1"/>
  <c r="W20" i="86" l="1"/>
  <c r="W9" i="86"/>
  <c r="W15" i="86"/>
  <c r="W30" i="86" s="1"/>
  <c r="W34" i="86" s="1"/>
  <c r="W38" i="86" l="1"/>
  <c r="F42" i="88" l="1"/>
  <c r="S9" i="86" l="1"/>
  <c r="S24" i="86"/>
  <c r="S20" i="86" l="1"/>
  <c r="S15" i="86" l="1"/>
  <c r="S30" i="86" s="1"/>
  <c r="S34" i="86" s="1"/>
  <c r="S38" i="86" l="1"/>
  <c r="H36" i="86" l="1"/>
  <c r="U37" i="86" l="1"/>
  <c r="U30" i="86"/>
  <c r="U34" i="86" s="1"/>
  <c r="U38" i="86" l="1"/>
  <c r="H20" i="86" l="1"/>
  <c r="H24" i="86"/>
  <c r="H15" i="86" l="1"/>
  <c r="H9" i="86" l="1"/>
  <c r="H37" i="86" l="1"/>
  <c r="H30" i="86"/>
  <c r="H34" i="86" s="1"/>
  <c r="H38" i="86" l="1"/>
  <c r="M36" i="86" l="1"/>
  <c r="M37" i="86" l="1"/>
  <c r="F36" i="88" l="1"/>
  <c r="M24" i="86"/>
  <c r="M15" i="86" l="1"/>
  <c r="M20" i="86"/>
  <c r="M9" i="86"/>
  <c r="M30" i="86" l="1"/>
  <c r="M34" i="86" s="1"/>
  <c r="M38" i="86" l="1"/>
  <c r="F38" i="88" l="1"/>
  <c r="O9" i="86" l="1"/>
  <c r="O24" i="86" l="1"/>
  <c r="O20" i="86"/>
  <c r="O15" i="86" l="1"/>
  <c r="O30" i="86" s="1"/>
  <c r="O34" i="86" s="1"/>
  <c r="O38" i="86" l="1"/>
  <c r="I37" i="86" l="1"/>
  <c r="I24" i="86" l="1"/>
  <c r="F34" i="88" l="1"/>
  <c r="I15" i="86"/>
  <c r="I20" i="86"/>
  <c r="I36" i="86"/>
  <c r="I9" i="86"/>
  <c r="I30" i="86" l="1"/>
  <c r="I34" i="86" s="1"/>
  <c r="I38" i="86" l="1"/>
  <c r="D24" i="86" l="1"/>
  <c r="D37" i="86"/>
  <c r="D36" i="86"/>
  <c r="D20" i="86" l="1"/>
  <c r="D9" i="86"/>
  <c r="D15" i="86"/>
  <c r="D30" i="86" l="1"/>
  <c r="D34" i="86" s="1"/>
  <c r="D38" i="86" l="1"/>
  <c r="P36" i="86"/>
  <c r="F40" i="88" l="1"/>
  <c r="P37" i="86"/>
  <c r="R36" i="86"/>
  <c r="R37" i="86"/>
  <c r="Q36" i="86"/>
  <c r="Q37" i="86"/>
  <c r="F37" i="88" l="1"/>
  <c r="N24" i="86"/>
  <c r="N37" i="86" l="1"/>
  <c r="Y37" i="86" s="1"/>
  <c r="N36" i="86"/>
  <c r="Y36" i="86" s="1"/>
  <c r="F41" i="88"/>
  <c r="Z27" i="86" l="1"/>
  <c r="Z28" i="86"/>
  <c r="F39" i="88" l="1"/>
  <c r="E64" i="88"/>
  <c r="E74" i="88" s="1"/>
  <c r="E46" i="88"/>
  <c r="E73" i="88" s="1"/>
  <c r="AE28" i="86"/>
  <c r="AG28" i="86" s="1"/>
  <c r="Z37" i="86"/>
  <c r="AF28" i="86"/>
  <c r="AH28" i="86"/>
  <c r="AH27" i="86"/>
  <c r="AF27" i="86"/>
  <c r="Z36" i="86"/>
  <c r="AE27" i="86"/>
  <c r="AG27" i="86" s="1"/>
  <c r="D23" i="88" l="1"/>
  <c r="D18" i="88"/>
  <c r="D17" i="88"/>
  <c r="D16" i="88"/>
  <c r="D13" i="88"/>
  <c r="D8" i="88"/>
  <c r="D14" i="88"/>
  <c r="D12" i="88"/>
  <c r="D11" i="88"/>
  <c r="D7" i="88"/>
  <c r="D10" i="88"/>
  <c r="D15" i="88"/>
  <c r="D9" i="88"/>
  <c r="D22" i="88"/>
  <c r="E23" i="88"/>
  <c r="E18" i="88"/>
  <c r="E17" i="88"/>
  <c r="E16" i="88"/>
  <c r="E12" i="88"/>
  <c r="E14" i="88"/>
  <c r="E15" i="88"/>
  <c r="E10" i="88"/>
  <c r="E7" i="88"/>
  <c r="E8" i="88"/>
  <c r="E13" i="88"/>
  <c r="E11" i="88"/>
  <c r="E9" i="88"/>
  <c r="E22" i="88"/>
  <c r="F64" i="88"/>
  <c r="F74" i="88" s="1"/>
  <c r="F46" i="88"/>
  <c r="F73" i="88" s="1"/>
  <c r="F12" i="88" l="1"/>
  <c r="F9" i="88"/>
  <c r="F16" i="88"/>
  <c r="F14" i="88"/>
  <c r="E20" i="88"/>
  <c r="F22" i="88"/>
  <c r="F8" i="88"/>
  <c r="I23" i="88"/>
  <c r="I18" i="88"/>
  <c r="I17" i="88"/>
  <c r="I15" i="88"/>
  <c r="I16" i="88"/>
  <c r="I9" i="88"/>
  <c r="I12" i="88"/>
  <c r="I8" i="88"/>
  <c r="I7" i="88"/>
  <c r="I13" i="88"/>
  <c r="I10" i="88"/>
  <c r="I11" i="88"/>
  <c r="I14" i="88"/>
  <c r="I22" i="88"/>
  <c r="F10" i="88"/>
  <c r="F17" i="88"/>
  <c r="J23" i="88"/>
  <c r="J17" i="88"/>
  <c r="J15" i="88"/>
  <c r="J7" i="88"/>
  <c r="J18" i="88"/>
  <c r="J16" i="88"/>
  <c r="J12" i="88"/>
  <c r="J9" i="88"/>
  <c r="K9" i="88" s="1"/>
  <c r="L9" i="88" s="1"/>
  <c r="M9" i="88" s="1"/>
  <c r="J14" i="88"/>
  <c r="J13" i="88"/>
  <c r="J8" i="88"/>
  <c r="J10" i="88"/>
  <c r="J11" i="88"/>
  <c r="J22" i="88"/>
  <c r="F7" i="88"/>
  <c r="D20" i="88"/>
  <c r="F18" i="88"/>
  <c r="F15" i="88"/>
  <c r="F13" i="88"/>
  <c r="F11" i="88"/>
  <c r="F23" i="88"/>
  <c r="Q9" i="86"/>
  <c r="R9" i="86"/>
  <c r="K11" i="88" l="1"/>
  <c r="L11" i="88" s="1"/>
  <c r="M11" i="88" s="1"/>
  <c r="K17" i="88"/>
  <c r="L17" i="88" s="1"/>
  <c r="M17" i="88" s="1"/>
  <c r="K18" i="88"/>
  <c r="K15" i="88"/>
  <c r="L15" i="88" s="1"/>
  <c r="M15" i="88" s="1"/>
  <c r="J20" i="88"/>
  <c r="K13" i="88"/>
  <c r="L13" i="88" s="1"/>
  <c r="M13" i="88" s="1"/>
  <c r="L18" i="88"/>
  <c r="M18" i="88" s="1"/>
  <c r="K7" i="88"/>
  <c r="I20" i="88"/>
  <c r="K23" i="88"/>
  <c r="L23" i="88" s="1"/>
  <c r="M23" i="88" s="1"/>
  <c r="K8" i="88"/>
  <c r="L8" i="88" s="1"/>
  <c r="M8" i="88" s="1"/>
  <c r="F20" i="88"/>
  <c r="K12" i="88"/>
  <c r="L12" i="88" s="1"/>
  <c r="M12" i="88" s="1"/>
  <c r="K10" i="88"/>
  <c r="L10" i="88" s="1"/>
  <c r="M10" i="88" s="1"/>
  <c r="K22" i="88"/>
  <c r="L22" i="88" s="1"/>
  <c r="M22" i="88" s="1"/>
  <c r="K14" i="88"/>
  <c r="L14" i="88" s="1"/>
  <c r="M14" i="88" s="1"/>
  <c r="K16" i="88"/>
  <c r="L16" i="88" s="1"/>
  <c r="M16" i="88" s="1"/>
  <c r="N9" i="86"/>
  <c r="P9" i="86"/>
  <c r="L7" i="88" l="1"/>
  <c r="M7" i="88" s="1"/>
  <c r="K20" i="88"/>
  <c r="L20" i="88" s="1"/>
  <c r="M20" i="88" s="1"/>
  <c r="Q24" i="86"/>
  <c r="P24" i="86"/>
  <c r="R24" i="86"/>
  <c r="N20" i="86"/>
  <c r="P20" i="86"/>
  <c r="R15" i="86"/>
  <c r="Q20" i="86"/>
  <c r="R20" i="86"/>
  <c r="N15" i="86" l="1"/>
  <c r="N30" i="86" s="1"/>
  <c r="N34" i="86" s="1"/>
  <c r="P15" i="86"/>
  <c r="P30" i="86" s="1"/>
  <c r="P34" i="86" s="1"/>
  <c r="Q15" i="86"/>
  <c r="Q30" i="86" s="1"/>
  <c r="Q34" i="86" s="1"/>
  <c r="R30" i="86"/>
  <c r="R34" i="86" s="1"/>
  <c r="R38" i="86" l="1"/>
  <c r="P38" i="86"/>
  <c r="Q38" i="86"/>
  <c r="N38" i="86"/>
  <c r="K15" i="86"/>
  <c r="K30" i="86" s="1"/>
  <c r="K34" i="86" s="1"/>
  <c r="K38" i="86" l="1"/>
  <c r="AB14" i="86"/>
  <c r="AD14" i="86" s="1"/>
  <c r="Z14" i="86"/>
  <c r="AH14" i="86" l="1"/>
  <c r="AB26" i="86"/>
  <c r="AD26" i="86" s="1"/>
  <c r="Z26" i="86"/>
  <c r="Z19" i="86"/>
  <c r="AB19" i="86"/>
  <c r="AD19" i="86" s="1"/>
  <c r="AB32" i="86"/>
  <c r="AD32" i="86" s="1"/>
  <c r="Z32" i="86"/>
  <c r="AB18" i="86"/>
  <c r="AD18" i="86" s="1"/>
  <c r="Z18" i="86"/>
  <c r="AF14" i="86"/>
  <c r="AE14" i="86"/>
  <c r="AG14" i="86" s="1"/>
  <c r="AB23" i="86"/>
  <c r="AD23" i="86" s="1"/>
  <c r="Z23" i="86"/>
  <c r="AH19" i="86" l="1"/>
  <c r="Z13" i="86"/>
  <c r="AB13" i="86"/>
  <c r="AD13" i="86" s="1"/>
  <c r="AH13" i="86" s="1"/>
  <c r="AF18" i="86"/>
  <c r="AE18" i="86"/>
  <c r="AG18" i="86" s="1"/>
  <c r="AH18" i="86"/>
  <c r="AE32" i="86"/>
  <c r="AG32" i="86" s="1"/>
  <c r="AF32" i="86"/>
  <c r="AH32" i="86"/>
  <c r="AF23" i="86"/>
  <c r="AE23" i="86"/>
  <c r="AG23" i="86" s="1"/>
  <c r="AH23" i="86"/>
  <c r="AE19" i="86"/>
  <c r="AG19" i="86" s="1"/>
  <c r="AF19" i="86"/>
  <c r="AE26" i="86"/>
  <c r="AG26" i="86" s="1"/>
  <c r="AF26" i="86"/>
  <c r="AH26" i="86"/>
  <c r="AB12" i="86" l="1"/>
  <c r="AD12" i="86" s="1"/>
  <c r="Z12" i="86"/>
  <c r="AB17" i="86"/>
  <c r="F20" i="86"/>
  <c r="F15" i="86"/>
  <c r="AB11" i="86"/>
  <c r="AB22" i="86"/>
  <c r="F24" i="86"/>
  <c r="AF13" i="86"/>
  <c r="AE13" i="86"/>
  <c r="AG13" i="86" s="1"/>
  <c r="AB8" i="86" l="1"/>
  <c r="F9" i="86"/>
  <c r="F30" i="86" s="1"/>
  <c r="F34" i="86" s="1"/>
  <c r="Y15" i="86"/>
  <c r="Z11" i="86"/>
  <c r="AD11" i="86"/>
  <c r="AB15" i="86"/>
  <c r="Z17" i="86"/>
  <c r="Y20" i="86"/>
  <c r="AB20" i="86"/>
  <c r="AD17" i="86"/>
  <c r="Y24" i="86"/>
  <c r="Z22" i="86"/>
  <c r="AE12" i="86"/>
  <c r="AG12" i="86" s="1"/>
  <c r="AF12" i="86"/>
  <c r="AD22" i="86"/>
  <c r="AB24" i="86"/>
  <c r="AH12" i="86"/>
  <c r="F38" i="86" l="1"/>
  <c r="AH22" i="86"/>
  <c r="AD24" i="86"/>
  <c r="AE17" i="86"/>
  <c r="AF17" i="86"/>
  <c r="Z20" i="86"/>
  <c r="AF20" i="86" s="1"/>
  <c r="AD15" i="86"/>
  <c r="AH11" i="86"/>
  <c r="Z24" i="86"/>
  <c r="AF24" i="86" s="1"/>
  <c r="AE22" i="86"/>
  <c r="AF22" i="86"/>
  <c r="AE11" i="86"/>
  <c r="AF11" i="86"/>
  <c r="Z15" i="86"/>
  <c r="AF15" i="86" s="1"/>
  <c r="AD20" i="86"/>
  <c r="AH17" i="86"/>
  <c r="AD8" i="86"/>
  <c r="AB9" i="86"/>
  <c r="AB30" i="86" s="1"/>
  <c r="AB34" i="86" s="1"/>
  <c r="AB38" i="86" s="1"/>
  <c r="AD42" i="86" s="1"/>
  <c r="Y9" i="86"/>
  <c r="Y30" i="86" s="1"/>
  <c r="Y34" i="86" s="1"/>
  <c r="Z8" i="86"/>
  <c r="AH20" i="86" l="1"/>
  <c r="AH15" i="86"/>
  <c r="Y38" i="86"/>
  <c r="AD9" i="86"/>
  <c r="AH8" i="86"/>
  <c r="AE8" i="86"/>
  <c r="AF8" i="86"/>
  <c r="Z9" i="86"/>
  <c r="AG11" i="86"/>
  <c r="AE15" i="86"/>
  <c r="AG15" i="86" s="1"/>
  <c r="AE20" i="86"/>
  <c r="AG20" i="86" s="1"/>
  <c r="AG17" i="86"/>
  <c r="AH24" i="86"/>
  <c r="AE24" i="86"/>
  <c r="AG24" i="86" s="1"/>
  <c r="AG22" i="86"/>
  <c r="Z30" i="86" l="1"/>
  <c r="AF9" i="86"/>
  <c r="AG8" i="86"/>
  <c r="AE9" i="86"/>
  <c r="AH9" i="86"/>
  <c r="AD30" i="86"/>
  <c r="AE30" i="86" l="1"/>
  <c r="AG9" i="86"/>
  <c r="AD34" i="86"/>
  <c r="AH30" i="86"/>
  <c r="Z34" i="86"/>
  <c r="AF30" i="86"/>
  <c r="AF34" i="86" l="1"/>
  <c r="Z38" i="86"/>
  <c r="AD41" i="86"/>
  <c r="AH34" i="86"/>
  <c r="AG30" i="86"/>
  <c r="AE34" i="86"/>
  <c r="AG34" i="8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cdas</author>
    <author>Chun Chang</author>
  </authors>
  <commentList>
    <comment ref="B12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cdas:</t>
        </r>
        <r>
          <rPr>
            <sz val="9"/>
            <color indexed="81"/>
            <rFont val="Tahoma"/>
            <family val="2"/>
          </rPr>
          <t xml:space="preserve">
No more temp adjustment to GPI is applied
</t>
        </r>
      </text>
    </comment>
    <comment ref="J17" authorId="1" shapeId="0" xr:uid="{00000000-0006-0000-0900-000002000000}">
      <text>
        <r>
          <rPr>
            <b/>
            <sz val="9"/>
            <color indexed="81"/>
            <rFont val="Tahoma"/>
            <family val="2"/>
          </rPr>
          <t>Chun Chang:</t>
        </r>
        <r>
          <rPr>
            <sz val="9"/>
            <color indexed="81"/>
            <rFont val="Tahoma"/>
            <family val="2"/>
          </rPr>
          <t xml:space="preserve">
This is to be used as the energy allocation factor in 2019 GRC.  04/29/19</t>
        </r>
      </text>
    </comment>
    <comment ref="B20" authorId="1" shapeId="0" xr:uid="{00000000-0006-0000-0900-000003000000}">
      <text>
        <r>
          <rPr>
            <b/>
            <sz val="9"/>
            <color indexed="81"/>
            <rFont val="Tahoma"/>
            <family val="2"/>
          </rPr>
          <t>Chun Chang:</t>
        </r>
        <r>
          <rPr>
            <sz val="9"/>
            <color indexed="81"/>
            <rFont val="Tahoma"/>
            <family val="2"/>
          </rPr>
          <t xml:space="preserve">
Reflects schedule 40 rate migrations anticipated after 2019 GRC.  04/29/19</t>
        </r>
      </text>
    </comment>
    <comment ref="A32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cdas:</t>
        </r>
        <r>
          <rPr>
            <sz val="9"/>
            <color indexed="81"/>
            <rFont val="Tahoma"/>
            <family val="2"/>
          </rPr>
          <t xml:space="preserve">
sch 40 remaining are all in sch 25, so they are added to regular sch25. SC already migrated and henced added to transportation. Therefore sch40 is null.
</t>
        </r>
      </text>
    </comment>
  </commentList>
</comments>
</file>

<file path=xl/sharedStrings.xml><?xml version="1.0" encoding="utf-8"?>
<sst xmlns="http://schemas.openxmlformats.org/spreadsheetml/2006/main" count="789" uniqueCount="446">
  <si>
    <t>Residential</t>
  </si>
  <si>
    <t>Sec Gen Svc - Small</t>
  </si>
  <si>
    <t>Sec Gen Svc - Medium</t>
  </si>
  <si>
    <t>Sec Gen Svc - Large</t>
  </si>
  <si>
    <t>Sec Irrigation Svc</t>
  </si>
  <si>
    <t>Pri Gen Svc</t>
  </si>
  <si>
    <t>Pri Irrigation Svc</t>
  </si>
  <si>
    <t>Pri Interruptible Svc</t>
  </si>
  <si>
    <t>Lights</t>
  </si>
  <si>
    <t>Subtotal</t>
  </si>
  <si>
    <t>Total</t>
  </si>
  <si>
    <t>Customer Class</t>
  </si>
  <si>
    <t>Firm Resale</t>
  </si>
  <si>
    <t>Tariff</t>
  </si>
  <si>
    <t>Puget Sound Energy</t>
  </si>
  <si>
    <t>Schedule</t>
  </si>
  <si>
    <t>Lamp Type</t>
  </si>
  <si>
    <t>Mercury Vapor</t>
  </si>
  <si>
    <t>Sodium Vapor</t>
  </si>
  <si>
    <t>a</t>
  </si>
  <si>
    <t>Line No.</t>
  </si>
  <si>
    <t>kWh</t>
  </si>
  <si>
    <t xml:space="preserve"> </t>
  </si>
  <si>
    <t>Losses</t>
  </si>
  <si>
    <t>Class</t>
  </si>
  <si>
    <t>449 PV</t>
  </si>
  <si>
    <t>449 HV</t>
  </si>
  <si>
    <t>ENERGY_2</t>
  </si>
  <si>
    <t>DEM_2B</t>
  </si>
  <si>
    <t>Special Contract</t>
  </si>
  <si>
    <t>NET GPI</t>
  </si>
  <si>
    <t>TEMP ADJ</t>
  </si>
  <si>
    <t>TEMP ADJUSTED</t>
  </si>
  <si>
    <t>TEMP ADJ GPI</t>
  </si>
  <si>
    <t>(1b)</t>
  </si>
  <si>
    <t>(2b)</t>
  </si>
  <si>
    <t>(3b)</t>
  </si>
  <si>
    <t>(4b)</t>
  </si>
  <si>
    <t>(5b)</t>
  </si>
  <si>
    <t>(6b)</t>
  </si>
  <si>
    <t>(7b)</t>
  </si>
  <si>
    <t>(8b)</t>
  </si>
  <si>
    <t>(9b)</t>
  </si>
  <si>
    <t>(10b)</t>
  </si>
  <si>
    <t>Annual kWh</t>
  </si>
  <si>
    <t>Temperature</t>
  </si>
  <si>
    <t>Annual</t>
  </si>
  <si>
    <t>Temp Adj</t>
  </si>
  <si>
    <t>Percent</t>
  </si>
  <si>
    <t>Billed kWh</t>
  </si>
  <si>
    <t>(incl. losses</t>
  </si>
  <si>
    <t>Adjusted</t>
  </si>
  <si>
    <t>actual kWh</t>
  </si>
  <si>
    <t>Difference</t>
  </si>
  <si>
    <t>GPI kWh</t>
  </si>
  <si>
    <t>&amp; misc. usage)</t>
  </si>
  <si>
    <t>on temp adj</t>
  </si>
  <si>
    <t>Incl Losses</t>
  </si>
  <si>
    <t>Allocation</t>
  </si>
  <si>
    <t>(not incl. Losses)</t>
  </si>
  <si>
    <t>(calendar view)</t>
  </si>
  <si>
    <t>============</t>
  </si>
  <si>
    <t>===============</t>
  </si>
  <si>
    <t>===================</t>
  </si>
  <si>
    <t>07</t>
  </si>
  <si>
    <t>Small Resale (05)</t>
  </si>
  <si>
    <t>50-54,57-58</t>
  </si>
  <si>
    <t>Transportation Schedules:</t>
  </si>
  <si>
    <t>Total Transp.</t>
  </si>
  <si>
    <t>High Voltage Interruptible</t>
  </si>
  <si>
    <t>High Voltage General Service</t>
  </si>
  <si>
    <t>50-59</t>
  </si>
  <si>
    <t>Rate Schedule</t>
  </si>
  <si>
    <t>TEMPERATURE ADJUSTED ANNUAL ENERGY ALLOCATIONS BY RATE SCHEDULE</t>
  </si>
  <si>
    <t>DELIVERED KWH (Cal View)</t>
  </si>
  <si>
    <t>TEMP ADJ DELIVERED KWH</t>
  </si>
  <si>
    <t>11a</t>
  </si>
  <si>
    <t>7b-4b</t>
  </si>
  <si>
    <t>4b/(1-5b)</t>
  </si>
  <si>
    <t>(7b/sum(7b) *B8</t>
  </si>
  <si>
    <t>10a</t>
  </si>
  <si>
    <t>8b+9b</t>
  </si>
  <si>
    <t>449 / 459 / SC</t>
  </si>
  <si>
    <t>Voltage Level</t>
  </si>
  <si>
    <t>(a)</t>
  </si>
  <si>
    <t>(b)</t>
  </si>
  <si>
    <t>(c)</t>
  </si>
  <si>
    <t>Total Residential</t>
  </si>
  <si>
    <t>Secondary Voltage</t>
  </si>
  <si>
    <t>Demand &lt;= 50 kW</t>
  </si>
  <si>
    <t>Demand &gt; 50 kW but &lt;= 350 kW</t>
  </si>
  <si>
    <t>7A / 11 / 25</t>
  </si>
  <si>
    <t>Demand &gt; 350 kW</t>
  </si>
  <si>
    <t>12 / 26</t>
  </si>
  <si>
    <t>Seasonal Irrigation &amp; Drainage Pumping</t>
  </si>
  <si>
    <t>Total Secondary Voltage</t>
  </si>
  <si>
    <t>Primary Voltage</t>
  </si>
  <si>
    <t>General Service</t>
  </si>
  <si>
    <t>10 / 31</t>
  </si>
  <si>
    <t>Interruptible Total Electric Schools</t>
  </si>
  <si>
    <t>Total Primary Voltage</t>
  </si>
  <si>
    <t>High Voltage</t>
  </si>
  <si>
    <t>Interruptible</t>
  </si>
  <si>
    <t>Total High Voltage</t>
  </si>
  <si>
    <t>Lighting</t>
  </si>
  <si>
    <t>Total Jurisdictional Retail Sales</t>
  </si>
  <si>
    <t>Wattage (W)</t>
  </si>
  <si>
    <t>(d)</t>
  </si>
  <si>
    <t>(e)</t>
  </si>
  <si>
    <t>(g)</t>
  </si>
  <si>
    <t>(h)</t>
  </si>
  <si>
    <t>AA</t>
  </si>
  <si>
    <t>Total Lamp Revenue Requirement Based on Inventory</t>
  </si>
  <si>
    <t>Schedule 50</t>
  </si>
  <si>
    <t>Schedule 51</t>
  </si>
  <si>
    <t>Schedule 52</t>
  </si>
  <si>
    <t>Schedule 53</t>
  </si>
  <si>
    <t>Schedule 54</t>
  </si>
  <si>
    <t>Schedule 55-56</t>
  </si>
  <si>
    <t>Schedule 57</t>
  </si>
  <si>
    <t>Schedule 58-59</t>
  </si>
  <si>
    <t>All Lighting</t>
  </si>
  <si>
    <t>Sch 50E</t>
  </si>
  <si>
    <t>003</t>
  </si>
  <si>
    <t>Compact Flourescent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</si>
  <si>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</si>
  <si>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</si>
  <si>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</si>
  <si>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</si>
  <si>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</si>
  <si>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</si>
  <si>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</si>
  <si>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</si>
  <si>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</si>
  <si>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</si>
  <si>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</si>
  <si>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</si>
  <si>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</si>
  <si>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</si>
  <si>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Metal Halide</t>
  </si>
  <si>
    <t>Sch 53E</t>
  </si>
  <si>
    <t>Sch 54E</t>
  </si>
  <si>
    <t>54E</t>
  </si>
  <si>
    <t>Sch 55 &amp; 56</t>
  </si>
  <si>
    <t>55E &amp; 56E</t>
  </si>
  <si>
    <t>Sch 57</t>
  </si>
  <si>
    <t>57E</t>
  </si>
  <si>
    <t>Per W charge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</si>
  <si>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</si>
  <si>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</si>
  <si>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</si>
  <si>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</si>
  <si>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</si>
  <si>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</si>
  <si>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</si>
  <si>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</si>
  <si>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</si>
  <si>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</si>
  <si>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Schedule 95 Rate Change</t>
  </si>
  <si>
    <t>Firm sales</t>
  </si>
  <si>
    <t>REVENUE (SURPLUS) / DEFICIENCY</t>
  </si>
  <si>
    <t xml:space="preserve">Revenue </t>
  </si>
  <si>
    <t>TY</t>
  </si>
  <si>
    <t>Deficiency</t>
  </si>
  <si>
    <t>Row</t>
  </si>
  <si>
    <t>RY</t>
  </si>
  <si>
    <t>(Surplus)</t>
  </si>
  <si>
    <t>VARIABLE DEFICIENCY (SURPLUS)</t>
  </si>
  <si>
    <t>Total Variable Costs</t>
  </si>
  <si>
    <t>Conversion Factor for Revenue Sensitive Items ("RSI")</t>
  </si>
  <si>
    <t>Total Variable Costs Grossed-up RSI's</t>
  </si>
  <si>
    <t>Test Year DELIVERED Load (MWh's)</t>
  </si>
  <si>
    <t>check</t>
  </si>
  <si>
    <t>FIXED PRODUCTION DEFICIENCY (SURPLUS)</t>
  </si>
  <si>
    <t>Total Fixed Costs</t>
  </si>
  <si>
    <t>RSI Conversion Factor</t>
  </si>
  <si>
    <t xml:space="preserve">Revenue
Difference
</t>
  </si>
  <si>
    <t xml:space="preserve">%
Difference
</t>
  </si>
  <si>
    <t>(f) = 
(d) + (e)</t>
  </si>
  <si>
    <t>(g) =
(c) * (d)</t>
  </si>
  <si>
    <t>(h) =
(c) * (e)</t>
  </si>
  <si>
    <t>(i) =
(g) - (h)</t>
  </si>
  <si>
    <t>(j) =
(l) / (g)</t>
  </si>
  <si>
    <t>8 / 24 / 324</t>
  </si>
  <si>
    <t>Rate Change Impacts by Rate Schedule</t>
  </si>
  <si>
    <t>Remove:</t>
  </si>
  <si>
    <t>Add:</t>
  </si>
  <si>
    <t>Net Adjustments</t>
  </si>
  <si>
    <t>Total 
Proposed
Rates at 12/01/2023</t>
  </si>
  <si>
    <t>Current  Average 
Rates per KWHs</t>
  </si>
  <si>
    <t>Proposed Average 
Rates per KWHs</t>
  </si>
  <si>
    <t>% Change (Net)</t>
  </si>
  <si>
    <t>25 (11, 7A)</t>
  </si>
  <si>
    <t>26 (12,26P)</t>
  </si>
  <si>
    <t>Total Secondary</t>
  </si>
  <si>
    <t>31 (10)</t>
  </si>
  <si>
    <t>Total Primary</t>
  </si>
  <si>
    <t>Transportation 449-459</t>
  </si>
  <si>
    <t>Retail Sales</t>
  </si>
  <si>
    <t>Total Sales</t>
  </si>
  <si>
    <t>Less:  Transportation</t>
  </si>
  <si>
    <t>Less:  Special Contract</t>
  </si>
  <si>
    <t>Net Sales</t>
  </si>
  <si>
    <t>cross check</t>
  </si>
  <si>
    <t>Cross check</t>
  </si>
  <si>
    <t>2022 GRC PCA Allocator (Variable - Energy Only)</t>
  </si>
  <si>
    <t>b</t>
  </si>
  <si>
    <t>c = a * b</t>
  </si>
  <si>
    <t>d</t>
  </si>
  <si>
    <t>e = c / d</t>
  </si>
  <si>
    <t>7A/11/25</t>
  </si>
  <si>
    <t>12/26</t>
  </si>
  <si>
    <t>10/31</t>
  </si>
  <si>
    <t>Transportation</t>
  </si>
  <si>
    <t>Residential Customer Impacts</t>
  </si>
  <si>
    <t>Current Customer Bill in Notice</t>
  </si>
  <si>
    <t>Proposed Customer Bill in Notice</t>
  </si>
  <si>
    <t>Month</t>
  </si>
  <si>
    <t>Basic Charge</t>
  </si>
  <si>
    <t>First 600 kWh</t>
  </si>
  <si>
    <t>Over 600 kWh</t>
  </si>
  <si>
    <t>Bill</t>
  </si>
  <si>
    <t>$ Difference</t>
  </si>
  <si>
    <t>% Difference</t>
  </si>
  <si>
    <t>Annual Total</t>
  </si>
  <si>
    <t xml:space="preserve">Typical Residential </t>
  </si>
  <si>
    <t>Residential Schedule 7 Rates</t>
  </si>
  <si>
    <t>Customer Monthly Charge:</t>
  </si>
  <si>
    <t>One Phase Basic Charge</t>
  </si>
  <si>
    <t>per Month</t>
  </si>
  <si>
    <t>Subtotal Base Monthly Charge</t>
  </si>
  <si>
    <t>Energy Charge:</t>
  </si>
  <si>
    <t>Schedule 7 first 600 kWh</t>
  </si>
  <si>
    <t>$ / kWh</t>
  </si>
  <si>
    <t>Schedule 129 - Low Income</t>
  </si>
  <si>
    <t>Schedule 140 - Property Tax Rider</t>
  </si>
  <si>
    <t>Schedule 141A - Energy Charge Credit Recovery Adjustment</t>
  </si>
  <si>
    <t>Schedule 141COL - Colstrip Adjustment Rider</t>
  </si>
  <si>
    <t>Schedule 141N - Rates Not Subject to Refund Rate Adjustment</t>
  </si>
  <si>
    <t>Schedule 141R - Rates Subject to Refund Rate Adjustment</t>
  </si>
  <si>
    <t>Schedule 141TEP - TEP Rider</t>
  </si>
  <si>
    <t>Schedule 141Z - EDIT Rider</t>
  </si>
  <si>
    <t>Schedule 142 - Decoupling Rider</t>
  </si>
  <si>
    <t>Schedule 142 - Decoupling Rider - Supplemental</t>
  </si>
  <si>
    <t>Subtotal Base First 600 kWh Charge</t>
  </si>
  <si>
    <t>Schedule 7 over 600 kWh</t>
  </si>
  <si>
    <t>Subtotal Base Over 600 kWh Charge</t>
  </si>
  <si>
    <t>Schedule 194 - BPA Exchange Credit</t>
  </si>
  <si>
    <t>Other Electric Charges and Credits</t>
  </si>
  <si>
    <t>Schedule 95 - Power Cost Adjustment Clause</t>
  </si>
  <si>
    <t>Schedule 95 - Power Cost Adjustment Clause-Supplemental</t>
  </si>
  <si>
    <t>Schedule 95A - Wind Power Production Credit</t>
  </si>
  <si>
    <t>Schedule 120 - Conservation Rider</t>
  </si>
  <si>
    <t>Subtotal Other Charges</t>
  </si>
  <si>
    <t>Total Block 1 Energy Charge</t>
  </si>
  <si>
    <t>Total Block 2 Energy Charge</t>
  </si>
  <si>
    <t>Year</t>
  </si>
  <si>
    <t>Month No.</t>
  </si>
  <si>
    <t>Forecast kWh</t>
  </si>
  <si>
    <t>Forecast Customer Count</t>
  </si>
  <si>
    <t>Average Use per Customer</t>
  </si>
  <si>
    <t>Average</t>
  </si>
  <si>
    <t>0-30</t>
  </si>
  <si>
    <t>Smart LED</t>
  </si>
  <si>
    <t>Per kWh - All Lamps</t>
  </si>
  <si>
    <t>0 - 30</t>
  </si>
  <si>
    <t>Updating Fields</t>
  </si>
  <si>
    <t>Calculated</t>
  </si>
  <si>
    <t>Rest are calcualted</t>
  </si>
  <si>
    <t>Hard coded</t>
  </si>
  <si>
    <t>CBR Temp adjustment file (LF group)</t>
  </si>
  <si>
    <t>link within file</t>
  </si>
  <si>
    <t>Loss at peak - Prelim</t>
  </si>
  <si>
    <t>link external file</t>
  </si>
  <si>
    <t>Delivered kwh (Pam)</t>
  </si>
  <si>
    <t>12 MONTHS ENDED JUNE 30, 2021</t>
  </si>
  <si>
    <t>Note:  Annual actual kWh includes the impacts of schedule 40 rate migrations anticipated during the rate year on Schedules 24, 25, 26, 31 &amp; Special Contract.</t>
  </si>
  <si>
    <t>ELECTRIC COST OF SERVICE SUMMARY</t>
  </si>
  <si>
    <t>Delivery Costs</t>
  </si>
  <si>
    <t>Description</t>
  </si>
  <si>
    <t>Total Company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</si>
  <si>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</si>
  <si>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</si>
  <si>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</si>
  <si>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</si>
  <si>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</si>
  <si>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</si>
  <si>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</si>
  <si>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High Volt 46/49</t>
  </si>
  <si>
    <t>Choice/Retail Wheeling</t>
  </si>
  <si>
    <t>Lighting 50-59</t>
  </si>
  <si>
    <t>(i)</t>
  </si>
  <si>
    <t>(j)</t>
  </si>
  <si>
    <t>(k)</t>
  </si>
  <si>
    <t>(l)</t>
  </si>
  <si>
    <t>(m)</t>
  </si>
  <si>
    <t>(n)</t>
  </si>
  <si>
    <t>(o)</t>
  </si>
  <si>
    <t>Variable Power Cost - Energy excl Int, SC &amp; RW</t>
  </si>
  <si>
    <t>Variable Power Cost - ENERGY_2 Allocation Factor</t>
  </si>
  <si>
    <t>Fixed Power Cost - Generation 12CP Net of Renewables, Excl Int, SC &amp; RW</t>
  </si>
  <si>
    <t>Fixed Power Cost Generation - DEM_2B Allocation Factor</t>
  </si>
  <si>
    <t>Fixed Power Cost - Transmission - 12 CP, Excl Int, SC &amp; RW</t>
  </si>
  <si>
    <t>Transmission Fixed Power Cost - DEM_1B Allocation Factor</t>
  </si>
  <si>
    <t>Renewable Peak Credit Allocation</t>
  </si>
  <si>
    <t>Fixed PCA Costs - Generation Related (Future Renewable Peak Credit)</t>
  </si>
  <si>
    <t>Fixed PCA Costs - Transmission Related (12CP)</t>
  </si>
  <si>
    <t>Variable PCA Costs (Energy)</t>
  </si>
  <si>
    <t>Total PCA Costs</t>
  </si>
  <si>
    <t>Allocate Fixed PCA Costs - Generation</t>
  </si>
  <si>
    <t>Allocate Fixed PCA Costs - Transmission</t>
  </si>
  <si>
    <t>Subtotal Fixed PCA Costs</t>
  </si>
  <si>
    <t>Allocate Variable PCA Costs</t>
  </si>
  <si>
    <t xml:space="preserve">Total PCA Costs </t>
  </si>
  <si>
    <t>% Demand</t>
  </si>
  <si>
    <t>% Energy</t>
  </si>
  <si>
    <t>PUGET SOUND ENERGY-ELECTRIC</t>
  </si>
  <si>
    <t>CONVERSION FACTOR</t>
  </si>
  <si>
    <t>2022 GRC UE-220066</t>
  </si>
  <si>
    <t>LINE</t>
  </si>
  <si>
    <t>NO.</t>
  </si>
  <si>
    <t>DESCRIPTION</t>
  </si>
  <si>
    <t>RATE</t>
  </si>
  <si>
    <t>BAD DEBTS</t>
  </si>
  <si>
    <t>ANNUAL FILING FEE</t>
  </si>
  <si>
    <t>STATE UTILITY TAX - NET OF BAD DEBTS ( 3.8734% - ( LINE 1 * 3.8734%) )</t>
  </si>
  <si>
    <t>SUM OF TAXES OTHER</t>
  </si>
  <si>
    <t>CONVERSION FACTOR EXCLUDING FEDERAL INCOME TAX ( 1 - LINE 5)</t>
  </si>
  <si>
    <t>FEDERAL INCOME TAX</t>
  </si>
  <si>
    <t xml:space="preserve">CONVERSION FACTOR INCL FEDERAL INCOME TAX ( LINE 5 + LINE 8 ) </t>
  </si>
  <si>
    <t>Note: Adjusted for 0.004 Annual UTS Fees per DOCKET UE-220407 and UG-220408</t>
  </si>
  <si>
    <t>Electric Schedule 95 (2024 Variable Power Cost Recovery)</t>
  </si>
  <si>
    <r>
      <t xml:space="preserve">Proposed Impacts of Rate Change Effective </t>
    </r>
    <r>
      <rPr>
        <b/>
        <sz val="8"/>
        <color rgb="FF0000FF"/>
        <rFont val="Arial"/>
        <family val="2"/>
      </rPr>
      <t>January 1, 2024</t>
    </r>
  </si>
  <si>
    <t>Current
Schedule 95 Revenue</t>
  </si>
  <si>
    <r>
      <t xml:space="preserve">Proposed
Schedule 95 Revenue
Effective
</t>
    </r>
    <r>
      <rPr>
        <b/>
        <sz val="8"/>
        <color rgb="FF0000FF"/>
        <rFont val="Arial"/>
        <family val="2"/>
      </rPr>
      <t>01-01-2024</t>
    </r>
  </si>
  <si>
    <t>F2023 kWh
January 2024
to December 2024</t>
  </si>
  <si>
    <t>2024 Variable PC Recovery</t>
  </si>
  <si>
    <r>
      <t xml:space="preserve">2024 Variable PC Recovery $ per kWh Effective </t>
    </r>
    <r>
      <rPr>
        <b/>
        <sz val="8"/>
        <color rgb="FF0000FF"/>
        <rFont val="Arial"/>
        <family val="2"/>
      </rPr>
      <t>January 1, 2024</t>
    </r>
  </si>
  <si>
    <t>Forecast Delivered Sales Volumes and Customer Counts</t>
  </si>
  <si>
    <t>Projected Delivered Sales Volume by Month (kWh)</t>
  </si>
  <si>
    <t>7A</t>
  </si>
  <si>
    <t>8 &amp; 24</t>
  </si>
  <si>
    <t>11 &amp; 25</t>
  </si>
  <si>
    <t>12 &amp; 26</t>
  </si>
  <si>
    <t>10 &amp; 31</t>
  </si>
  <si>
    <t xml:space="preserve">Special Contracts </t>
  </si>
  <si>
    <t xml:space="preserve">Lighting </t>
  </si>
  <si>
    <t>Resale</t>
  </si>
  <si>
    <t>Source: F2023 Load forecast (approved on May 26, 2023)</t>
  </si>
  <si>
    <t>2024 TOTAL Load</t>
  </si>
  <si>
    <t>2024 Green Direct Load (Forecast based on current GD customers)</t>
  </si>
  <si>
    <t xml:space="preserve">Current Schedule 95 Rate
</t>
  </si>
  <si>
    <r>
      <t xml:space="preserve">Proposed Schedule 95 Rate
Effective
</t>
    </r>
    <r>
      <rPr>
        <b/>
        <sz val="8"/>
        <color rgb="FF0000FF"/>
        <rFont val="Arial"/>
        <family val="2"/>
      </rPr>
      <t>01-01-2024</t>
    </r>
  </si>
  <si>
    <t>2024 Transportation Load (SCH SC)</t>
  </si>
  <si>
    <t>2024 Transportation Load (SCH 449-459)</t>
  </si>
  <si>
    <t>Forecasted Delivered Load (excluding GD and Transportation)</t>
  </si>
  <si>
    <t>Forecasted Delivered Load (Including Green Direct Load)</t>
  </si>
  <si>
    <t>&lt;= for Rate Design and Revenue Requirement Development</t>
  </si>
  <si>
    <t>&lt;= for Exhibit A-1 used for PCA Tracking</t>
  </si>
  <si>
    <t>7 / 7BDR / 307 / 317 / 327</t>
  </si>
  <si>
    <t>Jan '24~ Dec '24</t>
  </si>
  <si>
    <t>Jul '20 ~ Jun '21</t>
  </si>
  <si>
    <t>2022 GRC</t>
  </si>
  <si>
    <t>2023 BLR Update</t>
  </si>
  <si>
    <t>Exh. SEF-XX</t>
  </si>
  <si>
    <t>Docket Number UE-NEW</t>
  </si>
  <si>
    <t>Schedule 129D - Bill Discount Rate Rider</t>
  </si>
  <si>
    <t>Schedule 141CEI Clean Energy Implementation Plan</t>
  </si>
  <si>
    <t>*Note: Updated filings pending but not yet approved, so using last approved rates</t>
  </si>
  <si>
    <t>Proposed Effective January 1, 2024</t>
  </si>
  <si>
    <t>2024 POWER COSTS</t>
  </si>
  <si>
    <t>Allocation Break:</t>
  </si>
  <si>
    <t>Lighting Rate Design</t>
  </si>
  <si>
    <r>
      <rPr>
        <b/>
        <sz val="8"/>
        <color rgb="FF0033CC"/>
        <rFont val="Arial"/>
        <family val="2"/>
      </rPr>
      <t>UE-220066</t>
    </r>
    <r>
      <rPr>
        <b/>
        <sz val="8"/>
        <rFont val="Arial"/>
        <family val="2"/>
      </rPr>
      <t xml:space="preserve">
Cost of Service
Energy-Related
Base Rate
Effective 
</t>
    </r>
    <r>
      <rPr>
        <b/>
        <sz val="8"/>
        <color rgb="FF0033CC"/>
        <rFont val="Arial"/>
        <family val="2"/>
      </rPr>
      <t>1/11/2023</t>
    </r>
  </si>
  <si>
    <t>Lighting Revenue Requirement Allocation</t>
  </si>
  <si>
    <t>Difference due to rounding adjustment</t>
  </si>
  <si>
    <t>Cross Check</t>
  </si>
  <si>
    <t>50E</t>
  </si>
  <si>
    <t>30 - 60</t>
  </si>
  <si>
    <t>53E</t>
  </si>
  <si>
    <t>Smart LED (Company)</t>
  </si>
  <si>
    <t>Proposed Schedule 95 Lamp Charge</t>
  </si>
  <si>
    <r>
      <t xml:space="preserve">Annual Lamp Inventory @ </t>
    </r>
    <r>
      <rPr>
        <b/>
        <sz val="8"/>
        <color rgb="FF0000FF"/>
        <rFont val="Arial"/>
        <family val="2"/>
      </rPr>
      <t>8/2023</t>
    </r>
  </si>
  <si>
    <t>Proposed Schedule 95 Lamp Revenue</t>
  </si>
  <si>
    <t>Ratio of Schedule SCH 95 Revenue Requirement to Base Energy Light Charge Cost</t>
  </si>
  <si>
    <t>Base Lamp Energy Cost</t>
  </si>
  <si>
    <t>Jan '24 ~ Dec '24</t>
  </si>
  <si>
    <t>2024 Delivered Load</t>
  </si>
  <si>
    <t>PROFORMA 2024 BLR INCREASE - VARIABLE:</t>
  </si>
  <si>
    <t>Rate Year DELIVERED Load Incl Green Direct (MWh's)</t>
  </si>
  <si>
    <t>Total Variable Costs per MWh (Line 19 / Line 20)</t>
  </si>
  <si>
    <t>2024 BLR Update from 2022 GRC</t>
  </si>
  <si>
    <t>Eff. 1/1/23</t>
  </si>
  <si>
    <t>Eff. 1/11/23</t>
  </si>
  <si>
    <t>Eff. 1/1/24</t>
  </si>
  <si>
    <t>Eff. 5/1/23</t>
  </si>
  <si>
    <t>Eff. 10/1/23</t>
  </si>
  <si>
    <t>Eff. 9/1/23</t>
  </si>
  <si>
    <t>Eff. 11/1/24</t>
  </si>
  <si>
    <t>Eff. 3/1/23</t>
  </si>
  <si>
    <t>Eff. 5/1/22</t>
  </si>
  <si>
    <t>Eff. 11/1/23</t>
  </si>
  <si>
    <t>effective Jan 1, 2024</t>
  </si>
  <si>
    <t>Schedule 137 - Renewable Energy Credit</t>
  </si>
  <si>
    <t>Annual kWh Delivered Sales  01/01/24 to 12/31/24 (F2023)</t>
  </si>
  <si>
    <t>Estimated Annual
Base Revenue
Rates Effective
01/11/23</t>
  </si>
  <si>
    <t>Schedule 95
PCA Supplemental</t>
  </si>
  <si>
    <t>Schedule 95</t>
  </si>
  <si>
    <t>Schedule 95A
Federal Incentive Credit</t>
  </si>
  <si>
    <t>Schedule 120
Conservation</t>
  </si>
  <si>
    <t>Schedule 129
Low Income</t>
  </si>
  <si>
    <t>Schedule 129D
Bill Discount</t>
  </si>
  <si>
    <t>Schedule 137 Renewable Energy Credit (REC)</t>
  </si>
  <si>
    <t xml:space="preserve">Schedule 139 Green Direct </t>
  </si>
  <si>
    <t>Schedule 139 Green Direct Supplemental</t>
  </si>
  <si>
    <t>Schedule 140
Property Tax</t>
  </si>
  <si>
    <t>Schedule 141A
Energy Charge Credit</t>
  </si>
  <si>
    <t>Schedule 141COL
Colstrip Adjustment</t>
  </si>
  <si>
    <t>Schedule 141N
Rates Not Subject to Refund</t>
  </si>
  <si>
    <t>Schedule 141R
Rates Subject to Refund</t>
  </si>
  <si>
    <t>Schedule 141TEP</t>
  </si>
  <si>
    <t>Schedule 141Z (Unprotected)
EDIT</t>
  </si>
  <si>
    <t>Schedule 142
 Deferral</t>
  </si>
  <si>
    <t>Schedule 142
Supplemental</t>
  </si>
  <si>
    <t>Schedule 194
BPA Res &amp; Farm Credit</t>
  </si>
  <si>
    <t>Subtotal
Rider
Rates</t>
  </si>
  <si>
    <t>Annual Estimated Revenue @ Rates Effective 11/01/23</t>
  </si>
  <si>
    <t>7, 7BDR, 307, 317, 327</t>
  </si>
  <si>
    <t>24 (8), 324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</si>
  <si>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</si>
  <si>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</si>
  <si>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</si>
  <si>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</si>
  <si>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</si>
  <si>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</si>
  <si>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</si>
  <si>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</si>
  <si>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</si>
  <si>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</si>
  <si>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</si>
  <si>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</si>
  <si>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Present Rates Effective 11/01/2023</t>
  </si>
  <si>
    <t>Proposed Rates Effective 01/01/2024</t>
  </si>
  <si>
    <t>UE-22xxxx Adjusted Test Year Twelve Months ended June 2021 @ Proforma Rev Requirement</t>
  </si>
  <si>
    <t>FOR THE TWELVE MONTHS ENDED JUNE 30, 2021</t>
  </si>
  <si>
    <t>2022 GENERAL RATE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</si>
</sst>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\ \¢"/>
    <numFmt numFmtId="166" formatCode="_(&quot;$&quot;* #,##0_);_(&quot;$&quot;* \(#,##0\);_(&quot;$&quot;* &quot;-&quot;??_);_(@_)"/>
    <numFmt numFmtId="167" formatCode="_(* #,##0.000000_);_(* \(#,##0.000000\);_(* &quot;-&quot;??_);_(@_)"/>
    <numFmt numFmtId="168" formatCode="_(&quot;$&quot;* #,##0.00000_);_(&quot;$&quot;* \(#,##0.00000\);_(&quot;$&quot;* &quot;-&quot;??_);_(@_)"/>
    <numFmt numFmtId="169" formatCode="_(&quot;$&quot;* #,##0.000000_);_(&quot;$&quot;* \(#,##0.000000\);_(&quot;$&quot;* &quot;-&quot;??_);_(@_)"/>
    <numFmt numFmtId="170" formatCode="_(* #,##0.0000000_);_(* \(#,##0.0000000\);_(* &quot;-&quot;??_);_(@_)"/>
    <numFmt numFmtId="171" formatCode="_(&quot;$&quot;* #,##0.000_);_(&quot;$&quot;* \(#,##0.000\);_(&quot;$&quot;* &quot;-&quot;??_);_(@_)"/>
    <numFmt numFmtId="172" formatCode="_(* #,##0.0000_);_(* \(#,##0.0000\);_(* &quot;-&quot;??_);_(@_)"/>
    <numFmt numFmtId="173" formatCode="_(* #,##0.000_);_(* \(#,##0.000\);_(* &quot;-&quot;_);_(@_)"/>
    <numFmt numFmtId="174" formatCode="_(&quot;$&quot;* #,##0.0000000_);_(&quot;$&quot;* \(#,##0.0000000\);_(&quot;$&quot;* &quot;-&quot;??_);_(@_)"/>
    <numFmt numFmtId="175" formatCode="_(&quot;$&quot;* #,##0.00000000000_);_(&quot;$&quot;* \(#,##0.00000000000\);_(&quot;$&quot;* &quot;-&quot;??_);_(@_)"/>
    <numFmt numFmtId="176" formatCode="_(&quot;$&quot;* #,##0.000000_);_(&quot;$&quot;* \(#,##0.000000\);_(&quot;$&quot;* &quot;-&quot;??????_);_(@_)"/>
    <numFmt numFmtId="177" formatCode="0.000000"/>
    <numFmt numFmtId="178" formatCode="0.0000%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rgb="FF008080"/>
      <name val="Arial"/>
      <family val="2"/>
    </font>
    <font>
      <sz val="8"/>
      <color rgb="FF008080"/>
      <name val="Arial"/>
      <family val="2"/>
    </font>
    <font>
      <sz val="8"/>
      <color rgb="FF0000FF"/>
      <name val="Arial"/>
      <family val="2"/>
    </font>
    <font>
      <b/>
      <i/>
      <sz val="8"/>
      <name val="Arial"/>
      <family val="2"/>
    </font>
    <font>
      <b/>
      <i/>
      <sz val="8"/>
      <color rgb="FF0000FF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008080"/>
      <name val="Arial"/>
      <family val="2"/>
    </font>
    <font>
      <b/>
      <sz val="8"/>
      <color rgb="FF0033CC"/>
      <name val="Arial"/>
      <family val="2"/>
    </font>
    <font>
      <sz val="8"/>
      <color rgb="FF0033CC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0" fontId="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77" fontId="3" fillId="0" borderId="0">
      <alignment horizontal="left" wrapText="1"/>
    </xf>
    <xf numFmtId="0" fontId="3" fillId="0" borderId="0"/>
    <xf numFmtId="0" fontId="3" fillId="0" borderId="0"/>
    <xf numFmtId="0" fontId="2" fillId="0" borderId="0"/>
    <xf numFmtId="177" fontId="3" fillId="0" borderId="0">
      <alignment horizontal="left" wrapText="1"/>
    </xf>
    <xf numFmtId="0" fontId="2" fillId="0" borderId="0"/>
    <xf numFmtId="0" fontId="1" fillId="0" borderId="0"/>
  </cellStyleXfs>
  <cellXfs count="448">
    <xf numFmtId="0" fontId="0" fillId="0" borderId="0" xfId="0"/>
    <xf numFmtId="169" fontId="4" fillId="0" borderId="0" xfId="4" applyNumberFormat="1" applyFont="1" applyFill="1"/>
    <xf numFmtId="169" fontId="4" fillId="0" borderId="2" xfId="4" applyNumberFormat="1" applyFont="1" applyFill="1" applyBorder="1"/>
    <xf numFmtId="164" fontId="4" fillId="0" borderId="0" xfId="3" quotePrefix="1" applyNumberFormat="1" applyFont="1" applyFill="1" applyAlignment="1">
      <alignment horizontal="left"/>
    </xf>
    <xf numFmtId="164" fontId="4" fillId="0" borderId="2" xfId="3" applyNumberFormat="1" applyFont="1" applyFill="1" applyBorder="1"/>
    <xf numFmtId="164" fontId="4" fillId="0" borderId="0" xfId="3" applyNumberFormat="1" applyFont="1" applyFill="1" applyBorder="1"/>
    <xf numFmtId="10" fontId="4" fillId="0" borderId="0" xfId="5" applyNumberFormat="1" applyFont="1" applyFill="1" applyBorder="1" applyAlignment="1">
      <alignment horizontal="center"/>
    </xf>
    <xf numFmtId="164" fontId="4" fillId="0" borderId="0" xfId="3" applyNumberFormat="1" applyFont="1" applyFill="1"/>
    <xf numFmtId="10" fontId="4" fillId="0" borderId="0" xfId="5" applyNumberFormat="1" applyFont="1" applyFill="1" applyAlignment="1">
      <alignment horizontal="center"/>
    </xf>
    <xf numFmtId="164" fontId="4" fillId="0" borderId="4" xfId="3" applyNumberFormat="1" applyFont="1" applyFill="1" applyBorder="1"/>
    <xf numFmtId="0" fontId="4" fillId="0" borderId="0" xfId="0" applyFont="1"/>
    <xf numFmtId="0" fontId="5" fillId="0" borderId="0" xfId="0" quotePrefix="1" applyFont="1" applyAlignment="1">
      <alignment wrapText="1"/>
    </xf>
    <xf numFmtId="0" fontId="5" fillId="0" borderId="21" xfId="0" applyFont="1" applyBorder="1" applyAlignment="1">
      <alignment horizontal="center" wrapText="1"/>
    </xf>
    <xf numFmtId="0" fontId="5" fillId="0" borderId="21" xfId="0" quotePrefix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0" xfId="0" quotePrefix="1" applyFont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quotePrefix="1" applyFont="1" applyAlignment="1">
      <alignment horizontal="center" wrapText="1"/>
    </xf>
    <xf numFmtId="174" fontId="4" fillId="0" borderId="0" xfId="4" applyNumberFormat="1" applyFont="1" applyFill="1"/>
    <xf numFmtId="0" fontId="4" fillId="0" borderId="0" xfId="0" applyFont="1" applyAlignment="1">
      <alignment horizontal="left" indent="1"/>
    </xf>
    <xf numFmtId="0" fontId="4" fillId="0" borderId="0" xfId="0" quotePrefix="1" applyFont="1" applyAlignment="1">
      <alignment horizontal="center"/>
    </xf>
    <xf numFmtId="166" fontId="4" fillId="0" borderId="0" xfId="0" quotePrefix="1" applyNumberFormat="1" applyFont="1" applyAlignment="1">
      <alignment horizontal="left"/>
    </xf>
    <xf numFmtId="176" fontId="4" fillId="0" borderId="0" xfId="0" applyNumberFormat="1" applyFont="1"/>
    <xf numFmtId="0" fontId="4" fillId="0" borderId="0" xfId="0" applyFont="1" applyAlignment="1">
      <alignment horizontal="left"/>
    </xf>
    <xf numFmtId="169" fontId="4" fillId="0" borderId="2" xfId="0" applyNumberFormat="1" applyFont="1" applyBorder="1"/>
    <xf numFmtId="166" fontId="4" fillId="0" borderId="2" xfId="0" applyNumberFormat="1" applyFont="1" applyBorder="1"/>
    <xf numFmtId="169" fontId="4" fillId="0" borderId="0" xfId="0" applyNumberFormat="1" applyFont="1"/>
    <xf numFmtId="166" fontId="4" fillId="0" borderId="0" xfId="0" applyNumberFormat="1" applyFont="1"/>
    <xf numFmtId="0" fontId="4" fillId="0" borderId="0" xfId="0" quotePrefix="1" applyFont="1" applyAlignment="1">
      <alignment horizontal="left" indent="1"/>
    </xf>
    <xf numFmtId="0" fontId="4" fillId="0" borderId="0" xfId="0" quotePrefix="1" applyFont="1" applyAlignment="1">
      <alignment horizontal="left"/>
    </xf>
    <xf numFmtId="169" fontId="4" fillId="0" borderId="4" xfId="0" applyNumberFormat="1" applyFont="1" applyBorder="1"/>
    <xf numFmtId="166" fontId="4" fillId="0" borderId="4" xfId="0" applyNumberFormat="1" applyFont="1" applyBorder="1"/>
    <xf numFmtId="175" fontId="4" fillId="0" borderId="0" xfId="4" applyNumberFormat="1" applyFont="1" applyFill="1"/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6" applyFont="1"/>
    <xf numFmtId="14" fontId="4" fillId="0" borderId="0" xfId="0" applyNumberFormat="1" applyFont="1"/>
    <xf numFmtId="0" fontId="5" fillId="0" borderId="25" xfId="6" applyFont="1" applyBorder="1" applyAlignment="1">
      <alignment horizontal="center" wrapText="1"/>
    </xf>
    <xf numFmtId="0" fontId="5" fillId="0" borderId="15" xfId="6" applyFont="1" applyBorder="1" applyAlignment="1">
      <alignment horizontal="center" wrapText="1"/>
    </xf>
    <xf numFmtId="0" fontId="4" fillId="0" borderId="0" xfId="6" applyFont="1" applyAlignment="1">
      <alignment horizontal="center"/>
    </xf>
    <xf numFmtId="17" fontId="5" fillId="0" borderId="25" xfId="6" quotePrefix="1" applyNumberFormat="1" applyFont="1" applyBorder="1" applyAlignment="1">
      <alignment horizontal="center" wrapText="1"/>
    </xf>
    <xf numFmtId="17" fontId="5" fillId="0" borderId="15" xfId="6" quotePrefix="1" applyNumberFormat="1" applyFont="1" applyBorder="1" applyAlignment="1">
      <alignment horizontal="center" wrapText="1"/>
    </xf>
    <xf numFmtId="17" fontId="5" fillId="0" borderId="16" xfId="6" quotePrefix="1" applyNumberFormat="1" applyFont="1" applyBorder="1" applyAlignment="1">
      <alignment horizontal="center" wrapText="1"/>
    </xf>
    <xf numFmtId="0" fontId="5" fillId="0" borderId="19" xfId="6" quotePrefix="1" applyFont="1" applyBorder="1" applyAlignment="1">
      <alignment horizontal="center" wrapText="1"/>
    </xf>
    <xf numFmtId="166" fontId="4" fillId="0" borderId="0" xfId="7" applyNumberFormat="1" applyFont="1" applyFill="1"/>
    <xf numFmtId="166" fontId="4" fillId="0" borderId="13" xfId="6" applyNumberFormat="1" applyFont="1" applyBorder="1"/>
    <xf numFmtId="166" fontId="4" fillId="0" borderId="9" xfId="6" applyNumberFormat="1" applyFont="1" applyBorder="1"/>
    <xf numFmtId="166" fontId="4" fillId="0" borderId="0" xfId="6" applyNumberFormat="1" applyFont="1"/>
    <xf numFmtId="169" fontId="4" fillId="0" borderId="0" xfId="6" applyNumberFormat="1" applyFont="1"/>
    <xf numFmtId="10" fontId="4" fillId="0" borderId="9" xfId="6" applyNumberFormat="1" applyFont="1" applyBorder="1"/>
    <xf numFmtId="166" fontId="4" fillId="0" borderId="2" xfId="7" applyNumberFormat="1" applyFont="1" applyFill="1" applyBorder="1"/>
    <xf numFmtId="166" fontId="4" fillId="0" borderId="26" xfId="6" applyNumberFormat="1" applyFont="1" applyBorder="1"/>
    <xf numFmtId="166" fontId="4" fillId="0" borderId="12" xfId="6" applyNumberFormat="1" applyFont="1" applyBorder="1"/>
    <xf numFmtId="166" fontId="4" fillId="0" borderId="2" xfId="6" applyNumberFormat="1" applyFont="1" applyBorder="1"/>
    <xf numFmtId="169" fontId="4" fillId="0" borderId="2" xfId="6" applyNumberFormat="1" applyFont="1" applyBorder="1"/>
    <xf numFmtId="10" fontId="4" fillId="0" borderId="12" xfId="6" applyNumberFormat="1" applyFont="1" applyBorder="1"/>
    <xf numFmtId="166" fontId="4" fillId="0" borderId="0" xfId="7" applyNumberFormat="1" applyFont="1" applyFill="1" applyBorder="1"/>
    <xf numFmtId="166" fontId="4" fillId="0" borderId="4" xfId="7" applyNumberFormat="1" applyFont="1" applyFill="1" applyBorder="1"/>
    <xf numFmtId="166" fontId="4" fillId="0" borderId="27" xfId="4" applyNumberFormat="1" applyFont="1" applyFill="1" applyBorder="1"/>
    <xf numFmtId="166" fontId="4" fillId="0" borderId="28" xfId="4" applyNumberFormat="1" applyFont="1" applyFill="1" applyBorder="1"/>
    <xf numFmtId="166" fontId="4" fillId="0" borderId="4" xfId="4" applyNumberFormat="1" applyFont="1" applyFill="1" applyBorder="1"/>
    <xf numFmtId="169" fontId="4" fillId="0" borderId="4" xfId="6" applyNumberFormat="1" applyFont="1" applyBorder="1"/>
    <xf numFmtId="10" fontId="4" fillId="0" borderId="28" xfId="6" applyNumberFormat="1" applyFont="1" applyBorder="1"/>
    <xf numFmtId="166" fontId="4" fillId="0" borderId="26" xfId="4" applyNumberFormat="1" applyFont="1" applyFill="1" applyBorder="1"/>
    <xf numFmtId="166" fontId="4" fillId="0" borderId="12" xfId="4" applyNumberFormat="1" applyFont="1" applyFill="1" applyBorder="1"/>
    <xf numFmtId="166" fontId="4" fillId="0" borderId="23" xfId="6" applyNumberFormat="1" applyFont="1" applyBorder="1"/>
    <xf numFmtId="169" fontId="4" fillId="0" borderId="29" xfId="6" applyNumberFormat="1" applyFont="1" applyBorder="1"/>
    <xf numFmtId="10" fontId="4" fillId="0" borderId="30" xfId="6" applyNumberFormat="1" applyFont="1" applyBorder="1"/>
    <xf numFmtId="166" fontId="4" fillId="0" borderId="23" xfId="4" applyNumberFormat="1" applyFont="1" applyFill="1" applyBorder="1"/>
    <xf numFmtId="10" fontId="4" fillId="0" borderId="11" xfId="6" applyNumberFormat="1" applyFont="1" applyBorder="1"/>
    <xf numFmtId="0" fontId="4" fillId="0" borderId="13" xfId="6" applyFont="1" applyBorder="1"/>
    <xf numFmtId="0" fontId="4" fillId="0" borderId="9" xfId="6" applyFont="1" applyBorder="1"/>
    <xf numFmtId="164" fontId="4" fillId="0" borderId="0" xfId="0" applyNumberFormat="1" applyFont="1"/>
    <xf numFmtId="166" fontId="4" fillId="0" borderId="13" xfId="7" applyNumberFormat="1" applyFont="1" applyFill="1" applyBorder="1"/>
    <xf numFmtId="166" fontId="4" fillId="0" borderId="9" xfId="7" applyNumberFormat="1" applyFont="1" applyFill="1" applyBorder="1"/>
    <xf numFmtId="166" fontId="4" fillId="0" borderId="27" xfId="7" applyNumberFormat="1" applyFont="1" applyFill="1" applyBorder="1"/>
    <xf numFmtId="166" fontId="4" fillId="0" borderId="28" xfId="7" applyNumberFormat="1" applyFont="1" applyFill="1" applyBorder="1"/>
    <xf numFmtId="0" fontId="4" fillId="0" borderId="24" xfId="6" applyFont="1" applyBorder="1"/>
    <xf numFmtId="0" fontId="4" fillId="0" borderId="11" xfId="6" applyFont="1" applyBorder="1"/>
    <xf numFmtId="0" fontId="5" fillId="0" borderId="0" xfId="6" applyFont="1"/>
    <xf numFmtId="0" fontId="4" fillId="0" borderId="0" xfId="8" applyFont="1"/>
    <xf numFmtId="0" fontId="4" fillId="0" borderId="8" xfId="8" applyFont="1" applyBorder="1"/>
    <xf numFmtId="0" fontId="4" fillId="0" borderId="0" xfId="8" applyFont="1" applyAlignment="1">
      <alignment horizontal="center"/>
    </xf>
    <xf numFmtId="0" fontId="4" fillId="0" borderId="0" xfId="8" applyFont="1" applyAlignment="1">
      <alignment horizontal="center" wrapText="1"/>
    </xf>
    <xf numFmtId="0" fontId="5" fillId="0" borderId="14" xfId="8" applyFont="1" applyBorder="1" applyAlignment="1">
      <alignment horizontal="center" wrapText="1"/>
    </xf>
    <xf numFmtId="0" fontId="5" fillId="0" borderId="1" xfId="8" applyFont="1" applyBorder="1" applyAlignment="1">
      <alignment horizontal="center" wrapText="1"/>
    </xf>
    <xf numFmtId="0" fontId="5" fillId="0" borderId="1" xfId="8" quotePrefix="1" applyFont="1" applyBorder="1" applyAlignment="1">
      <alignment horizontal="center" wrapText="1"/>
    </xf>
    <xf numFmtId="0" fontId="5" fillId="0" borderId="15" xfId="8" quotePrefix="1" applyFont="1" applyBorder="1" applyAlignment="1">
      <alignment horizontal="center" wrapText="1"/>
    </xf>
    <xf numFmtId="0" fontId="4" fillId="0" borderId="8" xfId="8" applyFont="1" applyBorder="1" applyAlignment="1">
      <alignment horizontal="center" vertical="top" wrapText="1"/>
    </xf>
    <xf numFmtId="0" fontId="4" fillId="0" borderId="0" xfId="8" applyFont="1" applyAlignment="1">
      <alignment horizontal="center" vertical="top" wrapText="1"/>
    </xf>
    <xf numFmtId="0" fontId="4" fillId="0" borderId="0" xfId="8" quotePrefix="1" applyFont="1" applyAlignment="1">
      <alignment horizontal="center" vertical="top" wrapText="1"/>
    </xf>
    <xf numFmtId="0" fontId="4" fillId="0" borderId="9" xfId="8" quotePrefix="1" applyFont="1" applyBorder="1" applyAlignment="1">
      <alignment horizontal="center" vertical="top" wrapText="1"/>
    </xf>
    <xf numFmtId="0" fontId="5" fillId="0" borderId="8" xfId="8" applyFont="1" applyBorder="1" applyAlignment="1">
      <alignment horizontal="center" wrapText="1"/>
    </xf>
    <xf numFmtId="0" fontId="4" fillId="0" borderId="9" xfId="8" applyFont="1" applyBorder="1" applyAlignment="1">
      <alignment horizontal="center" wrapText="1"/>
    </xf>
    <xf numFmtId="0" fontId="5" fillId="0" borderId="8" xfId="8" applyFont="1" applyBorder="1" applyAlignment="1">
      <alignment horizontal="center"/>
    </xf>
    <xf numFmtId="0" fontId="4" fillId="0" borderId="0" xfId="8" quotePrefix="1" applyFont="1" applyAlignment="1">
      <alignment horizontal="center"/>
    </xf>
    <xf numFmtId="167" fontId="4" fillId="0" borderId="0" xfId="8" applyNumberFormat="1" applyFont="1"/>
    <xf numFmtId="166" fontId="4" fillId="0" borderId="0" xfId="8" applyNumberFormat="1" applyFont="1"/>
    <xf numFmtId="164" fontId="4" fillId="0" borderId="0" xfId="8" applyNumberFormat="1" applyFont="1"/>
    <xf numFmtId="169" fontId="4" fillId="0" borderId="9" xfId="8" applyNumberFormat="1" applyFont="1" applyBorder="1" applyAlignment="1">
      <alignment horizontal="center"/>
    </xf>
    <xf numFmtId="168" fontId="4" fillId="0" borderId="0" xfId="8" applyNumberFormat="1" applyFont="1"/>
    <xf numFmtId="176" fontId="4" fillId="0" borderId="0" xfId="8" applyNumberFormat="1" applyFont="1"/>
    <xf numFmtId="0" fontId="4" fillId="0" borderId="0" xfId="8" quotePrefix="1" applyFont="1" applyAlignment="1">
      <alignment horizontal="left"/>
    </xf>
    <xf numFmtId="0" fontId="4" fillId="0" borderId="0" xfId="8" quotePrefix="1" applyFont="1"/>
    <xf numFmtId="0" fontId="4" fillId="0" borderId="9" xfId="8" applyFont="1" applyBorder="1" applyAlignment="1">
      <alignment horizontal="center"/>
    </xf>
    <xf numFmtId="165" fontId="4" fillId="0" borderId="9" xfId="8" applyNumberFormat="1" applyFont="1" applyBorder="1" applyAlignment="1">
      <alignment horizontal="center"/>
    </xf>
    <xf numFmtId="0" fontId="4" fillId="0" borderId="10" xfId="8" applyFont="1" applyBorder="1"/>
    <xf numFmtId="0" fontId="4" fillId="0" borderId="23" xfId="8" applyFont="1" applyBorder="1"/>
    <xf numFmtId="0" fontId="4" fillId="0" borderId="23" xfId="8" applyFont="1" applyBorder="1" applyAlignment="1">
      <alignment horizontal="center"/>
    </xf>
    <xf numFmtId="0" fontId="4" fillId="0" borderId="11" xfId="8" applyFont="1" applyBorder="1"/>
    <xf numFmtId="37" fontId="4" fillId="0" borderId="0" xfId="8" applyNumberFormat="1" applyFont="1"/>
    <xf numFmtId="0" fontId="5" fillId="0" borderId="0" xfId="6" applyFont="1" applyAlignment="1">
      <alignment horizontal="centerContinuous" vertical="center"/>
    </xf>
    <xf numFmtId="0" fontId="5" fillId="0" borderId="0" xfId="6" applyFont="1" applyAlignment="1">
      <alignment horizontal="centerContinuous"/>
    </xf>
    <xf numFmtId="0" fontId="4" fillId="0" borderId="0" xfId="6" applyFont="1" applyAlignment="1">
      <alignment horizontal="centerContinuous" vertical="center"/>
    </xf>
    <xf numFmtId="0" fontId="4" fillId="0" borderId="0" xfId="6" quotePrefix="1" applyFont="1" applyAlignment="1">
      <alignment horizontal="center"/>
    </xf>
    <xf numFmtId="0" fontId="4" fillId="0" borderId="21" xfId="6" applyFont="1" applyBorder="1" applyAlignment="1">
      <alignment horizontal="center" wrapText="1"/>
    </xf>
    <xf numFmtId="0" fontId="4" fillId="0" borderId="21" xfId="6" quotePrefix="1" applyFont="1" applyBorder="1" applyAlignment="1">
      <alignment horizontal="center" wrapText="1"/>
    </xf>
    <xf numFmtId="164" fontId="4" fillId="0" borderId="0" xfId="6" applyNumberFormat="1" applyFont="1"/>
    <xf numFmtId="44" fontId="4" fillId="0" borderId="0" xfId="6" applyNumberFormat="1" applyFont="1"/>
    <xf numFmtId="0" fontId="4" fillId="0" borderId="0" xfId="6" quotePrefix="1" applyFont="1" applyAlignment="1">
      <alignment horizontal="left"/>
    </xf>
    <xf numFmtId="164" fontId="4" fillId="0" borderId="4" xfId="6" applyNumberFormat="1" applyFont="1" applyBorder="1"/>
    <xf numFmtId="0" fontId="4" fillId="0" borderId="0" xfId="6" applyFont="1" applyAlignment="1">
      <alignment horizontal="left"/>
    </xf>
    <xf numFmtId="44" fontId="4" fillId="0" borderId="4" xfId="6" applyNumberFormat="1" applyFont="1" applyBorder="1"/>
    <xf numFmtId="0" fontId="4" fillId="0" borderId="21" xfId="6" quotePrefix="1" applyFont="1" applyBorder="1" applyAlignment="1">
      <alignment horizontal="left"/>
    </xf>
    <xf numFmtId="0" fontId="4" fillId="0" borderId="21" xfId="6" applyFont="1" applyBorder="1"/>
    <xf numFmtId="0" fontId="4" fillId="0" borderId="31" xfId="6" quotePrefix="1" applyFont="1" applyBorder="1" applyAlignment="1">
      <alignment horizontal="center" wrapText="1"/>
    </xf>
    <xf numFmtId="169" fontId="4" fillId="0" borderId="31" xfId="6" applyNumberFormat="1" applyFont="1" applyBorder="1"/>
    <xf numFmtId="169" fontId="4" fillId="0" borderId="32" xfId="6" applyNumberFormat="1" applyFont="1" applyBorder="1"/>
    <xf numFmtId="0" fontId="4" fillId="0" borderId="31" xfId="6" applyFont="1" applyBorder="1"/>
    <xf numFmtId="169" fontId="4" fillId="0" borderId="33" xfId="6" quotePrefix="1" applyNumberFormat="1" applyFont="1" applyBorder="1"/>
    <xf numFmtId="169" fontId="4" fillId="0" borderId="32" xfId="6" quotePrefix="1" applyNumberFormat="1" applyFont="1" applyBorder="1"/>
    <xf numFmtId="169" fontId="4" fillId="0" borderId="33" xfId="6" applyNumberFormat="1" applyFont="1" applyBorder="1"/>
    <xf numFmtId="176" fontId="4" fillId="0" borderId="0" xfId="6" applyNumberFormat="1" applyFont="1"/>
    <xf numFmtId="169" fontId="4" fillId="0" borderId="34" xfId="6" applyNumberFormat="1" applyFont="1" applyBorder="1"/>
    <xf numFmtId="0" fontId="4" fillId="0" borderId="0" xfId="6" applyFont="1" applyAlignment="1">
      <alignment horizontal="center" wrapText="1"/>
    </xf>
    <xf numFmtId="0" fontId="5" fillId="0" borderId="0" xfId="0" applyFont="1"/>
    <xf numFmtId="0" fontId="4" fillId="0" borderId="0" xfId="9" quotePrefix="1" applyFont="1" applyAlignment="1">
      <alignment horizontal="left" indent="1"/>
    </xf>
    <xf numFmtId="164" fontId="4" fillId="0" borderId="0" xfId="9" applyNumberFormat="1" applyFont="1"/>
    <xf numFmtId="0" fontId="4" fillId="0" borderId="0" xfId="9" applyFont="1" applyAlignment="1">
      <alignment horizontal="right"/>
    </xf>
    <xf numFmtId="164" fontId="4" fillId="0" borderId="0" xfId="9" quotePrefix="1" applyNumberFormat="1" applyFont="1" applyAlignment="1">
      <alignment horizontal="right"/>
    </xf>
    <xf numFmtId="0" fontId="4" fillId="0" borderId="0" xfId="9" applyFont="1" applyAlignment="1">
      <alignment horizontal="left" indent="1"/>
    </xf>
    <xf numFmtId="164" fontId="4" fillId="0" borderId="0" xfId="16" applyNumberFormat="1" applyFont="1"/>
    <xf numFmtId="0" fontId="4" fillId="0" borderId="0" xfId="16" applyFont="1"/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5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left"/>
    </xf>
    <xf numFmtId="3" fontId="4" fillId="0" borderId="9" xfId="0" applyNumberFormat="1" applyFont="1" applyBorder="1" applyAlignment="1">
      <alignment horizontal="right"/>
    </xf>
    <xf numFmtId="0" fontId="4" fillId="0" borderId="10" xfId="0" applyFont="1" applyBorder="1"/>
    <xf numFmtId="0" fontId="4" fillId="0" borderId="10" xfId="0" applyFont="1" applyBorder="1" applyAlignment="1">
      <alignment horizontal="left"/>
    </xf>
    <xf numFmtId="0" fontId="4" fillId="0" borderId="23" xfId="0" applyFont="1" applyBorder="1" applyAlignment="1">
      <alignment horizontal="center"/>
    </xf>
    <xf numFmtId="3" fontId="4" fillId="0" borderId="11" xfId="0" applyNumberFormat="1" applyFont="1" applyBorder="1" applyAlignment="1">
      <alignment horizontal="right"/>
    </xf>
    <xf numFmtId="0" fontId="5" fillId="0" borderId="0" xfId="16" applyFont="1"/>
    <xf numFmtId="0" fontId="4" fillId="0" borderId="5" xfId="0" quotePrefix="1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0" fontId="4" fillId="0" borderId="0" xfId="16" applyNumberFormat="1" applyFont="1"/>
    <xf numFmtId="0" fontId="4" fillId="0" borderId="8" xfId="0" applyFont="1" applyBorder="1" applyAlignment="1">
      <alignment horizontal="center"/>
    </xf>
    <xf numFmtId="0" fontId="4" fillId="0" borderId="9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5" fillId="0" borderId="0" xfId="0" quotePrefix="1" applyFont="1" applyAlignment="1">
      <alignment horizontal="right"/>
    </xf>
    <xf numFmtId="0" fontId="5" fillId="0" borderId="9" xfId="0" quotePrefix="1" applyFont="1" applyBorder="1" applyAlignment="1">
      <alignment horizontal="right"/>
    </xf>
    <xf numFmtId="0" fontId="4" fillId="0" borderId="17" xfId="0" quotePrefix="1" applyFont="1" applyBorder="1" applyAlignment="1">
      <alignment horizontal="center"/>
    </xf>
    <xf numFmtId="41" fontId="4" fillId="0" borderId="2" xfId="0" applyNumberFormat="1" applyFont="1" applyBorder="1" applyAlignment="1">
      <alignment horizontal="right"/>
    </xf>
    <xf numFmtId="37" fontId="4" fillId="0" borderId="2" xfId="0" applyNumberFormat="1" applyFont="1" applyBorder="1" applyAlignment="1">
      <alignment horizontal="right"/>
    </xf>
    <xf numFmtId="37" fontId="4" fillId="0" borderId="12" xfId="0" applyNumberFormat="1" applyFont="1" applyBorder="1" applyAlignment="1">
      <alignment horizontal="right"/>
    </xf>
    <xf numFmtId="0" fontId="4" fillId="0" borderId="17" xfId="0" applyFont="1" applyBorder="1" applyAlignment="1">
      <alignment horizontal="center"/>
    </xf>
    <xf numFmtId="10" fontId="4" fillId="0" borderId="0" xfId="10" applyNumberFormat="1" applyFont="1" applyFill="1"/>
    <xf numFmtId="10" fontId="4" fillId="0" borderId="4" xfId="16" applyNumberFormat="1" applyFont="1" applyBorder="1"/>
    <xf numFmtId="3" fontId="4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10" xfId="0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18" xfId="0" applyFont="1" applyBorder="1" applyAlignment="1">
      <alignment horizontal="center"/>
    </xf>
    <xf numFmtId="41" fontId="4" fillId="0" borderId="16" xfId="0" applyNumberFormat="1" applyFont="1" applyBorder="1" applyAlignment="1">
      <alignment horizontal="right"/>
    </xf>
    <xf numFmtId="37" fontId="4" fillId="0" borderId="16" xfId="0" applyNumberFormat="1" applyFont="1" applyBorder="1" applyAlignment="1">
      <alignment horizontal="right"/>
    </xf>
    <xf numFmtId="37" fontId="4" fillId="0" borderId="19" xfId="0" applyNumberFormat="1" applyFont="1" applyBorder="1" applyAlignment="1">
      <alignment horizontal="right"/>
    </xf>
    <xf numFmtId="37" fontId="4" fillId="0" borderId="21" xfId="0" applyNumberFormat="1" applyFont="1" applyBorder="1" applyAlignment="1">
      <alignment horizontal="right"/>
    </xf>
    <xf numFmtId="0" fontId="4" fillId="0" borderId="8" xfId="0" quotePrefix="1" applyFont="1" applyBorder="1" applyAlignment="1">
      <alignment horizontal="center"/>
    </xf>
    <xf numFmtId="37" fontId="4" fillId="0" borderId="9" xfId="0" applyNumberFormat="1" applyFont="1" applyBorder="1" applyAlignment="1">
      <alignment horizontal="right"/>
    </xf>
    <xf numFmtId="3" fontId="4" fillId="0" borderId="23" xfId="0" applyNumberFormat="1" applyFont="1" applyBorder="1" applyAlignment="1">
      <alignment horizontal="right"/>
    </xf>
    <xf numFmtId="3" fontId="4" fillId="0" borderId="23" xfId="0" quotePrefix="1" applyNumberFormat="1" applyFont="1" applyBorder="1" applyAlignment="1">
      <alignment horizontal="right"/>
    </xf>
    <xf numFmtId="0" fontId="5" fillId="0" borderId="21" xfId="16" applyFont="1" applyBorder="1" applyAlignment="1">
      <alignment horizontal="center" wrapText="1"/>
    </xf>
    <xf numFmtId="0" fontId="4" fillId="0" borderId="21" xfId="16" applyFont="1" applyBorder="1" applyAlignment="1">
      <alignment horizontal="center" wrapText="1"/>
    </xf>
    <xf numFmtId="0" fontId="5" fillId="0" borderId="0" xfId="16" applyFont="1" applyAlignment="1">
      <alignment wrapText="1"/>
    </xf>
    <xf numFmtId="0" fontId="5" fillId="0" borderId="0" xfId="16" applyFont="1" applyAlignment="1">
      <alignment horizontal="center" wrapText="1"/>
    </xf>
    <xf numFmtId="0" fontId="4" fillId="0" borderId="0" xfId="16" applyFont="1" applyAlignment="1">
      <alignment horizontal="center" wrapText="1"/>
    </xf>
    <xf numFmtId="166" fontId="4" fillId="0" borderId="0" xfId="16" quotePrefix="1" applyNumberFormat="1" applyFont="1" applyAlignment="1">
      <alignment horizontal="left"/>
    </xf>
    <xf numFmtId="166" fontId="5" fillId="0" borderId="0" xfId="16" quotePrefix="1" applyNumberFormat="1" applyFont="1" applyAlignment="1">
      <alignment horizontal="left"/>
    </xf>
    <xf numFmtId="164" fontId="4" fillId="0" borderId="0" xfId="16" quotePrefix="1" applyNumberFormat="1" applyFont="1" applyAlignment="1">
      <alignment horizontal="left"/>
    </xf>
    <xf numFmtId="164" fontId="4" fillId="0" borderId="0" xfId="16" applyNumberFormat="1" applyFont="1" applyAlignment="1">
      <alignment horizontal="left" wrapText="1"/>
    </xf>
    <xf numFmtId="167" fontId="4" fillId="0" borderId="0" xfId="16" quotePrefix="1" applyNumberFormat="1" applyFont="1" applyAlignment="1">
      <alignment horizontal="left"/>
    </xf>
    <xf numFmtId="37" fontId="5" fillId="0" borderId="0" xfId="16" quotePrefix="1" applyNumberFormat="1" applyFont="1" applyAlignment="1">
      <alignment horizontal="left" indent="1"/>
    </xf>
    <xf numFmtId="0" fontId="5" fillId="0" borderId="0" xfId="16" quotePrefix="1" applyFont="1" applyAlignment="1">
      <alignment horizontal="left"/>
    </xf>
    <xf numFmtId="167" fontId="4" fillId="0" borderId="0" xfId="16" applyNumberFormat="1" applyFont="1"/>
    <xf numFmtId="0" fontId="9" fillId="0" borderId="0" xfId="16" applyFont="1" applyAlignment="1">
      <alignment horizontal="center"/>
    </xf>
    <xf numFmtId="0" fontId="10" fillId="0" borderId="0" xfId="16" applyFont="1" applyAlignment="1">
      <alignment horizontal="center"/>
    </xf>
    <xf numFmtId="166" fontId="4" fillId="0" borderId="21" xfId="16" quotePrefix="1" applyNumberFormat="1" applyFont="1" applyBorder="1" applyAlignment="1">
      <alignment horizontal="left"/>
    </xf>
    <xf numFmtId="44" fontId="4" fillId="0" borderId="0" xfId="16" applyNumberFormat="1" applyFont="1"/>
    <xf numFmtId="0" fontId="4" fillId="0" borderId="21" xfId="16" applyFont="1" applyBorder="1"/>
    <xf numFmtId="166" fontId="4" fillId="0" borderId="35" xfId="16" quotePrefix="1" applyNumberFormat="1" applyFont="1" applyBorder="1" applyAlignment="1">
      <alignment horizontal="left"/>
    </xf>
    <xf numFmtId="0" fontId="4" fillId="0" borderId="35" xfId="16" applyFont="1" applyBorder="1"/>
    <xf numFmtId="0" fontId="5" fillId="0" borderId="0" xfId="16" quotePrefix="1" applyFont="1" applyAlignment="1">
      <alignment horizontal="left" indent="1"/>
    </xf>
    <xf numFmtId="0" fontId="4" fillId="0" borderId="0" xfId="0" applyFont="1" applyAlignment="1">
      <alignment horizontal="left" indent="4"/>
    </xf>
    <xf numFmtId="9" fontId="4" fillId="0" borderId="0" xfId="0" applyNumberFormat="1" applyFont="1"/>
    <xf numFmtId="177" fontId="5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 applyAlignment="1" applyProtection="1">
      <alignment horizontal="centerContinuous"/>
      <protection locked="0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 applyAlignment="1">
      <alignment horizontal="centerContinuous" wrapText="1"/>
    </xf>
    <xf numFmtId="0" fontId="5" fillId="0" borderId="0" xfId="0" applyFont="1" applyAlignment="1" applyProtection="1">
      <alignment horizontal="centerContinuous"/>
      <protection locked="0"/>
    </xf>
    <xf numFmtId="0" fontId="5" fillId="0" borderId="21" xfId="0" applyFont="1" applyBorder="1" applyAlignment="1">
      <alignment horizontal="center"/>
    </xf>
    <xf numFmtId="0" fontId="5" fillId="0" borderId="21" xfId="0" applyFont="1" applyBorder="1" applyProtection="1">
      <protection locked="0"/>
    </xf>
    <xf numFmtId="0" fontId="5" fillId="0" borderId="21" xfId="0" applyFont="1" applyBorder="1"/>
    <xf numFmtId="0" fontId="5" fillId="0" borderId="21" xfId="0" applyFont="1" applyBorder="1" applyAlignment="1">
      <alignment horizontal="right"/>
    </xf>
    <xf numFmtId="0" fontId="15" fillId="0" borderId="0" xfId="0" applyFont="1"/>
    <xf numFmtId="177" fontId="15" fillId="0" borderId="0" xfId="0" applyNumberFormat="1" applyFont="1"/>
    <xf numFmtId="177" fontId="4" fillId="0" borderId="0" xfId="0" applyNumberFormat="1" applyFont="1"/>
    <xf numFmtId="177" fontId="16" fillId="3" borderId="0" xfId="0" applyNumberFormat="1" applyFont="1" applyFill="1"/>
    <xf numFmtId="178" fontId="15" fillId="0" borderId="0" xfId="0" applyNumberFormat="1" applyFont="1"/>
    <xf numFmtId="177" fontId="11" fillId="0" borderId="21" xfId="0" applyNumberFormat="1" applyFont="1" applyBorder="1"/>
    <xf numFmtId="178" fontId="4" fillId="0" borderId="0" xfId="0" applyNumberFormat="1" applyFont="1"/>
    <xf numFmtId="177" fontId="12" fillId="3" borderId="0" xfId="0" applyNumberFormat="1" applyFont="1" applyFill="1"/>
    <xf numFmtId="9" fontId="15" fillId="0" borderId="0" xfId="0" applyNumberFormat="1" applyFont="1"/>
    <xf numFmtId="177" fontId="11" fillId="0" borderId="0" xfId="0" applyNumberFormat="1" applyFont="1"/>
    <xf numFmtId="177" fontId="4" fillId="0" borderId="4" xfId="0" applyNumberFormat="1" applyFont="1" applyBorder="1" applyProtection="1">
      <protection locked="0"/>
    </xf>
    <xf numFmtId="0" fontId="13" fillId="3" borderId="0" xfId="0" applyFont="1" applyFill="1"/>
    <xf numFmtId="0" fontId="11" fillId="3" borderId="0" xfId="0" applyFont="1" applyFill="1"/>
    <xf numFmtId="0" fontId="13" fillId="0" borderId="21" xfId="0" quotePrefix="1" applyFont="1" applyBorder="1" applyAlignment="1">
      <alignment horizontal="center" wrapText="1"/>
    </xf>
    <xf numFmtId="169" fontId="16" fillId="0" borderId="0" xfId="4" applyNumberFormat="1" applyFont="1" applyFill="1"/>
    <xf numFmtId="169" fontId="16" fillId="0" borderId="2" xfId="4" applyNumberFormat="1" applyFont="1" applyFill="1" applyBorder="1"/>
    <xf numFmtId="0" fontId="14" fillId="0" borderId="0" xfId="0" applyFont="1" applyAlignment="1">
      <alignment horizontal="centerContinuous" vertical="center"/>
    </xf>
    <xf numFmtId="0" fontId="14" fillId="0" borderId="21" xfId="6" quotePrefix="1" applyFont="1" applyBorder="1" applyAlignment="1">
      <alignment horizontal="center" wrapText="1"/>
    </xf>
    <xf numFmtId="164" fontId="15" fillId="0" borderId="0" xfId="3" applyNumberFormat="1" applyFont="1" applyFill="1"/>
    <xf numFmtId="164" fontId="15" fillId="0" borderId="2" xfId="3" applyNumberFormat="1" applyFont="1" applyFill="1" applyBorder="1"/>
    <xf numFmtId="0" fontId="20" fillId="0" borderId="0" xfId="0" applyFont="1"/>
    <xf numFmtId="164" fontId="20" fillId="0" borderId="0" xfId="0" applyNumberFormat="1" applyFont="1"/>
    <xf numFmtId="0" fontId="20" fillId="0" borderId="0" xfId="6" applyFont="1"/>
    <xf numFmtId="166" fontId="15" fillId="0" borderId="0" xfId="7" applyNumberFormat="1" applyFont="1" applyFill="1"/>
    <xf numFmtId="166" fontId="15" fillId="0" borderId="2" xfId="7" applyNumberFormat="1" applyFont="1" applyFill="1" applyBorder="1"/>
    <xf numFmtId="166" fontId="20" fillId="0" borderId="0" xfId="6" applyNumberFormat="1" applyFont="1"/>
    <xf numFmtId="167" fontId="15" fillId="0" borderId="0" xfId="8" applyNumberFormat="1" applyFont="1"/>
    <xf numFmtId="0" fontId="15" fillId="0" borderId="0" xfId="8" applyFont="1"/>
    <xf numFmtId="0" fontId="20" fillId="0" borderId="0" xfId="8" applyFont="1"/>
    <xf numFmtId="37" fontId="20" fillId="0" borderId="0" xfId="8" applyNumberFormat="1" applyFont="1"/>
    <xf numFmtId="17" fontId="13" fillId="0" borderId="21" xfId="0" applyNumberFormat="1" applyFont="1" applyBorder="1" applyAlignment="1">
      <alignment horizontal="center"/>
    </xf>
    <xf numFmtId="17" fontId="5" fillId="0" borderId="21" xfId="0" applyNumberFormat="1" applyFont="1" applyBorder="1" applyAlignment="1">
      <alignment horizontal="center"/>
    </xf>
    <xf numFmtId="164" fontId="15" fillId="0" borderId="0" xfId="0" applyNumberFormat="1" applyFont="1"/>
    <xf numFmtId="164" fontId="4" fillId="0" borderId="35" xfId="0" applyNumberFormat="1" applyFont="1" applyBorder="1"/>
    <xf numFmtId="0" fontId="20" fillId="0" borderId="0" xfId="0" applyFont="1" applyAlignment="1">
      <alignment horizontal="center"/>
    </xf>
    <xf numFmtId="164" fontId="5" fillId="0" borderId="0" xfId="0" applyNumberFormat="1" applyFont="1"/>
    <xf numFmtId="164" fontId="5" fillId="0" borderId="35" xfId="0" applyNumberFormat="1" applyFont="1" applyBorder="1"/>
    <xf numFmtId="0" fontId="21" fillId="0" borderId="0" xfId="0" applyFont="1"/>
    <xf numFmtId="164" fontId="5" fillId="0" borderId="4" xfId="0" applyNumberFormat="1" applyFont="1" applyBorder="1"/>
    <xf numFmtId="0" fontId="5" fillId="0" borderId="0" xfId="0" applyFont="1" applyAlignment="1">
      <alignment horizontal="right"/>
    </xf>
    <xf numFmtId="10" fontId="16" fillId="0" borderId="0" xfId="5" quotePrefix="1" applyNumberFormat="1" applyFont="1" applyFill="1" applyAlignment="1">
      <alignment horizontal="center"/>
    </xf>
    <xf numFmtId="10" fontId="16" fillId="0" borderId="2" xfId="5" applyNumberFormat="1" applyFont="1" applyFill="1" applyBorder="1" applyAlignment="1">
      <alignment horizontal="center"/>
    </xf>
    <xf numFmtId="10" fontId="16" fillId="0" borderId="4" xfId="5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6" quotePrefix="1" applyFont="1" applyAlignment="1">
      <alignment horizontal="left" indent="2"/>
    </xf>
    <xf numFmtId="0" fontId="5" fillId="0" borderId="0" xfId="16" applyFont="1" applyAlignment="1">
      <alignment horizontal="center"/>
    </xf>
    <xf numFmtId="166" fontId="4" fillId="4" borderId="0" xfId="8" applyNumberFormat="1" applyFont="1" applyFill="1"/>
    <xf numFmtId="0" fontId="11" fillId="0" borderId="0" xfId="17" applyFont="1"/>
    <xf numFmtId="2" fontId="20" fillId="0" borderId="0" xfId="17" applyNumberFormat="1" applyFont="1"/>
    <xf numFmtId="0" fontId="20" fillId="0" borderId="0" xfId="17" applyFont="1" applyAlignment="1">
      <alignment horizontal="right"/>
    </xf>
    <xf numFmtId="0" fontId="14" fillId="0" borderId="0" xfId="6" applyFont="1" applyAlignment="1">
      <alignment horizontal="centerContinuous" vertical="center"/>
    </xf>
    <xf numFmtId="0" fontId="14" fillId="0" borderId="3" xfId="6" quotePrefix="1" applyFont="1" applyBorder="1" applyAlignment="1">
      <alignment horizontal="center" wrapText="1"/>
    </xf>
    <xf numFmtId="169" fontId="15" fillId="0" borderId="31" xfId="6" applyNumberFormat="1" applyFont="1" applyBorder="1"/>
    <xf numFmtId="169" fontId="15" fillId="0" borderId="33" xfId="6" applyNumberFormat="1" applyFont="1" applyBorder="1"/>
    <xf numFmtId="169" fontId="15" fillId="3" borderId="33" xfId="6" applyNumberFormat="1" applyFont="1" applyFill="1" applyBorder="1"/>
    <xf numFmtId="169" fontId="15" fillId="3" borderId="33" xfId="6" quotePrefix="1" applyNumberFormat="1" applyFont="1" applyFill="1" applyBorder="1"/>
    <xf numFmtId="0" fontId="4" fillId="3" borderId="0" xfId="6" applyFont="1" applyFill="1"/>
    <xf numFmtId="0" fontId="15" fillId="0" borderId="0" xfId="8" quotePrefix="1" applyFont="1" applyAlignment="1">
      <alignment horizontal="center"/>
    </xf>
    <xf numFmtId="0" fontId="4" fillId="0" borderId="0" xfId="6" applyFont="1" applyFill="1"/>
    <xf numFmtId="0" fontId="16" fillId="0" borderId="0" xfId="0" quotePrefix="1" applyFont="1" applyAlignment="1">
      <alignment horizontal="center"/>
    </xf>
    <xf numFmtId="0" fontId="15" fillId="0" borderId="0" xfId="0" quotePrefix="1" applyFont="1" applyAlignment="1">
      <alignment horizontal="center"/>
    </xf>
    <xf numFmtId="0" fontId="4" fillId="0" borderId="0" xfId="17" applyFont="1"/>
    <xf numFmtId="166" fontId="4" fillId="0" borderId="0" xfId="17" applyNumberFormat="1" applyFont="1"/>
    <xf numFmtId="41" fontId="4" fillId="0" borderId="0" xfId="17" applyNumberFormat="1" applyFont="1"/>
    <xf numFmtId="0" fontId="4" fillId="0" borderId="0" xfId="17" applyFont="1" applyAlignment="1">
      <alignment horizontal="center"/>
    </xf>
    <xf numFmtId="0" fontId="4" fillId="0" borderId="21" xfId="17" applyFont="1" applyBorder="1" applyAlignment="1">
      <alignment horizontal="center"/>
    </xf>
    <xf numFmtId="171" fontId="4" fillId="0" borderId="0" xfId="17" applyNumberFormat="1" applyFont="1"/>
    <xf numFmtId="164" fontId="4" fillId="0" borderId="0" xfId="17" applyNumberFormat="1" applyFont="1"/>
    <xf numFmtId="0" fontId="4" fillId="0" borderId="0" xfId="17" quotePrefix="1" applyFont="1" applyAlignment="1">
      <alignment horizontal="left"/>
    </xf>
    <xf numFmtId="170" fontId="4" fillId="0" borderId="21" xfId="17" applyNumberFormat="1" applyFont="1" applyBorder="1"/>
    <xf numFmtId="167" fontId="4" fillId="0" borderId="0" xfId="17" applyNumberFormat="1" applyFont="1"/>
    <xf numFmtId="0" fontId="4" fillId="0" borderId="8" xfId="17" applyFont="1" applyBorder="1"/>
    <xf numFmtId="0" fontId="4" fillId="0" borderId="5" xfId="17" applyFont="1" applyBorder="1"/>
    <xf numFmtId="0" fontId="17" fillId="0" borderId="6" xfId="17" quotePrefix="1" applyFont="1" applyBorder="1" applyAlignment="1">
      <alignment horizontal="left"/>
    </xf>
    <xf numFmtId="0" fontId="4" fillId="0" borderId="6" xfId="17" applyFont="1" applyBorder="1"/>
    <xf numFmtId="0" fontId="17" fillId="0" borderId="8" xfId="17" applyFont="1" applyBorder="1" applyAlignment="1">
      <alignment horizontal="centerContinuous"/>
    </xf>
    <xf numFmtId="2" fontId="18" fillId="0" borderId="0" xfId="17" applyNumberFormat="1" applyFont="1" applyAlignment="1">
      <alignment horizontal="left"/>
    </xf>
    <xf numFmtId="0" fontId="17" fillId="0" borderId="0" xfId="17" applyFont="1" applyAlignment="1">
      <alignment horizontal="centerContinuous"/>
    </xf>
    <xf numFmtId="0" fontId="13" fillId="0" borderId="0" xfId="17" applyFont="1" applyAlignment="1">
      <alignment horizontal="right"/>
    </xf>
    <xf numFmtId="0" fontId="17" fillId="0" borderId="0" xfId="17" quotePrefix="1" applyFont="1" applyAlignment="1">
      <alignment horizontal="centerContinuous"/>
    </xf>
    <xf numFmtId="0" fontId="5" fillId="0" borderId="0" xfId="17" applyFont="1"/>
    <xf numFmtId="0" fontId="5" fillId="0" borderId="0" xfId="17" quotePrefix="1" applyFont="1" applyAlignment="1">
      <alignment horizontal="left"/>
    </xf>
    <xf numFmtId="0" fontId="17" fillId="0" borderId="0" xfId="17" applyFont="1" applyAlignment="1">
      <alignment horizontal="left"/>
    </xf>
    <xf numFmtId="0" fontId="5" fillId="0" borderId="0" xfId="17" applyFont="1" applyAlignment="1">
      <alignment horizontal="left"/>
    </xf>
    <xf numFmtId="0" fontId="4" fillId="0" borderId="3" xfId="17" applyFont="1" applyBorder="1" applyAlignment="1">
      <alignment horizontal="center"/>
    </xf>
    <xf numFmtId="0" fontId="19" fillId="0" borderId="8" xfId="17" applyFont="1" applyBorder="1"/>
    <xf numFmtId="0" fontId="4" fillId="0" borderId="0" xfId="17" applyFont="1" applyAlignment="1">
      <alignment horizontal="right"/>
    </xf>
    <xf numFmtId="16" fontId="4" fillId="0" borderId="0" xfId="17" applyNumberFormat="1" applyFont="1" applyAlignment="1">
      <alignment horizontal="center"/>
    </xf>
    <xf numFmtId="0" fontId="4" fillId="0" borderId="20" xfId="17" applyFont="1" applyBorder="1" applyAlignment="1">
      <alignment horizontal="center"/>
    </xf>
    <xf numFmtId="0" fontId="4" fillId="0" borderId="21" xfId="17" applyFont="1" applyBorder="1" applyAlignment="1">
      <alignment horizontal="right"/>
    </xf>
    <xf numFmtId="0" fontId="4" fillId="0" borderId="21" xfId="17" applyFont="1" applyBorder="1"/>
    <xf numFmtId="0" fontId="4" fillId="0" borderId="21" xfId="17" quotePrefix="1" applyFont="1" applyBorder="1" applyAlignment="1">
      <alignment horizontal="center"/>
    </xf>
    <xf numFmtId="0" fontId="4" fillId="0" borderId="8" xfId="17" applyFont="1" applyBorder="1" applyAlignment="1">
      <alignment horizontal="center"/>
    </xf>
    <xf numFmtId="0" fontId="9" fillId="0" borderId="0" xfId="17" applyFont="1"/>
    <xf numFmtId="172" fontId="4" fillId="0" borderId="0" xfId="17" applyNumberFormat="1" applyFont="1"/>
    <xf numFmtId="170" fontId="4" fillId="0" borderId="0" xfId="17" applyNumberFormat="1" applyFont="1"/>
    <xf numFmtId="43" fontId="4" fillId="0" borderId="0" xfId="17" applyNumberFormat="1" applyFont="1"/>
    <xf numFmtId="173" fontId="4" fillId="0" borderId="0" xfId="17" applyNumberFormat="1" applyFont="1"/>
    <xf numFmtId="166" fontId="4" fillId="2" borderId="3" xfId="17" applyNumberFormat="1" applyFont="1" applyFill="1" applyBorder="1"/>
    <xf numFmtId="0" fontId="19" fillId="0" borderId="0" xfId="17" applyFont="1"/>
    <xf numFmtId="166" fontId="15" fillId="0" borderId="0" xfId="17" applyNumberFormat="1" applyFont="1"/>
    <xf numFmtId="41" fontId="15" fillId="0" borderId="0" xfId="17" applyNumberFormat="1" applyFont="1"/>
    <xf numFmtId="0" fontId="15" fillId="0" borderId="0" xfId="17" applyFont="1"/>
    <xf numFmtId="170" fontId="15" fillId="0" borderId="21" xfId="17" applyNumberFormat="1" applyFont="1" applyBorder="1"/>
    <xf numFmtId="2" fontId="15" fillId="0" borderId="0" xfId="0" applyNumberFormat="1" applyFont="1"/>
    <xf numFmtId="41" fontId="22" fillId="0" borderId="0" xfId="0" applyNumberFormat="1" applyFont="1"/>
    <xf numFmtId="164" fontId="15" fillId="0" borderId="0" xfId="16" quotePrefix="1" applyNumberFormat="1" applyFont="1" applyAlignment="1">
      <alignment horizontal="left"/>
    </xf>
    <xf numFmtId="167" fontId="11" fillId="0" borderId="0" xfId="0" quotePrefix="1" applyNumberFormat="1" applyFont="1" applyAlignment="1">
      <alignment horizontal="left"/>
    </xf>
    <xf numFmtId="9" fontId="15" fillId="0" borderId="37" xfId="16" quotePrefix="1" applyNumberFormat="1" applyFont="1" applyBorder="1"/>
    <xf numFmtId="166" fontId="15" fillId="0" borderId="0" xfId="16" quotePrefix="1" applyNumberFormat="1" applyFont="1" applyAlignment="1">
      <alignment horizontal="left"/>
    </xf>
    <xf numFmtId="166" fontId="15" fillId="0" borderId="21" xfId="16" quotePrefix="1" applyNumberFormat="1" applyFont="1" applyBorder="1" applyAlignment="1">
      <alignment horizontal="left"/>
    </xf>
    <xf numFmtId="0" fontId="9" fillId="5" borderId="0" xfId="0" quotePrefix="1" applyFont="1" applyFill="1" applyAlignment="1">
      <alignment horizontal="left"/>
    </xf>
    <xf numFmtId="166" fontId="15" fillId="0" borderId="0" xfId="16" quotePrefix="1" applyNumberFormat="1" applyFont="1" applyBorder="1" applyAlignment="1">
      <alignment horizontal="left"/>
    </xf>
    <xf numFmtId="3" fontId="15" fillId="0" borderId="7" xfId="0" applyNumberFormat="1" applyFont="1" applyBorder="1"/>
    <xf numFmtId="3" fontId="15" fillId="0" borderId="22" xfId="0" applyNumberFormat="1" applyFont="1" applyBorder="1"/>
    <xf numFmtId="3" fontId="4" fillId="6" borderId="11" xfId="0" applyNumberFormat="1" applyFont="1" applyFill="1" applyBorder="1"/>
    <xf numFmtId="3" fontId="4" fillId="7" borderId="7" xfId="0" applyNumberFormat="1" applyFont="1" applyFill="1" applyBorder="1" applyAlignment="1">
      <alignment horizontal="right"/>
    </xf>
    <xf numFmtId="3" fontId="4" fillId="7" borderId="9" xfId="0" applyNumberFormat="1" applyFont="1" applyFill="1" applyBorder="1" applyAlignment="1">
      <alignment horizontal="right"/>
    </xf>
    <xf numFmtId="3" fontId="4" fillId="7" borderId="11" xfId="0" applyNumberFormat="1" applyFont="1" applyFill="1" applyBorder="1" applyAlignment="1">
      <alignment horizontal="right"/>
    </xf>
    <xf numFmtId="41" fontId="15" fillId="0" borderId="2" xfId="0" applyNumberFormat="1" applyFont="1" applyBorder="1" applyAlignment="1">
      <alignment horizontal="right"/>
    </xf>
    <xf numFmtId="10" fontId="15" fillId="0" borderId="2" xfId="0" applyNumberFormat="1" applyFont="1" applyBorder="1" applyAlignment="1">
      <alignment horizontal="right"/>
    </xf>
    <xf numFmtId="37" fontId="15" fillId="0" borderId="2" xfId="0" applyNumberFormat="1" applyFont="1" applyBorder="1" applyAlignment="1">
      <alignment horizontal="right"/>
    </xf>
    <xf numFmtId="41" fontId="15" fillId="0" borderId="16" xfId="0" applyNumberFormat="1" applyFont="1" applyBorder="1" applyAlignment="1">
      <alignment horizontal="right"/>
    </xf>
    <xf numFmtId="41" fontId="4" fillId="0" borderId="0" xfId="0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center"/>
    </xf>
    <xf numFmtId="37" fontId="4" fillId="0" borderId="0" xfId="0" applyNumberFormat="1" applyFont="1" applyBorder="1" applyAlignment="1">
      <alignment horizontal="right"/>
    </xf>
    <xf numFmtId="37" fontId="4" fillId="0" borderId="0" xfId="0" quotePrefix="1" applyNumberFormat="1" applyFont="1" applyBorder="1" applyAlignment="1">
      <alignment horizontal="right"/>
    </xf>
    <xf numFmtId="44" fontId="14" fillId="0" borderId="0" xfId="9" applyNumberFormat="1" applyFont="1"/>
    <xf numFmtId="0" fontId="14" fillId="0" borderId="0" xfId="9" applyFont="1"/>
    <xf numFmtId="0" fontId="5" fillId="0" borderId="0" xfId="9" applyFont="1" applyAlignment="1">
      <alignment horizontal="center"/>
    </xf>
    <xf numFmtId="0" fontId="5" fillId="0" borderId="0" xfId="9" applyFont="1"/>
    <xf numFmtId="44" fontId="5" fillId="0" borderId="0" xfId="9" applyNumberFormat="1" applyFont="1"/>
    <xf numFmtId="0" fontId="5" fillId="0" borderId="21" xfId="9" applyFont="1" applyBorder="1" applyAlignment="1">
      <alignment horizontal="center" wrapText="1"/>
    </xf>
    <xf numFmtId="0" fontId="5" fillId="0" borderId="21" xfId="9" quotePrefix="1" applyFont="1" applyBorder="1" applyAlignment="1">
      <alignment horizontal="center" wrapText="1"/>
    </xf>
    <xf numFmtId="0" fontId="5" fillId="8" borderId="38" xfId="9" quotePrefix="1" applyFont="1" applyFill="1" applyBorder="1" applyAlignment="1">
      <alignment horizontal="center" wrapText="1"/>
    </xf>
    <xf numFmtId="0" fontId="4" fillId="0" borderId="0" xfId="9" applyFont="1" applyAlignment="1">
      <alignment horizontal="center"/>
    </xf>
    <xf numFmtId="0" fontId="4" fillId="0" borderId="0" xfId="9" quotePrefix="1" applyFont="1" applyAlignment="1">
      <alignment horizontal="center"/>
    </xf>
    <xf numFmtId="44" fontId="4" fillId="0" borderId="0" xfId="9" applyNumberFormat="1" applyFont="1"/>
    <xf numFmtId="0" fontId="4" fillId="0" borderId="0" xfId="9" applyFont="1"/>
    <xf numFmtId="0" fontId="4" fillId="8" borderId="13" xfId="9" applyFont="1" applyFill="1" applyBorder="1"/>
    <xf numFmtId="0" fontId="5" fillId="0" borderId="39" xfId="9" applyFont="1" applyBorder="1" applyAlignment="1">
      <alignment horizontal="center"/>
    </xf>
    <xf numFmtId="0" fontId="4" fillId="0" borderId="0" xfId="9" quotePrefix="1" applyFont="1" applyAlignment="1">
      <alignment horizontal="left"/>
    </xf>
    <xf numFmtId="41" fontId="4" fillId="0" borderId="0" xfId="9" applyNumberFormat="1" applyFont="1"/>
    <xf numFmtId="166" fontId="4" fillId="0" borderId="0" xfId="9" applyNumberFormat="1" applyFont="1"/>
    <xf numFmtId="167" fontId="5" fillId="0" borderId="24" xfId="9" applyNumberFormat="1" applyFont="1" applyBorder="1" applyAlignment="1">
      <alignment horizontal="center"/>
    </xf>
    <xf numFmtId="41" fontId="15" fillId="3" borderId="0" xfId="9" applyNumberFormat="1" applyFont="1" applyFill="1"/>
    <xf numFmtId="167" fontId="4" fillId="0" borderId="0" xfId="9" applyNumberFormat="1" applyFont="1"/>
    <xf numFmtId="0" fontId="20" fillId="0" borderId="0" xfId="9" quotePrefix="1" applyFont="1" applyAlignment="1">
      <alignment horizontal="left"/>
    </xf>
    <xf numFmtId="166" fontId="20" fillId="0" borderId="0" xfId="9" applyNumberFormat="1" applyFont="1"/>
    <xf numFmtId="167" fontId="20" fillId="0" borderId="0" xfId="9" applyNumberFormat="1" applyFont="1"/>
    <xf numFmtId="164" fontId="4" fillId="0" borderId="40" xfId="9" applyNumberFormat="1" applyFont="1" applyBorder="1"/>
    <xf numFmtId="166" fontId="4" fillId="0" borderId="35" xfId="9" applyNumberFormat="1" applyFont="1" applyBorder="1"/>
    <xf numFmtId="41" fontId="20" fillId="0" borderId="0" xfId="9" applyNumberFormat="1" applyFont="1"/>
    <xf numFmtId="0" fontId="20" fillId="0" borderId="0" xfId="9" applyFont="1"/>
    <xf numFmtId="0" fontId="4" fillId="0" borderId="0" xfId="9" quotePrefix="1" applyFont="1" applyAlignment="1">
      <alignment horizontal="right" wrapText="1"/>
    </xf>
    <xf numFmtId="44" fontId="15" fillId="0" borderId="0" xfId="4" applyFont="1" applyFill="1" applyBorder="1"/>
    <xf numFmtId="44" fontId="4" fillId="0" borderId="0" xfId="4" applyFont="1" applyFill="1" applyBorder="1"/>
    <xf numFmtId="44" fontId="4" fillId="8" borderId="13" xfId="4" applyFont="1" applyFill="1" applyBorder="1"/>
    <xf numFmtId="41" fontId="15" fillId="0" borderId="0" xfId="9" applyNumberFormat="1" applyFont="1"/>
    <xf numFmtId="0" fontId="4" fillId="0" borderId="0" xfId="9" applyFont="1" applyAlignment="1">
      <alignment horizontal="center" wrapText="1"/>
    </xf>
    <xf numFmtId="164" fontId="4" fillId="0" borderId="0" xfId="9" applyNumberFormat="1" applyFont="1" applyAlignment="1">
      <alignment horizontal="right"/>
    </xf>
    <xf numFmtId="41" fontId="16" fillId="0" borderId="0" xfId="9" applyNumberFormat="1" applyFont="1"/>
    <xf numFmtId="169" fontId="15" fillId="0" borderId="0" xfId="4" applyNumberFormat="1" applyFont="1" applyFill="1" applyBorder="1"/>
    <xf numFmtId="169" fontId="15" fillId="8" borderId="13" xfId="4" applyNumberFormat="1" applyFont="1" applyFill="1" applyBorder="1"/>
    <xf numFmtId="44" fontId="15" fillId="0" borderId="0" xfId="4" quotePrefix="1" applyFont="1" applyFill="1" applyBorder="1"/>
    <xf numFmtId="0" fontId="4" fillId="0" borderId="0" xfId="9" applyFont="1" applyAlignment="1">
      <alignment horizontal="left"/>
    </xf>
    <xf numFmtId="41" fontId="24" fillId="0" borderId="0" xfId="9" applyNumberFormat="1" applyFont="1"/>
    <xf numFmtId="169" fontId="15" fillId="0" borderId="0" xfId="4" applyNumberFormat="1" applyFont="1" applyFill="1"/>
    <xf numFmtId="168" fontId="4" fillId="8" borderId="13" xfId="4" applyNumberFormat="1" applyFont="1" applyFill="1" applyBorder="1"/>
    <xf numFmtId="17" fontId="4" fillId="0" borderId="0" xfId="9" applyNumberFormat="1" applyFont="1"/>
    <xf numFmtId="0" fontId="4" fillId="8" borderId="24" xfId="9" applyFont="1" applyFill="1" applyBorder="1"/>
    <xf numFmtId="0" fontId="15" fillId="0" borderId="0" xfId="9" applyFont="1"/>
    <xf numFmtId="0" fontId="16" fillId="0" borderId="0" xfId="6" applyFont="1"/>
    <xf numFmtId="0" fontId="14" fillId="8" borderId="25" xfId="6" quotePrefix="1" applyFont="1" applyFill="1" applyBorder="1" applyAlignment="1">
      <alignment horizontal="centerContinuous"/>
    </xf>
    <xf numFmtId="0" fontId="5" fillId="8" borderId="1" xfId="6" quotePrefix="1" applyFont="1" applyFill="1" applyBorder="1" applyAlignment="1">
      <alignment horizontal="centerContinuous"/>
    </xf>
    <xf numFmtId="0" fontId="5" fillId="8" borderId="15" xfId="6" quotePrefix="1" applyFont="1" applyFill="1" applyBorder="1" applyAlignment="1">
      <alignment horizontal="centerContinuous"/>
    </xf>
    <xf numFmtId="0" fontId="5" fillId="8" borderId="23" xfId="6" applyFont="1" applyFill="1" applyBorder="1" applyAlignment="1">
      <alignment horizontal="center" vertical="center" wrapText="1"/>
    </xf>
    <xf numFmtId="0" fontId="5" fillId="8" borderId="11" xfId="6" applyFont="1" applyFill="1" applyBorder="1" applyAlignment="1">
      <alignment horizontal="center" vertical="center" wrapText="1"/>
    </xf>
    <xf numFmtId="0" fontId="16" fillId="8" borderId="0" xfId="6" applyFont="1" applyFill="1"/>
    <xf numFmtId="164" fontId="15" fillId="8" borderId="6" xfId="6" applyNumberFormat="1" applyFont="1" applyFill="1" applyBorder="1"/>
    <xf numFmtId="164" fontId="4" fillId="8" borderId="9" xfId="6" applyNumberFormat="1" applyFont="1" applyFill="1" applyBorder="1"/>
    <xf numFmtId="164" fontId="15" fillId="8" borderId="0" xfId="6" applyNumberFormat="1" applyFont="1" applyFill="1"/>
    <xf numFmtId="164" fontId="15" fillId="8" borderId="21" xfId="6" applyNumberFormat="1" applyFont="1" applyFill="1" applyBorder="1"/>
    <xf numFmtId="0" fontId="4" fillId="8" borderId="0" xfId="6" applyFont="1" applyFill="1"/>
    <xf numFmtId="164" fontId="4" fillId="8" borderId="35" xfId="6" applyNumberFormat="1" applyFont="1" applyFill="1" applyBorder="1"/>
    <xf numFmtId="164" fontId="4" fillId="8" borderId="36" xfId="6" applyNumberFormat="1" applyFont="1" applyFill="1" applyBorder="1"/>
    <xf numFmtId="0" fontId="4" fillId="8" borderId="23" xfId="6" applyFont="1" applyFill="1" applyBorder="1"/>
    <xf numFmtId="164" fontId="4" fillId="8" borderId="23" xfId="6" applyNumberFormat="1" applyFont="1" applyFill="1" applyBorder="1"/>
    <xf numFmtId="164" fontId="4" fillId="8" borderId="11" xfId="6" applyNumberFormat="1" applyFont="1" applyFill="1" applyBorder="1"/>
    <xf numFmtId="0" fontId="15" fillId="0" borderId="0" xfId="6" applyFont="1"/>
    <xf numFmtId="44" fontId="4" fillId="0" borderId="0" xfId="4" applyFont="1"/>
    <xf numFmtId="10" fontId="4" fillId="0" borderId="0" xfId="5" applyNumberFormat="1" applyFont="1"/>
    <xf numFmtId="44" fontId="4" fillId="0" borderId="4" xfId="4" applyFont="1" applyBorder="1"/>
    <xf numFmtId="10" fontId="4" fillId="0" borderId="4" xfId="5" applyNumberFormat="1" applyFont="1" applyBorder="1"/>
    <xf numFmtId="164" fontId="16" fillId="8" borderId="4" xfId="6" applyNumberFormat="1" applyFont="1" applyFill="1" applyBorder="1"/>
    <xf numFmtId="10" fontId="4" fillId="8" borderId="4" xfId="5" applyNumberFormat="1" applyFont="1" applyFill="1" applyBorder="1"/>
    <xf numFmtId="0" fontId="4" fillId="0" borderId="0" xfId="0" applyFont="1" applyAlignment="1">
      <alignment horizontal="center"/>
    </xf>
    <xf numFmtId="0" fontId="4" fillId="0" borderId="0" xfId="6" quotePrefix="1" applyFont="1" applyAlignment="1">
      <alignment horizontal="left" indent="2"/>
    </xf>
    <xf numFmtId="17" fontId="14" fillId="0" borderId="21" xfId="6" quotePrefix="1" applyNumberFormat="1" applyFont="1" applyBorder="1" applyAlignment="1">
      <alignment horizontal="center" wrapText="1"/>
    </xf>
    <xf numFmtId="0" fontId="13" fillId="9" borderId="0" xfId="6" applyFont="1" applyFill="1" applyAlignment="1">
      <alignment horizontal="center"/>
    </xf>
    <xf numFmtId="169" fontId="4" fillId="3" borderId="33" xfId="6" applyNumberFormat="1" applyFont="1" applyFill="1" applyBorder="1"/>
    <xf numFmtId="0" fontId="5" fillId="0" borderId="0" xfId="0" applyFont="1" applyAlignment="1">
      <alignment horizontal="center" wrapText="1"/>
    </xf>
    <xf numFmtId="0" fontId="5" fillId="0" borderId="0" xfId="0" quotePrefix="1" applyFont="1" applyAlignment="1">
      <alignment horizontal="center" wrapText="1"/>
    </xf>
    <xf numFmtId="0" fontId="14" fillId="0" borderId="0" xfId="9" applyFont="1" applyAlignment="1">
      <alignment horizontal="center"/>
    </xf>
    <xf numFmtId="0" fontId="23" fillId="0" borderId="0" xfId="9" applyFont="1" applyAlignment="1">
      <alignment horizontal="center"/>
    </xf>
    <xf numFmtId="0" fontId="5" fillId="0" borderId="0" xfId="9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8" xfId="8" applyFont="1" applyBorder="1" applyAlignment="1">
      <alignment horizontal="center"/>
    </xf>
    <xf numFmtId="0" fontId="14" fillId="0" borderId="0" xfId="8" applyFont="1" applyAlignment="1">
      <alignment horizontal="center"/>
    </xf>
    <xf numFmtId="0" fontId="14" fillId="0" borderId="0" xfId="8" quotePrefix="1" applyFont="1" applyAlignment="1">
      <alignment horizontal="center"/>
    </xf>
    <xf numFmtId="0" fontId="4" fillId="0" borderId="0" xfId="6" quotePrefix="1" applyFont="1" applyAlignment="1">
      <alignment horizontal="left" indent="1"/>
    </xf>
    <xf numFmtId="0" fontId="4" fillId="0" borderId="0" xfId="6" quotePrefix="1" applyFont="1" applyAlignment="1">
      <alignment horizontal="left" indent="3"/>
    </xf>
    <xf numFmtId="0" fontId="4" fillId="0" borderId="0" xfId="6" quotePrefix="1" applyFont="1" applyAlignment="1">
      <alignment horizontal="left" indent="2"/>
    </xf>
    <xf numFmtId="0" fontId="4" fillId="3" borderId="0" xfId="6" quotePrefix="1" applyFont="1" applyFill="1" applyAlignment="1">
      <alignment horizontal="left" indent="2"/>
    </xf>
    <xf numFmtId="0" fontId="4" fillId="0" borderId="21" xfId="6" quotePrefix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16" applyFont="1" applyAlignment="1">
      <alignment horizontal="center"/>
    </xf>
    <xf numFmtId="0" fontId="14" fillId="0" borderId="0" xfId="16" applyFont="1" applyAlignment="1">
      <alignment horizontal="center"/>
    </xf>
    <xf numFmtId="0" fontId="9" fillId="0" borderId="0" xfId="16" applyFont="1" applyAlignment="1">
      <alignment horizontal="left" wrapText="1"/>
    </xf>
    <xf numFmtId="0" fontId="4" fillId="0" borderId="0" xfId="16" applyFont="1" applyAlignment="1">
      <alignment wrapText="1"/>
    </xf>
    <xf numFmtId="169" fontId="16" fillId="0" borderId="33" xfId="6" applyNumberFormat="1" applyFont="1" applyBorder="1"/>
  </cellXfs>
  <cellStyles count="18">
    <cellStyle name="Comma 10" xfId="3" xr:uid="{00000000-0005-0000-0000-000000000000}"/>
    <cellStyle name="Comma 2" xfId="2" xr:uid="{00000000-0005-0000-0000-000001000000}"/>
    <cellStyle name="Currency 10" xfId="7" xr:uid="{00000000-0005-0000-0000-000002000000}"/>
    <cellStyle name="Currency 10 3 4 2" xfId="13" xr:uid="{00000000-0005-0000-0000-000003000000}"/>
    <cellStyle name="Currency 2 12" xfId="4" xr:uid="{00000000-0005-0000-0000-000004000000}"/>
    <cellStyle name="Normal" xfId="0" builtinId="0"/>
    <cellStyle name="Normal - Style1 2 2 2 2" xfId="8" xr:uid="{00000000-0005-0000-0000-000006000000}"/>
    <cellStyle name="Normal 100 4" xfId="11" xr:uid="{00000000-0005-0000-0000-000007000000}"/>
    <cellStyle name="Normal 157 3" xfId="14" xr:uid="{00000000-0005-0000-0000-000008000000}"/>
    <cellStyle name="Normal 2" xfId="1" xr:uid="{00000000-0005-0000-0000-000009000000}"/>
    <cellStyle name="Normal 2 10" xfId="6" xr:uid="{00000000-0005-0000-0000-00000A000000}"/>
    <cellStyle name="Normal 2 8 2" xfId="15" xr:uid="{00000000-0005-0000-0000-00000B000000}"/>
    <cellStyle name="Normal 3" xfId="17" xr:uid="{4C16D4B5-4FAA-42D4-A30D-763004228DF8}"/>
    <cellStyle name="Normal 3 2" xfId="12" xr:uid="{00000000-0005-0000-0000-00000C000000}"/>
    <cellStyle name="Normal 510" xfId="9" xr:uid="{00000000-0005-0000-0000-00000D000000}"/>
    <cellStyle name="Normal 513" xfId="16" xr:uid="{00000000-0005-0000-0000-00000E000000}"/>
    <cellStyle name="Percent 10 2 2" xfId="10" xr:uid="{00000000-0005-0000-0000-00000F000000}"/>
    <cellStyle name="Percent 2" xfId="5" xr:uid="{00000000-0005-0000-0000-000010000000}"/>
  </cellStyles>
  <dxfs count="0"/>
  <tableStyles count="0" defaultTableStyle="TableStyleMedium9" defaultPivotStyle="PivotStyleLight16"/>
  <colors>
    <mruColors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0</xdr:row>
      <xdr:rowOff>0</xdr:rowOff>
    </xdr:from>
    <xdr:ext cx="5172075" cy="4616783"/>
    <xdr:pic>
      <xdr:nvPicPr>
        <xdr:cNvPr id="4" name="Picture 3">
          <a:extLst>
            <a:ext uri="{FF2B5EF4-FFF2-40B4-BE49-F238E27FC236}">
              <a16:creationId xmlns:a16="http://schemas.microsoft.com/office/drawing/2014/main" id="{8E6241F4-97FF-4E30-ACA3-82B09851F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5450" y="0"/>
          <a:ext cx="5172075" cy="4616783"/>
        </a:xfrm>
        <a:prstGeom prst="rect">
          <a:avLst/>
        </a:prstGeom>
      </xdr:spPr>
    </xdr:pic>
    <xdr:clientData/>
  </xdr:oneCellAnchor>
  <xdr:oneCellAnchor>
    <xdr:from>
      <xdr:col>12</xdr:col>
      <xdr:colOff>533400</xdr:colOff>
      <xdr:row>28</xdr:row>
      <xdr:rowOff>142875</xdr:rowOff>
    </xdr:from>
    <xdr:ext cx="6416528" cy="4888473"/>
    <xdr:pic>
      <xdr:nvPicPr>
        <xdr:cNvPr id="5" name="Picture 4">
          <a:extLst>
            <a:ext uri="{FF2B5EF4-FFF2-40B4-BE49-F238E27FC236}">
              <a16:creationId xmlns:a16="http://schemas.microsoft.com/office/drawing/2014/main" id="{3FC34534-C40E-4B33-82C8-EF6DEF8F7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10575" y="4781550"/>
          <a:ext cx="6416528" cy="48884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N35"/>
  <sheetViews>
    <sheetView zoomScaleNormal="100" workbookViewId="0">
      <pane xSplit="3" ySplit="6" topLeftCell="D7" activePane="bottomRight" state="frozen"/>
      <selection activeCell="J37" sqref="J37"/>
      <selection pane="topRight" activeCell="J37" sqref="J37"/>
      <selection pane="bottomLeft" activeCell="J37" sqref="J37"/>
      <selection pane="bottomRight" activeCell="G26" sqref="G26"/>
    </sheetView>
  </sheetViews>
  <sheetFormatPr defaultColWidth="9.140625" defaultRowHeight="11.25" x14ac:dyDescent="0.2"/>
  <cols>
    <col min="1" max="1" width="5.42578125" style="10" customWidth="1"/>
    <col min="2" max="2" width="32.140625" style="10" bestFit="1" customWidth="1"/>
    <col min="3" max="3" width="18.42578125" style="10" bestFit="1" customWidth="1"/>
    <col min="4" max="4" width="12.85546875" style="10" bestFit="1" customWidth="1"/>
    <col min="5" max="5" width="0.5703125" style="10" customWidth="1"/>
    <col min="6" max="6" width="9.7109375" style="10" customWidth="1"/>
    <col min="7" max="7" width="10.42578125" style="10" bestFit="1" customWidth="1"/>
    <col min="8" max="8" width="9.42578125" style="10" customWidth="1"/>
    <col min="9" max="9" width="0.5703125" style="10" customWidth="1"/>
    <col min="10" max="10" width="10.42578125" style="19" customWidth="1"/>
    <col min="11" max="11" width="12.85546875" style="19" bestFit="1" customWidth="1"/>
    <col min="12" max="12" width="11.5703125" style="10" bestFit="1" customWidth="1"/>
    <col min="13" max="13" width="9.140625" style="10" bestFit="1" customWidth="1"/>
    <col min="14" max="16384" width="9.140625" style="10"/>
  </cols>
  <sheetData>
    <row r="1" spans="1:14" ht="12.75" customHeight="1" x14ac:dyDescent="0.2">
      <c r="A1" s="428" t="s">
        <v>14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</row>
    <row r="2" spans="1:14" ht="12.75" customHeight="1" x14ac:dyDescent="0.2">
      <c r="A2" s="428" t="s">
        <v>331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</row>
    <row r="3" spans="1:14" ht="12.75" customHeight="1" x14ac:dyDescent="0.2">
      <c r="A3" s="429" t="s">
        <v>332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</row>
    <row r="4" spans="1:14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4" ht="78" customHeight="1" x14ac:dyDescent="0.2">
      <c r="A5" s="12" t="s">
        <v>20</v>
      </c>
      <c r="B5" s="12" t="s">
        <v>83</v>
      </c>
      <c r="C5" s="12" t="s">
        <v>15</v>
      </c>
      <c r="D5" s="239" t="s">
        <v>335</v>
      </c>
      <c r="E5" s="13"/>
      <c r="F5" s="13" t="s">
        <v>351</v>
      </c>
      <c r="G5" s="13" t="s">
        <v>352</v>
      </c>
      <c r="H5" s="13" t="s">
        <v>158</v>
      </c>
      <c r="J5" s="13" t="s">
        <v>333</v>
      </c>
      <c r="K5" s="13" t="s">
        <v>334</v>
      </c>
      <c r="L5" s="13" t="s">
        <v>176</v>
      </c>
      <c r="M5" s="13" t="s">
        <v>177</v>
      </c>
    </row>
    <row r="6" spans="1:14" ht="22.5" x14ac:dyDescent="0.2">
      <c r="A6" s="14"/>
      <c r="B6" s="15" t="s">
        <v>84</v>
      </c>
      <c r="C6" s="16" t="s">
        <v>85</v>
      </c>
      <c r="D6" s="16" t="s">
        <v>86</v>
      </c>
      <c r="E6" s="16"/>
      <c r="F6" s="16" t="s">
        <v>107</v>
      </c>
      <c r="G6" s="16" t="s">
        <v>108</v>
      </c>
      <c r="H6" s="16" t="s">
        <v>178</v>
      </c>
      <c r="J6" s="16" t="s">
        <v>179</v>
      </c>
      <c r="K6" s="16" t="s">
        <v>180</v>
      </c>
      <c r="L6" s="16" t="s">
        <v>181</v>
      </c>
      <c r="M6" s="16" t="s">
        <v>182</v>
      </c>
    </row>
    <row r="7" spans="1:14" x14ac:dyDescent="0.2">
      <c r="A7" s="14">
        <v>1</v>
      </c>
      <c r="B7" s="17" t="s">
        <v>0</v>
      </c>
      <c r="C7" s="14"/>
      <c r="D7" s="14"/>
      <c r="E7" s="18"/>
      <c r="F7" s="19"/>
      <c r="G7" s="19"/>
      <c r="H7" s="19"/>
      <c r="J7" s="18"/>
      <c r="K7" s="18"/>
    </row>
    <row r="8" spans="1:14" x14ac:dyDescent="0.2">
      <c r="A8" s="14">
        <f t="shared" ref="A8:A33" si="0">+A7+1</f>
        <v>2</v>
      </c>
      <c r="B8" s="20" t="s">
        <v>0</v>
      </c>
      <c r="C8" s="286" t="s">
        <v>359</v>
      </c>
      <c r="D8" s="3">
        <f>+'Revenue Impacts Sch 95'!C8</f>
        <v>11231237165.043671</v>
      </c>
      <c r="E8" s="18"/>
      <c r="F8" s="240">
        <v>0</v>
      </c>
      <c r="G8" s="1">
        <f>'Rate Spread'!H8</f>
        <v>7.8630000000000002E-3</v>
      </c>
      <c r="H8" s="1">
        <f>+G8-F8</f>
        <v>7.8630000000000002E-3</v>
      </c>
      <c r="I8" s="1"/>
      <c r="J8" s="22">
        <f>F8*D8</f>
        <v>0</v>
      </c>
      <c r="K8" s="22">
        <f>G8*D8</f>
        <v>88311217.828738391</v>
      </c>
      <c r="L8" s="22">
        <f>+K8-J8</f>
        <v>88311217.828738391</v>
      </c>
      <c r="M8" s="266">
        <v>1</v>
      </c>
      <c r="N8" s="23"/>
    </row>
    <row r="9" spans="1:14" x14ac:dyDescent="0.2">
      <c r="A9" s="14">
        <f t="shared" si="0"/>
        <v>3</v>
      </c>
      <c r="B9" s="24" t="s">
        <v>87</v>
      </c>
      <c r="D9" s="4">
        <f>SUM(D8:D8)</f>
        <v>11231237165.043671</v>
      </c>
      <c r="E9" s="18"/>
      <c r="F9" s="25">
        <f>SUM(F8)</f>
        <v>0</v>
      </c>
      <c r="G9" s="25">
        <f>SUM(G8)</f>
        <v>7.8630000000000002E-3</v>
      </c>
      <c r="H9" s="25">
        <f>SUM(H8)</f>
        <v>7.8630000000000002E-3</v>
      </c>
      <c r="J9" s="26">
        <f>SUM(J8:J8)</f>
        <v>0</v>
      </c>
      <c r="K9" s="26">
        <f>SUM(K8:K8)</f>
        <v>88311217.828738391</v>
      </c>
      <c r="L9" s="26">
        <f>SUM(L8:L8)</f>
        <v>88311217.828738391</v>
      </c>
      <c r="M9" s="267">
        <v>1</v>
      </c>
      <c r="N9" s="23"/>
    </row>
    <row r="10" spans="1:14" x14ac:dyDescent="0.2">
      <c r="A10" s="14">
        <f t="shared" si="0"/>
        <v>4</v>
      </c>
      <c r="D10" s="5"/>
      <c r="E10" s="18"/>
      <c r="F10" s="27"/>
      <c r="G10" s="27"/>
      <c r="H10" s="27"/>
      <c r="J10" s="28"/>
      <c r="K10" s="28"/>
      <c r="L10" s="28"/>
      <c r="M10" s="6"/>
      <c r="N10" s="23"/>
    </row>
    <row r="11" spans="1:14" x14ac:dyDescent="0.2">
      <c r="A11" s="14">
        <f t="shared" si="0"/>
        <v>5</v>
      </c>
      <c r="B11" s="10" t="s">
        <v>88</v>
      </c>
      <c r="D11" s="5"/>
      <c r="E11" s="18"/>
      <c r="F11" s="27"/>
      <c r="G11" s="27"/>
      <c r="H11" s="27"/>
      <c r="J11" s="28"/>
      <c r="K11" s="28"/>
      <c r="L11" s="28"/>
      <c r="M11" s="6"/>
      <c r="N11" s="23"/>
    </row>
    <row r="12" spans="1:14" x14ac:dyDescent="0.2">
      <c r="A12" s="14">
        <f t="shared" si="0"/>
        <v>6</v>
      </c>
      <c r="B12" s="29" t="s">
        <v>89</v>
      </c>
      <c r="C12" s="286" t="s">
        <v>183</v>
      </c>
      <c r="D12" s="3">
        <f>+'Revenue Impacts Sch 95'!C11</f>
        <v>2762363777.023735</v>
      </c>
      <c r="E12" s="18"/>
      <c r="F12" s="240">
        <v>0</v>
      </c>
      <c r="G12" s="1">
        <f>'Rate Spread'!H9</f>
        <v>7.5050000000000004E-3</v>
      </c>
      <c r="H12" s="1">
        <f t="shared" ref="H12:H15" si="1">+G12-F12</f>
        <v>7.5050000000000004E-3</v>
      </c>
      <c r="I12" s="1"/>
      <c r="J12" s="22">
        <f t="shared" ref="J12:J15" si="2">F12*D12</f>
        <v>0</v>
      </c>
      <c r="K12" s="22">
        <f t="shared" ref="K12:K15" si="3">G12*D12</f>
        <v>20731540.146563131</v>
      </c>
      <c r="L12" s="28">
        <f t="shared" ref="L12:L15" si="4">+K12-J12</f>
        <v>20731540.146563131</v>
      </c>
      <c r="M12" s="266">
        <v>1</v>
      </c>
      <c r="N12" s="23"/>
    </row>
    <row r="13" spans="1:14" x14ac:dyDescent="0.2">
      <c r="A13" s="14">
        <f t="shared" si="0"/>
        <v>7</v>
      </c>
      <c r="B13" s="29" t="s">
        <v>90</v>
      </c>
      <c r="C13" s="21" t="s">
        <v>91</v>
      </c>
      <c r="D13" s="3">
        <f>+'Revenue Impacts Sch 95'!C12</f>
        <v>2961290332.0764241</v>
      </c>
      <c r="E13" s="18"/>
      <c r="F13" s="240">
        <v>0</v>
      </c>
      <c r="G13" s="1">
        <f>'Rate Spread'!H10</f>
        <v>7.5240000000000003E-3</v>
      </c>
      <c r="H13" s="1">
        <f t="shared" si="1"/>
        <v>7.5240000000000003E-3</v>
      </c>
      <c r="I13" s="1"/>
      <c r="J13" s="22">
        <f t="shared" si="2"/>
        <v>0</v>
      </c>
      <c r="K13" s="22">
        <f t="shared" si="3"/>
        <v>22280748.458543018</v>
      </c>
      <c r="L13" s="28">
        <f t="shared" si="4"/>
        <v>22280748.458543018</v>
      </c>
      <c r="M13" s="266">
        <v>1</v>
      </c>
      <c r="N13" s="23"/>
    </row>
    <row r="14" spans="1:14" x14ac:dyDescent="0.2">
      <c r="A14" s="14">
        <f t="shared" si="0"/>
        <v>8</v>
      </c>
      <c r="B14" s="29" t="s">
        <v>92</v>
      </c>
      <c r="C14" s="21" t="s">
        <v>93</v>
      </c>
      <c r="D14" s="3">
        <f>+'Revenue Impacts Sch 95'!C13</f>
        <v>1964892733.640949</v>
      </c>
      <c r="E14" s="18"/>
      <c r="F14" s="240">
        <v>0</v>
      </c>
      <c r="G14" s="1">
        <f>'Rate Spread'!H11</f>
        <v>7.0130000000000001E-3</v>
      </c>
      <c r="H14" s="1">
        <f t="shared" si="1"/>
        <v>7.0130000000000001E-3</v>
      </c>
      <c r="I14" s="1"/>
      <c r="J14" s="22">
        <f t="shared" si="2"/>
        <v>0</v>
      </c>
      <c r="K14" s="22">
        <f t="shared" si="3"/>
        <v>13779792.741023976</v>
      </c>
      <c r="L14" s="28">
        <f t="shared" si="4"/>
        <v>13779792.741023976</v>
      </c>
      <c r="M14" s="266">
        <v>1</v>
      </c>
      <c r="N14" s="23"/>
    </row>
    <row r="15" spans="1:14" x14ac:dyDescent="0.2">
      <c r="A15" s="14">
        <f t="shared" si="0"/>
        <v>9</v>
      </c>
      <c r="B15" s="20" t="s">
        <v>94</v>
      </c>
      <c r="C15" s="270">
        <v>29</v>
      </c>
      <c r="D15" s="3">
        <f>+'Revenue Impacts Sch 95'!C14</f>
        <v>15040573.846487813</v>
      </c>
      <c r="E15" s="18"/>
      <c r="F15" s="240">
        <v>0</v>
      </c>
      <c r="G15" s="1">
        <f>'Rate Spread'!H12</f>
        <v>7.9100000000000004E-3</v>
      </c>
      <c r="H15" s="1">
        <f t="shared" si="1"/>
        <v>7.9100000000000004E-3</v>
      </c>
      <c r="I15" s="1"/>
      <c r="J15" s="22">
        <f t="shared" si="2"/>
        <v>0</v>
      </c>
      <c r="K15" s="22">
        <f t="shared" si="3"/>
        <v>118970.93912571861</v>
      </c>
      <c r="L15" s="28">
        <f t="shared" si="4"/>
        <v>118970.93912571861</v>
      </c>
      <c r="M15" s="266">
        <v>1</v>
      </c>
      <c r="N15" s="23"/>
    </row>
    <row r="16" spans="1:14" x14ac:dyDescent="0.2">
      <c r="A16" s="14">
        <f t="shared" si="0"/>
        <v>10</v>
      </c>
      <c r="B16" s="30" t="s">
        <v>95</v>
      </c>
      <c r="D16" s="4">
        <f>SUM(D12:D15)</f>
        <v>7703587416.5875959</v>
      </c>
      <c r="E16" s="18"/>
      <c r="F16" s="25">
        <f t="shared" ref="F16:G16" si="5">SUMPRODUCT($D$12:$D$15,F12:F15)/SUM($D$12:$D$15)</f>
        <v>0</v>
      </c>
      <c r="G16" s="25">
        <f t="shared" si="5"/>
        <v>7.3876038795526932E-3</v>
      </c>
      <c r="H16" s="25">
        <f t="shared" ref="H16" si="6">SUMPRODUCT($D$12:$D$15,H12:H15)/SUM($D$12:$D$15)</f>
        <v>7.3876038795526932E-3</v>
      </c>
      <c r="J16" s="26">
        <f>SUM(J12:J15)</f>
        <v>0</v>
      </c>
      <c r="K16" s="26">
        <f>SUM(K12:K15)</f>
        <v>56911052.285255834</v>
      </c>
      <c r="L16" s="26">
        <f>SUM(L12:L15)</f>
        <v>56911052.285255834</v>
      </c>
      <c r="M16" s="267">
        <v>1</v>
      </c>
      <c r="N16" s="23"/>
    </row>
    <row r="17" spans="1:14" x14ac:dyDescent="0.2">
      <c r="A17" s="14">
        <f t="shared" si="0"/>
        <v>11</v>
      </c>
      <c r="D17" s="5"/>
      <c r="E17" s="18"/>
      <c r="F17" s="27"/>
      <c r="G17" s="27"/>
      <c r="H17" s="27"/>
      <c r="J17" s="28"/>
      <c r="K17" s="28"/>
      <c r="L17" s="28"/>
      <c r="M17" s="6"/>
      <c r="N17" s="23"/>
    </row>
    <row r="18" spans="1:14" x14ac:dyDescent="0.2">
      <c r="A18" s="14">
        <f t="shared" si="0"/>
        <v>12</v>
      </c>
      <c r="B18" s="10" t="s">
        <v>96</v>
      </c>
      <c r="D18" s="5"/>
      <c r="E18" s="18"/>
      <c r="F18" s="27"/>
      <c r="G18" s="27"/>
      <c r="H18" s="27"/>
      <c r="J18" s="28"/>
      <c r="K18" s="28"/>
      <c r="L18" s="28"/>
      <c r="M18" s="6"/>
      <c r="N18" s="23"/>
    </row>
    <row r="19" spans="1:14" x14ac:dyDescent="0.2">
      <c r="A19" s="14">
        <f t="shared" si="0"/>
        <v>13</v>
      </c>
      <c r="B19" s="29" t="s">
        <v>97</v>
      </c>
      <c r="C19" s="21" t="s">
        <v>98</v>
      </c>
      <c r="D19" s="3">
        <f>+'Revenue Impacts Sch 95'!C17</f>
        <v>1416593830.9637725</v>
      </c>
      <c r="E19" s="18"/>
      <c r="F19" s="240">
        <v>0</v>
      </c>
      <c r="G19" s="1">
        <f>'Rate Spread'!H13</f>
        <v>6.8739999999999999E-3</v>
      </c>
      <c r="H19" s="1">
        <f t="shared" ref="H19:H21" si="7">+G19-F19</f>
        <v>6.8739999999999999E-3</v>
      </c>
      <c r="I19" s="1"/>
      <c r="J19" s="22">
        <f t="shared" ref="J19:J21" si="8">F19*D19</f>
        <v>0</v>
      </c>
      <c r="K19" s="22">
        <f t="shared" ref="K19:K21" si="9">G19*D19</f>
        <v>9737665.9940449726</v>
      </c>
      <c r="L19" s="28">
        <f t="shared" ref="L19:L21" si="10">+K19-J19</f>
        <v>9737665.9940449726</v>
      </c>
      <c r="M19" s="266">
        <v>1</v>
      </c>
      <c r="N19" s="23"/>
    </row>
    <row r="20" spans="1:14" x14ac:dyDescent="0.2">
      <c r="A20" s="14">
        <f t="shared" si="0"/>
        <v>14</v>
      </c>
      <c r="B20" s="20" t="s">
        <v>94</v>
      </c>
      <c r="C20" s="270">
        <v>35</v>
      </c>
      <c r="D20" s="3">
        <f>+'Revenue Impacts Sch 95'!C18</f>
        <v>4440266.6219169199</v>
      </c>
      <c r="E20" s="18"/>
      <c r="F20" s="240">
        <v>0</v>
      </c>
      <c r="G20" s="1">
        <f>'Rate Spread'!H14</f>
        <v>7.3559999999999997E-3</v>
      </c>
      <c r="H20" s="1">
        <f t="shared" si="7"/>
        <v>7.3559999999999997E-3</v>
      </c>
      <c r="I20" s="1"/>
      <c r="J20" s="22">
        <f t="shared" si="8"/>
        <v>0</v>
      </c>
      <c r="K20" s="22">
        <f t="shared" si="9"/>
        <v>32662.601270820862</v>
      </c>
      <c r="L20" s="28">
        <f t="shared" si="10"/>
        <v>32662.601270820862</v>
      </c>
      <c r="M20" s="266">
        <v>1</v>
      </c>
      <c r="N20" s="23"/>
    </row>
    <row r="21" spans="1:14" x14ac:dyDescent="0.2">
      <c r="A21" s="14">
        <f t="shared" si="0"/>
        <v>15</v>
      </c>
      <c r="B21" s="20" t="s">
        <v>99</v>
      </c>
      <c r="C21" s="270">
        <v>43</v>
      </c>
      <c r="D21" s="3">
        <f>+'Revenue Impacts Sch 95'!C19</f>
        <v>123233807.4336848</v>
      </c>
      <c r="E21" s="18"/>
      <c r="F21" s="240">
        <v>0</v>
      </c>
      <c r="G21" s="1">
        <f>'Rate Spread'!H15</f>
        <v>6.7629999999999999E-3</v>
      </c>
      <c r="H21" s="1">
        <f t="shared" si="7"/>
        <v>6.7629999999999999E-3</v>
      </c>
      <c r="I21" s="1"/>
      <c r="J21" s="22">
        <f t="shared" si="8"/>
        <v>0</v>
      </c>
      <c r="K21" s="22">
        <f t="shared" si="9"/>
        <v>833430.23967401031</v>
      </c>
      <c r="L21" s="28">
        <f t="shared" si="10"/>
        <v>833430.23967401031</v>
      </c>
      <c r="M21" s="266">
        <v>1</v>
      </c>
      <c r="N21" s="23"/>
    </row>
    <row r="22" spans="1:14" x14ac:dyDescent="0.2">
      <c r="A22" s="14">
        <f t="shared" si="0"/>
        <v>16</v>
      </c>
      <c r="B22" s="24" t="s">
        <v>100</v>
      </c>
      <c r="D22" s="4">
        <f>SUM(D19:D21)</f>
        <v>1544267905.0193744</v>
      </c>
      <c r="E22" s="18"/>
      <c r="F22" s="25">
        <f>SUMPRODUCT($D$19:$D$21,F19:F21)/SUM($D$19:$D$21)</f>
        <v>0</v>
      </c>
      <c r="G22" s="25">
        <f>SUMPRODUCT($D$19:$D$21,G19:G21)/SUM($D$19:$D$21)</f>
        <v>6.8665280166246611E-3</v>
      </c>
      <c r="H22" s="25">
        <f>SUMPRODUCT($D$19:$D$21,H19:H21)/SUM($D$19:$D$21)</f>
        <v>6.8665280166246611E-3</v>
      </c>
      <c r="I22" s="1"/>
      <c r="J22" s="26">
        <f>SUM(J19:J21)</f>
        <v>0</v>
      </c>
      <c r="K22" s="26">
        <f>SUM(K19:K21)</f>
        <v>10603758.834989805</v>
      </c>
      <c r="L22" s="26">
        <f>SUM(L19:L21)</f>
        <v>10603758.834989805</v>
      </c>
      <c r="M22" s="267">
        <v>1</v>
      </c>
      <c r="N22" s="23"/>
    </row>
    <row r="23" spans="1:14" x14ac:dyDescent="0.2">
      <c r="A23" s="14">
        <f t="shared" si="0"/>
        <v>17</v>
      </c>
      <c r="D23" s="7"/>
      <c r="E23" s="18"/>
      <c r="F23" s="27"/>
      <c r="G23" s="27"/>
      <c r="H23" s="27"/>
      <c r="I23" s="1"/>
      <c r="J23" s="28"/>
      <c r="K23" s="28"/>
      <c r="L23" s="28"/>
      <c r="M23" s="8"/>
      <c r="N23" s="23"/>
    </row>
    <row r="24" spans="1:14" x14ac:dyDescent="0.2">
      <c r="A24" s="14">
        <f t="shared" si="0"/>
        <v>18</v>
      </c>
      <c r="B24" s="10" t="s">
        <v>101</v>
      </c>
      <c r="D24" s="5"/>
      <c r="E24" s="18"/>
      <c r="F24" s="27"/>
      <c r="G24" s="27"/>
      <c r="H24" s="27"/>
      <c r="J24" s="28"/>
      <c r="K24" s="28"/>
      <c r="L24" s="28"/>
      <c r="M24" s="6"/>
      <c r="N24" s="23"/>
    </row>
    <row r="25" spans="1:14" x14ac:dyDescent="0.2">
      <c r="A25" s="14">
        <f t="shared" si="0"/>
        <v>19</v>
      </c>
      <c r="B25" s="29" t="s">
        <v>102</v>
      </c>
      <c r="C25" s="270">
        <v>46</v>
      </c>
      <c r="D25" s="3">
        <f>+'Revenue Impacts Sch 95'!C22</f>
        <v>97204322.458226442</v>
      </c>
      <c r="E25" s="18"/>
      <c r="F25" s="240">
        <v>0</v>
      </c>
      <c r="G25" s="1">
        <f>'Rate Spread'!H17</f>
        <v>7.5490000000000002E-3</v>
      </c>
      <c r="H25" s="1">
        <f t="shared" ref="H25:H26" si="11">+G25-F25</f>
        <v>7.5490000000000002E-3</v>
      </c>
      <c r="I25" s="1"/>
      <c r="J25" s="22">
        <f t="shared" ref="J25:J26" si="12">F25*D25</f>
        <v>0</v>
      </c>
      <c r="K25" s="22">
        <f t="shared" ref="K25:K26" si="13">G25*D25</f>
        <v>733795.43023715145</v>
      </c>
      <c r="L25" s="28">
        <f t="shared" ref="L25:L26" si="14">+K25-J25</f>
        <v>733795.43023715145</v>
      </c>
      <c r="M25" s="266">
        <v>1</v>
      </c>
      <c r="N25" s="23"/>
    </row>
    <row r="26" spans="1:14" x14ac:dyDescent="0.2">
      <c r="A26" s="14">
        <f t="shared" si="0"/>
        <v>20</v>
      </c>
      <c r="B26" s="29" t="s">
        <v>97</v>
      </c>
      <c r="C26" s="270">
        <v>49</v>
      </c>
      <c r="D26" s="3">
        <f>+'Revenue Impacts Sch 95'!C23</f>
        <v>536308452.81444013</v>
      </c>
      <c r="E26" s="18"/>
      <c r="F26" s="240">
        <v>0</v>
      </c>
      <c r="G26" s="1">
        <f>'Rate Spread'!H18</f>
        <v>6.966E-3</v>
      </c>
      <c r="H26" s="1">
        <f t="shared" si="11"/>
        <v>6.966E-3</v>
      </c>
      <c r="I26" s="1"/>
      <c r="J26" s="22">
        <f t="shared" si="12"/>
        <v>0</v>
      </c>
      <c r="K26" s="22">
        <f t="shared" si="13"/>
        <v>3735924.68230539</v>
      </c>
      <c r="L26" s="28">
        <f t="shared" si="14"/>
        <v>3735924.68230539</v>
      </c>
      <c r="M26" s="266">
        <v>1</v>
      </c>
      <c r="N26" s="23"/>
    </row>
    <row r="27" spans="1:14" x14ac:dyDescent="0.2">
      <c r="A27" s="14">
        <f t="shared" si="0"/>
        <v>21</v>
      </c>
      <c r="B27" s="30" t="s">
        <v>103</v>
      </c>
      <c r="D27" s="4">
        <f>SUM(D25:D26)</f>
        <v>633512775.27266657</v>
      </c>
      <c r="E27" s="18"/>
      <c r="F27" s="25">
        <f t="shared" ref="F27:H27" si="15">SUMPRODUCT($D$25:$D$26,F25:F26)/SUM($D$25:$D$26)</f>
        <v>0</v>
      </c>
      <c r="G27" s="25">
        <f t="shared" si="15"/>
        <v>7.0554537919440621E-3</v>
      </c>
      <c r="H27" s="25">
        <f t="shared" si="15"/>
        <v>7.0554537919440621E-3</v>
      </c>
      <c r="I27" s="1"/>
      <c r="J27" s="26">
        <f>SUM(J25:J26)</f>
        <v>0</v>
      </c>
      <c r="K27" s="26">
        <f>SUM(K25:K26)</f>
        <v>4469720.1125425417</v>
      </c>
      <c r="L27" s="26">
        <f>SUM(L25:L26)</f>
        <v>4469720.1125425417</v>
      </c>
      <c r="M27" s="267">
        <v>1</v>
      </c>
      <c r="N27" s="23"/>
    </row>
    <row r="28" spans="1:14" x14ac:dyDescent="0.2">
      <c r="A28" s="14">
        <f t="shared" si="0"/>
        <v>22</v>
      </c>
      <c r="D28" s="7"/>
      <c r="E28" s="18"/>
      <c r="F28" s="27"/>
      <c r="G28" s="27"/>
      <c r="H28" s="27"/>
      <c r="J28" s="28"/>
      <c r="K28" s="28"/>
      <c r="L28" s="28"/>
      <c r="M28" s="8"/>
      <c r="N28" s="23"/>
    </row>
    <row r="29" spans="1:14" x14ac:dyDescent="0.2">
      <c r="A29" s="14">
        <f t="shared" si="0"/>
        <v>23</v>
      </c>
      <c r="B29" s="10" t="s">
        <v>104</v>
      </c>
      <c r="C29" s="270" t="s">
        <v>71</v>
      </c>
      <c r="D29" s="4">
        <f>+'Revenue Impacts Sch 95'!C26</f>
        <v>67490752.881634608</v>
      </c>
      <c r="E29" s="18"/>
      <c r="F29" s="241">
        <v>0</v>
      </c>
      <c r="G29" s="2">
        <f>'Rate Spread'!H20</f>
        <v>8.1030000000000008E-3</v>
      </c>
      <c r="H29" s="2">
        <f t="shared" ref="H29:H31" si="16">+G29-F29</f>
        <v>8.1030000000000008E-3</v>
      </c>
      <c r="I29" s="1"/>
      <c r="J29" s="26">
        <f>F29*D29</f>
        <v>0</v>
      </c>
      <c r="K29" s="26">
        <f>G29*D29</f>
        <v>546877.57059988531</v>
      </c>
      <c r="L29" s="26">
        <f>+K29-J29</f>
        <v>546877.57059988531</v>
      </c>
      <c r="M29" s="267">
        <v>1</v>
      </c>
      <c r="N29" s="23"/>
    </row>
    <row r="30" spans="1:14" x14ac:dyDescent="0.2">
      <c r="A30" s="14">
        <f t="shared" si="0"/>
        <v>24</v>
      </c>
      <c r="C30" s="270"/>
      <c r="D30" s="7"/>
      <c r="E30" s="18"/>
      <c r="F30" s="27"/>
      <c r="G30" s="27"/>
      <c r="H30" s="27"/>
      <c r="J30" s="28"/>
      <c r="K30" s="28"/>
      <c r="L30" s="28"/>
      <c r="M30" s="8"/>
      <c r="N30" s="23"/>
    </row>
    <row r="31" spans="1:14" x14ac:dyDescent="0.2">
      <c r="A31" s="14">
        <f t="shared" si="0"/>
        <v>25</v>
      </c>
      <c r="B31" s="24" t="s">
        <v>159</v>
      </c>
      <c r="C31" s="270">
        <v>5</v>
      </c>
      <c r="D31" s="4">
        <f>+'Revenue Impacts Sch 95'!C32</f>
        <v>6782580.058544145</v>
      </c>
      <c r="E31" s="18"/>
      <c r="F31" s="241">
        <v>0</v>
      </c>
      <c r="G31" s="2">
        <f>'Rate Spread'!H22</f>
        <v>7.9939999999999994E-3</v>
      </c>
      <c r="H31" s="2">
        <f t="shared" si="16"/>
        <v>7.9939999999999994E-3</v>
      </c>
      <c r="I31" s="1"/>
      <c r="J31" s="26">
        <f>F31*D31</f>
        <v>0</v>
      </c>
      <c r="K31" s="26">
        <f>G31*D31</f>
        <v>54219.944988001887</v>
      </c>
      <c r="L31" s="26">
        <f>+K31-J31</f>
        <v>54219.944988001887</v>
      </c>
      <c r="M31" s="267">
        <v>1</v>
      </c>
      <c r="N31" s="23"/>
    </row>
    <row r="32" spans="1:14" x14ac:dyDescent="0.2">
      <c r="A32" s="14">
        <f t="shared" si="0"/>
        <v>26</v>
      </c>
      <c r="D32" s="7"/>
      <c r="E32" s="18"/>
      <c r="F32" s="27"/>
      <c r="G32" s="27"/>
      <c r="H32" s="27"/>
      <c r="I32" s="1"/>
      <c r="J32" s="28"/>
      <c r="K32" s="28"/>
      <c r="L32" s="28"/>
      <c r="M32" s="8"/>
      <c r="N32" s="23"/>
    </row>
    <row r="33" spans="1:14" ht="12" thickBot="1" x14ac:dyDescent="0.25">
      <c r="A33" s="14">
        <f t="shared" si="0"/>
        <v>27</v>
      </c>
      <c r="B33" s="30" t="s">
        <v>105</v>
      </c>
      <c r="D33" s="9">
        <f>SUM(D9,D16,D22,D27,D29,D31)</f>
        <v>21186878594.863487</v>
      </c>
      <c r="E33" s="18"/>
      <c r="F33" s="31">
        <f>(+F9*$D$9+F16*$D$16+F22*$D$22+F27*$D$27+F29*$D$29+F31*$D$31)/$D$33</f>
        <v>0</v>
      </c>
      <c r="G33" s="31">
        <f>(+G9*$D$9+G16*$D$16+G22*$D$22+G27*$D$27+G29*$D$29+G31*$D$31)/$D$33</f>
        <v>7.5941741893080028E-3</v>
      </c>
      <c r="H33" s="31">
        <f>(+H9*$D$9+H16*$D$16+H22*$D$22+H27*$D$27+H29*$D$29+H31*$D$31)/$D$33</f>
        <v>7.5941741893080028E-3</v>
      </c>
      <c r="I33" s="1"/>
      <c r="J33" s="32">
        <f>SUM(J9,J16,J22,J27,J29,J31)</f>
        <v>0</v>
      </c>
      <c r="K33" s="32">
        <f t="shared" ref="K33:L33" si="17">SUM(K9,K16,K22,K27,K29,K31)</f>
        <v>160896846.57711449</v>
      </c>
      <c r="L33" s="32">
        <f t="shared" si="17"/>
        <v>160896846.57711449</v>
      </c>
      <c r="M33" s="268">
        <v>1</v>
      </c>
      <c r="N33" s="23"/>
    </row>
    <row r="34" spans="1:14" ht="12" thickTop="1" x14ac:dyDescent="0.2">
      <c r="I34" s="1"/>
      <c r="J34" s="33"/>
      <c r="K34" s="33"/>
    </row>
    <row r="35" spans="1:14" x14ac:dyDescent="0.2">
      <c r="I35" s="1"/>
    </row>
  </sheetData>
  <mergeCells count="3">
    <mergeCell ref="A1:M1"/>
    <mergeCell ref="A2:M2"/>
    <mergeCell ref="A3:M3"/>
  </mergeCells>
  <pageMargins left="0.7" right="0.7" top="0.75" bottom="0.75" header="0.3" footer="0.3"/>
  <pageSetup scale="87" fitToHeight="0" orientation="landscape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79998168889431442"/>
  </sheetPr>
  <dimension ref="A1:M52"/>
  <sheetViews>
    <sheetView workbookViewId="0">
      <pane xSplit="4" ySplit="1" topLeftCell="E2" activePane="bottomRight" state="frozen"/>
      <selection activeCell="J37" sqref="J37"/>
      <selection pane="topRight" activeCell="J37" sqref="J37"/>
      <selection pane="bottomLeft" activeCell="J37" sqref="J37"/>
      <selection pane="bottomRight" activeCell="H28" sqref="H28"/>
    </sheetView>
  </sheetViews>
  <sheetFormatPr defaultColWidth="9.140625" defaultRowHeight="11.25" x14ac:dyDescent="0.2"/>
  <cols>
    <col min="1" max="1" width="11.5703125" style="143" customWidth="1"/>
    <col min="2" max="2" width="24.85546875" style="143" customWidth="1"/>
    <col min="3" max="3" width="12.85546875" style="143" bestFit="1" customWidth="1"/>
    <col min="4" max="4" width="14.85546875" style="143" bestFit="1" customWidth="1"/>
    <col min="5" max="7" width="11.42578125" style="143" bestFit="1" customWidth="1"/>
    <col min="8" max="8" width="20.85546875" style="143" bestFit="1" customWidth="1"/>
    <col min="9" max="9" width="14" style="143" bestFit="1" customWidth="1"/>
    <col min="10" max="10" width="17.42578125" style="143" bestFit="1" customWidth="1"/>
    <col min="11" max="11" width="1.42578125" style="143" customWidth="1"/>
    <col min="12" max="12" width="13.85546875" style="143" bestFit="1" customWidth="1"/>
    <col min="13" max="16384" width="9.140625" style="143"/>
  </cols>
  <sheetData>
    <row r="1" spans="1:12" x14ac:dyDescent="0.2">
      <c r="A1" s="269" t="s">
        <v>266</v>
      </c>
      <c r="B1" s="270"/>
      <c r="C1" s="270"/>
      <c r="D1" s="270"/>
      <c r="E1" s="270"/>
      <c r="F1" s="270"/>
      <c r="G1" s="270"/>
      <c r="H1" s="270"/>
      <c r="I1" s="270"/>
      <c r="J1" s="270"/>
      <c r="K1" s="142"/>
      <c r="L1" s="142"/>
    </row>
    <row r="2" spans="1:12" x14ac:dyDescent="0.2">
      <c r="A2" s="24" t="s">
        <v>267</v>
      </c>
      <c r="B2" s="24" t="s">
        <v>268</v>
      </c>
      <c r="C2" s="270"/>
      <c r="D2" s="270"/>
      <c r="E2" s="270"/>
      <c r="F2" s="270"/>
      <c r="G2" s="270"/>
      <c r="H2" s="270"/>
      <c r="I2" s="270"/>
      <c r="J2" s="270"/>
      <c r="K2" s="142"/>
      <c r="L2" s="142"/>
    </row>
    <row r="3" spans="1:12" x14ac:dyDescent="0.2">
      <c r="A3" s="24" t="s">
        <v>269</v>
      </c>
      <c r="B3" s="24" t="s">
        <v>270</v>
      </c>
      <c r="C3" s="270"/>
      <c r="D3" s="270"/>
      <c r="E3" s="270"/>
      <c r="F3" s="270"/>
      <c r="G3" s="270"/>
      <c r="H3" s="270"/>
      <c r="I3" s="270"/>
      <c r="J3" s="270"/>
      <c r="K3" s="142"/>
      <c r="L3" s="142"/>
    </row>
    <row r="4" spans="1:12" x14ac:dyDescent="0.2">
      <c r="A4" s="24" t="s">
        <v>271</v>
      </c>
      <c r="B4" s="24" t="s">
        <v>272</v>
      </c>
      <c r="C4" s="270"/>
      <c r="D4" s="270"/>
      <c r="E4" s="270"/>
      <c r="F4" s="270"/>
      <c r="G4" s="270"/>
      <c r="H4" s="270"/>
      <c r="I4" s="270"/>
      <c r="J4" s="270"/>
      <c r="K4" s="142"/>
      <c r="L4" s="142"/>
    </row>
    <row r="5" spans="1:12" x14ac:dyDescent="0.2">
      <c r="A5" s="24" t="s">
        <v>273</v>
      </c>
      <c r="B5" s="24" t="s">
        <v>274</v>
      </c>
      <c r="C5" s="270"/>
      <c r="D5" s="270"/>
      <c r="E5" s="270"/>
      <c r="F5" s="270"/>
      <c r="G5" s="270"/>
      <c r="H5" s="270"/>
      <c r="I5" s="270"/>
      <c r="J5" s="270"/>
      <c r="K5" s="142"/>
      <c r="L5" s="142"/>
    </row>
    <row r="6" spans="1:12" x14ac:dyDescent="0.2">
      <c r="A6" s="144" t="s">
        <v>73</v>
      </c>
      <c r="B6" s="144"/>
      <c r="C6" s="144"/>
      <c r="D6" s="144"/>
      <c r="E6" s="144"/>
      <c r="F6" s="144"/>
      <c r="G6" s="144"/>
      <c r="H6" s="144"/>
      <c r="I6" s="144"/>
      <c r="J6" s="144"/>
      <c r="K6" s="142"/>
      <c r="L6" s="142"/>
    </row>
    <row r="7" spans="1:12" x14ac:dyDescent="0.2">
      <c r="A7" s="144" t="s">
        <v>275</v>
      </c>
      <c r="B7" s="144"/>
      <c r="C7" s="144"/>
      <c r="D7" s="144"/>
      <c r="E7" s="144"/>
      <c r="F7" s="144"/>
      <c r="G7" s="144"/>
      <c r="H7" s="144"/>
      <c r="I7" s="144"/>
      <c r="J7" s="144"/>
      <c r="K7" s="142"/>
      <c r="L7" s="142"/>
    </row>
    <row r="8" spans="1:12" x14ac:dyDescent="0.2">
      <c r="A8" s="136"/>
      <c r="B8" s="136"/>
      <c r="C8" s="136"/>
      <c r="D8" s="136"/>
      <c r="E8" s="136"/>
      <c r="F8" s="136"/>
      <c r="G8" s="136"/>
      <c r="H8" s="136"/>
      <c r="I8" s="144"/>
      <c r="J8" s="144"/>
      <c r="K8" s="142"/>
      <c r="L8" s="142"/>
    </row>
    <row r="9" spans="1:12" x14ac:dyDescent="0.2">
      <c r="A9" s="10"/>
      <c r="B9" s="10"/>
      <c r="C9" s="10"/>
      <c r="D9" s="10"/>
      <c r="E9" s="10"/>
      <c r="F9" s="10"/>
      <c r="G9" s="10"/>
      <c r="H9" s="10"/>
      <c r="I9" s="145"/>
      <c r="J9" s="145"/>
      <c r="K9" s="142"/>
      <c r="L9" s="142"/>
    </row>
    <row r="10" spans="1:12" ht="12" thickBot="1" x14ac:dyDescent="0.25">
      <c r="A10" s="10"/>
      <c r="B10" s="10"/>
      <c r="C10" s="10"/>
      <c r="D10" s="10"/>
      <c r="E10" s="10"/>
      <c r="F10" s="10"/>
      <c r="G10" s="10"/>
      <c r="H10" s="10"/>
      <c r="I10" s="145"/>
      <c r="J10" s="145"/>
      <c r="K10" s="142"/>
      <c r="L10" s="142"/>
    </row>
    <row r="11" spans="1:12" x14ac:dyDescent="0.2">
      <c r="A11" s="146" t="s">
        <v>30</v>
      </c>
      <c r="B11" s="340">
        <v>20569393551.043999</v>
      </c>
      <c r="C11" s="10"/>
      <c r="D11" s="10"/>
      <c r="E11" s="10"/>
      <c r="F11" s="10"/>
      <c r="G11" s="10"/>
      <c r="H11" s="147" t="s">
        <v>74</v>
      </c>
      <c r="I11" s="148"/>
      <c r="J11" s="343">
        <f>B39</f>
        <v>20752843063.656998</v>
      </c>
      <c r="K11" s="142"/>
      <c r="L11" s="142"/>
    </row>
    <row r="12" spans="1:12" x14ac:dyDescent="0.2">
      <c r="A12" s="149" t="s">
        <v>31</v>
      </c>
      <c r="B12" s="341">
        <v>0</v>
      </c>
      <c r="C12" s="10"/>
      <c r="D12" s="10"/>
      <c r="E12" s="10"/>
      <c r="F12" s="10"/>
      <c r="G12" s="10"/>
      <c r="H12" s="150" t="s">
        <v>32</v>
      </c>
      <c r="I12" s="270"/>
      <c r="J12" s="344">
        <f>D39</f>
        <v>17219744.114929199</v>
      </c>
      <c r="K12" s="142"/>
      <c r="L12" s="142"/>
    </row>
    <row r="13" spans="1:12" ht="12" thickBot="1" x14ac:dyDescent="0.25">
      <c r="A13" s="152" t="s">
        <v>33</v>
      </c>
      <c r="B13" s="342">
        <f>B11+B12</f>
        <v>20569393551.043999</v>
      </c>
      <c r="C13" s="10"/>
      <c r="D13" s="10"/>
      <c r="E13" s="10"/>
      <c r="F13" s="10"/>
      <c r="G13" s="10"/>
      <c r="H13" s="153" t="s">
        <v>75</v>
      </c>
      <c r="I13" s="154"/>
      <c r="J13" s="345">
        <f>C39</f>
        <v>20770062807.771927</v>
      </c>
      <c r="K13" s="142"/>
      <c r="L13" s="142"/>
    </row>
    <row r="14" spans="1:12" x14ac:dyDescent="0.2">
      <c r="A14" s="145"/>
      <c r="B14" s="145"/>
      <c r="C14" s="145"/>
      <c r="D14" s="145"/>
      <c r="E14" s="145"/>
      <c r="F14" s="145"/>
      <c r="G14" s="145"/>
      <c r="H14" s="10"/>
      <c r="I14" s="10"/>
      <c r="J14" s="145"/>
    </row>
    <row r="15" spans="1:12" x14ac:dyDescent="0.2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2"/>
      <c r="L15" s="142"/>
    </row>
    <row r="16" spans="1:12" ht="12" thickBot="1" x14ac:dyDescent="0.25">
      <c r="A16" s="270"/>
      <c r="B16" s="14"/>
      <c r="C16" s="270"/>
      <c r="D16" s="14"/>
      <c r="E16" s="270"/>
      <c r="F16" s="270"/>
      <c r="G16" s="270"/>
      <c r="H16" s="270"/>
      <c r="I16" s="270"/>
      <c r="J16" s="270"/>
      <c r="K16" s="142"/>
      <c r="L16" s="142"/>
    </row>
    <row r="17" spans="1:13" x14ac:dyDescent="0.2">
      <c r="A17" s="157" t="s">
        <v>34</v>
      </c>
      <c r="B17" s="158" t="s">
        <v>35</v>
      </c>
      <c r="C17" s="158" t="s">
        <v>36</v>
      </c>
      <c r="D17" s="158" t="s">
        <v>37</v>
      </c>
      <c r="E17" s="158" t="s">
        <v>38</v>
      </c>
      <c r="F17" s="158" t="s">
        <v>39</v>
      </c>
      <c r="G17" s="158" t="s">
        <v>40</v>
      </c>
      <c r="H17" s="158" t="s">
        <v>41</v>
      </c>
      <c r="I17" s="158" t="s">
        <v>42</v>
      </c>
      <c r="J17" s="159" t="s">
        <v>43</v>
      </c>
      <c r="K17" s="142"/>
      <c r="L17" s="142"/>
    </row>
    <row r="18" spans="1:13" x14ac:dyDescent="0.2">
      <c r="A18" s="160"/>
      <c r="B18" s="269"/>
      <c r="C18" s="269"/>
      <c r="D18" s="269"/>
      <c r="E18" s="269"/>
      <c r="F18" s="269" t="s">
        <v>22</v>
      </c>
      <c r="G18" s="269" t="s">
        <v>22</v>
      </c>
      <c r="H18" s="269" t="s">
        <v>22</v>
      </c>
      <c r="I18" s="269" t="s">
        <v>44</v>
      </c>
      <c r="J18" s="161" t="s">
        <v>45</v>
      </c>
      <c r="K18" s="162"/>
      <c r="L18" s="162"/>
      <c r="M18" s="162"/>
    </row>
    <row r="19" spans="1:13" x14ac:dyDescent="0.2">
      <c r="A19" s="160"/>
      <c r="B19" s="269" t="s">
        <v>46</v>
      </c>
      <c r="C19" s="269" t="s">
        <v>47</v>
      </c>
      <c r="D19" s="269" t="s">
        <v>47</v>
      </c>
      <c r="E19" s="269" t="s">
        <v>48</v>
      </c>
      <c r="F19" s="269" t="s">
        <v>44</v>
      </c>
      <c r="G19" s="269" t="s">
        <v>49</v>
      </c>
      <c r="H19" s="269" t="s">
        <v>47</v>
      </c>
      <c r="I19" s="269" t="s">
        <v>50</v>
      </c>
      <c r="J19" s="161" t="s">
        <v>51</v>
      </c>
    </row>
    <row r="20" spans="1:13" x14ac:dyDescent="0.2">
      <c r="A20" s="160" t="s">
        <v>24</v>
      </c>
      <c r="B20" s="269" t="s">
        <v>52</v>
      </c>
      <c r="C20" s="269" t="s">
        <v>46</v>
      </c>
      <c r="D20" s="269" t="s">
        <v>21</v>
      </c>
      <c r="E20" s="269" t="s">
        <v>44</v>
      </c>
      <c r="F20" s="269" t="s">
        <v>23</v>
      </c>
      <c r="G20" s="269" t="s">
        <v>53</v>
      </c>
      <c r="H20" s="269" t="s">
        <v>54</v>
      </c>
      <c r="I20" s="269" t="s">
        <v>55</v>
      </c>
      <c r="J20" s="161" t="s">
        <v>44</v>
      </c>
      <c r="K20" s="142"/>
      <c r="L20" s="142"/>
    </row>
    <row r="21" spans="1:13" x14ac:dyDescent="0.2">
      <c r="A21" s="149"/>
      <c r="B21" s="10"/>
      <c r="C21" s="269" t="s">
        <v>21</v>
      </c>
      <c r="D21" s="269" t="s">
        <v>53</v>
      </c>
      <c r="E21" s="269" t="s">
        <v>23</v>
      </c>
      <c r="F21" s="269" t="s">
        <v>56</v>
      </c>
      <c r="G21" s="269" t="s">
        <v>57</v>
      </c>
      <c r="H21" s="269" t="s">
        <v>53</v>
      </c>
      <c r="I21" s="269" t="s">
        <v>58</v>
      </c>
      <c r="J21" s="161" t="s">
        <v>58</v>
      </c>
      <c r="K21" s="142"/>
      <c r="L21" s="142"/>
    </row>
    <row r="22" spans="1:13" x14ac:dyDescent="0.2">
      <c r="A22" s="149"/>
      <c r="B22" s="10"/>
      <c r="C22" s="270"/>
      <c r="D22" s="269" t="s">
        <v>59</v>
      </c>
      <c r="E22" s="269"/>
      <c r="F22" s="10"/>
      <c r="G22" s="269"/>
      <c r="H22" s="269"/>
      <c r="I22" s="269"/>
      <c r="J22" s="161"/>
      <c r="K22" s="142"/>
      <c r="L22" s="142"/>
    </row>
    <row r="23" spans="1:13" x14ac:dyDescent="0.2">
      <c r="A23" s="163"/>
      <c r="B23" s="14" t="s">
        <v>60</v>
      </c>
      <c r="C23" s="270"/>
      <c r="D23" s="270"/>
      <c r="E23" s="270" t="s">
        <v>76</v>
      </c>
      <c r="F23" s="21" t="s">
        <v>77</v>
      </c>
      <c r="G23" s="21" t="s">
        <v>78</v>
      </c>
      <c r="H23" s="21" t="s">
        <v>79</v>
      </c>
      <c r="I23" s="270" t="s">
        <v>80</v>
      </c>
      <c r="J23" s="164" t="s">
        <v>81</v>
      </c>
      <c r="K23" s="142"/>
      <c r="L23" s="142"/>
    </row>
    <row r="24" spans="1:13" x14ac:dyDescent="0.2">
      <c r="A24" s="165" t="s">
        <v>61</v>
      </c>
      <c r="B24" s="166" t="s">
        <v>61</v>
      </c>
      <c r="C24" s="166" t="s">
        <v>61</v>
      </c>
      <c r="D24" s="166" t="s">
        <v>61</v>
      </c>
      <c r="E24" s="166" t="s">
        <v>61</v>
      </c>
      <c r="F24" s="166" t="s">
        <v>61</v>
      </c>
      <c r="G24" s="166" t="s">
        <v>61</v>
      </c>
      <c r="H24" s="166" t="s">
        <v>61</v>
      </c>
      <c r="I24" s="166" t="s">
        <v>62</v>
      </c>
      <c r="J24" s="167" t="s">
        <v>63</v>
      </c>
      <c r="K24" s="142"/>
      <c r="L24" s="142"/>
    </row>
    <row r="25" spans="1:13" x14ac:dyDescent="0.2">
      <c r="A25" s="168" t="s">
        <v>64</v>
      </c>
      <c r="B25" s="346">
        <v>11333893561.820002</v>
      </c>
      <c r="C25" s="169">
        <f>B25+D25</f>
        <v>11380868856.118776</v>
      </c>
      <c r="D25" s="346">
        <v>46975294.298774213</v>
      </c>
      <c r="E25" s="347">
        <v>8.2024710939908874E-2</v>
      </c>
      <c r="F25" s="170">
        <f>G25-D25</f>
        <v>4197427.7326346114</v>
      </c>
      <c r="G25" s="170">
        <f>D25/(1-E25)</f>
        <v>51172722.031408824</v>
      </c>
      <c r="H25" s="170">
        <f t="shared" ref="H25:H37" si="0">(G25/$G$36)*$B$9</f>
        <v>0</v>
      </c>
      <c r="I25" s="348">
        <v>11289690774.498602</v>
      </c>
      <c r="J25" s="171">
        <f t="shared" ref="J25:J37" si="1">H25+I25</f>
        <v>11289690774.498602</v>
      </c>
      <c r="K25" s="142"/>
      <c r="L25" s="142"/>
    </row>
    <row r="26" spans="1:13" x14ac:dyDescent="0.2">
      <c r="A26" s="172">
        <v>24</v>
      </c>
      <c r="B26" s="346">
        <v>2662847990.6500006</v>
      </c>
      <c r="C26" s="169">
        <f t="shared" ref="C26:C37" si="2">B26+D26</f>
        <v>2651640432.3465004</v>
      </c>
      <c r="D26" s="346">
        <v>-11207558.303500233</v>
      </c>
      <c r="E26" s="347">
        <v>8.1348349945442808E-2</v>
      </c>
      <c r="F26" s="170">
        <f t="shared" ref="F26:F37" si="3">G26-D26</f>
        <v>-992450.59305444546</v>
      </c>
      <c r="G26" s="170">
        <f t="shared" ref="G26:G37" si="4">D26/(1-E26)</f>
        <v>-12200008.896554679</v>
      </c>
      <c r="H26" s="170">
        <f t="shared" si="0"/>
        <v>0</v>
      </c>
      <c r="I26" s="348">
        <v>2650509853.8373485</v>
      </c>
      <c r="J26" s="171">
        <f t="shared" si="1"/>
        <v>2650509853.8373485</v>
      </c>
      <c r="K26" s="142"/>
      <c r="L26" s="142" t="s">
        <v>371</v>
      </c>
    </row>
    <row r="27" spans="1:13" x14ac:dyDescent="0.2">
      <c r="A27" s="172">
        <v>25</v>
      </c>
      <c r="B27" s="346">
        <v>2862860606.7139997</v>
      </c>
      <c r="C27" s="169">
        <f t="shared" si="2"/>
        <v>2852763362.9733901</v>
      </c>
      <c r="D27" s="346">
        <v>-10097243.740609409</v>
      </c>
      <c r="E27" s="347">
        <v>8.0943192109640391E-2</v>
      </c>
      <c r="F27" s="170">
        <f t="shared" si="3"/>
        <v>-889284.68061738461</v>
      </c>
      <c r="G27" s="170">
        <f t="shared" si="4"/>
        <v>-10986528.421226794</v>
      </c>
      <c r="H27" s="170">
        <f t="shared" si="0"/>
        <v>0</v>
      </c>
      <c r="I27" s="348">
        <v>2848339505.8642573</v>
      </c>
      <c r="J27" s="171">
        <f t="shared" si="1"/>
        <v>2848339505.8642573</v>
      </c>
      <c r="K27" s="142"/>
      <c r="L27" s="173">
        <f>J27/SUM(J27,J29)</f>
        <v>0.99468822661204781</v>
      </c>
    </row>
    <row r="28" spans="1:13" x14ac:dyDescent="0.2">
      <c r="A28" s="172">
        <v>26</v>
      </c>
      <c r="B28" s="346">
        <v>1760174877.8359997</v>
      </c>
      <c r="C28" s="169">
        <f t="shared" si="2"/>
        <v>1751196162.757659</v>
      </c>
      <c r="D28" s="346">
        <v>-8978715.0783408284</v>
      </c>
      <c r="E28" s="347">
        <v>8.1121123094729006E-2</v>
      </c>
      <c r="F28" s="170">
        <f t="shared" si="3"/>
        <v>-792665.35493303463</v>
      </c>
      <c r="G28" s="170">
        <f t="shared" si="4"/>
        <v>-9771380.433273863</v>
      </c>
      <c r="H28" s="170">
        <f t="shared" si="0"/>
        <v>0</v>
      </c>
      <c r="I28" s="348">
        <v>1761654196.4658761</v>
      </c>
      <c r="J28" s="171">
        <f t="shared" si="1"/>
        <v>1761654196.4658761</v>
      </c>
      <c r="K28" s="142"/>
      <c r="L28" s="173"/>
    </row>
    <row r="29" spans="1:13" x14ac:dyDescent="0.2">
      <c r="A29" s="172">
        <v>29</v>
      </c>
      <c r="B29" s="346">
        <v>15293727.311000001</v>
      </c>
      <c r="C29" s="169">
        <f t="shared" si="2"/>
        <v>15293727.311000001</v>
      </c>
      <c r="D29" s="346">
        <v>0</v>
      </c>
      <c r="E29" s="347">
        <v>8.0603270012171546E-2</v>
      </c>
      <c r="F29" s="170">
        <f t="shared" si="3"/>
        <v>0</v>
      </c>
      <c r="G29" s="170">
        <f t="shared" si="4"/>
        <v>0</v>
      </c>
      <c r="H29" s="170">
        <f t="shared" si="0"/>
        <v>0</v>
      </c>
      <c r="I29" s="348">
        <v>15210528.869569011</v>
      </c>
      <c r="J29" s="171">
        <f t="shared" si="1"/>
        <v>15210528.869569011</v>
      </c>
      <c r="K29" s="142"/>
      <c r="L29" s="173">
        <f>J29/SUM(J27,J29)</f>
        <v>5.3117733879522958E-3</v>
      </c>
    </row>
    <row r="30" spans="1:13" ht="12" thickBot="1" x14ac:dyDescent="0.25">
      <c r="A30" s="168">
        <v>31</v>
      </c>
      <c r="B30" s="346">
        <v>1309927368.9960001</v>
      </c>
      <c r="C30" s="169">
        <f t="shared" si="2"/>
        <v>1308355531.0196364</v>
      </c>
      <c r="D30" s="346">
        <v>-1571837.9763636824</v>
      </c>
      <c r="E30" s="347">
        <v>3.788843849660907E-2</v>
      </c>
      <c r="F30" s="170">
        <f t="shared" si="3"/>
        <v>-61899.772206281545</v>
      </c>
      <c r="G30" s="170">
        <f t="shared" si="4"/>
        <v>-1633737.748569964</v>
      </c>
      <c r="H30" s="170">
        <f t="shared" si="0"/>
        <v>0</v>
      </c>
      <c r="I30" s="348">
        <v>1244960837.6746433</v>
      </c>
      <c r="J30" s="171">
        <f t="shared" si="1"/>
        <v>1244960837.6746433</v>
      </c>
      <c r="K30" s="142"/>
      <c r="L30" s="174">
        <f>SUM(L27:L29)</f>
        <v>1</v>
      </c>
    </row>
    <row r="31" spans="1:13" ht="12" thickTop="1" x14ac:dyDescent="0.2">
      <c r="A31" s="168">
        <v>35</v>
      </c>
      <c r="B31" s="346">
        <v>4387644</v>
      </c>
      <c r="C31" s="169">
        <f t="shared" si="2"/>
        <v>4387644</v>
      </c>
      <c r="D31" s="346">
        <v>0</v>
      </c>
      <c r="E31" s="347">
        <v>3.7075057733289091E-2</v>
      </c>
      <c r="F31" s="170">
        <f t="shared" si="3"/>
        <v>0</v>
      </c>
      <c r="G31" s="170">
        <f t="shared" si="4"/>
        <v>0</v>
      </c>
      <c r="H31" s="170">
        <f t="shared" si="0"/>
        <v>0</v>
      </c>
      <c r="I31" s="348">
        <v>4166514.0850937385</v>
      </c>
      <c r="J31" s="171">
        <f t="shared" si="1"/>
        <v>4166514.0850937385</v>
      </c>
      <c r="K31" s="142"/>
      <c r="L31" s="142"/>
    </row>
    <row r="32" spans="1:13" x14ac:dyDescent="0.2">
      <c r="A32" s="168">
        <v>40</v>
      </c>
      <c r="B32" s="346">
        <v>-1.3999999985098839</v>
      </c>
      <c r="C32" s="169"/>
      <c r="D32" s="346">
        <v>0</v>
      </c>
      <c r="E32" s="347">
        <v>0</v>
      </c>
      <c r="F32" s="170"/>
      <c r="G32" s="170"/>
      <c r="H32" s="170"/>
      <c r="I32" s="348">
        <v>0</v>
      </c>
      <c r="J32" s="171"/>
      <c r="K32" s="142"/>
      <c r="L32" s="142"/>
    </row>
    <row r="33" spans="1:13" x14ac:dyDescent="0.2">
      <c r="A33" s="172">
        <v>43</v>
      </c>
      <c r="B33" s="346">
        <v>112161995.85999998</v>
      </c>
      <c r="C33" s="169">
        <f t="shared" si="2"/>
        <v>114187892.12300478</v>
      </c>
      <c r="D33" s="346">
        <v>2025896.2630047973</v>
      </c>
      <c r="E33" s="347">
        <v>3.7475762723633239E-2</v>
      </c>
      <c r="F33" s="170">
        <f t="shared" si="3"/>
        <v>78878.021679639118</v>
      </c>
      <c r="G33" s="170">
        <f t="shared" si="4"/>
        <v>2104774.2846844364</v>
      </c>
      <c r="H33" s="170">
        <f t="shared" si="0"/>
        <v>0</v>
      </c>
      <c r="I33" s="348">
        <v>106553558.62246363</v>
      </c>
      <c r="J33" s="171">
        <f t="shared" si="1"/>
        <v>106553558.62246363</v>
      </c>
    </row>
    <row r="34" spans="1:13" x14ac:dyDescent="0.2">
      <c r="A34" s="172">
        <v>46</v>
      </c>
      <c r="B34" s="346">
        <v>100810050.162</v>
      </c>
      <c r="C34" s="169">
        <f t="shared" si="2"/>
        <v>100810050.162</v>
      </c>
      <c r="D34" s="346">
        <v>0</v>
      </c>
      <c r="E34" s="347">
        <v>1.73852288627847E-2</v>
      </c>
      <c r="F34" s="170">
        <f t="shared" si="3"/>
        <v>0</v>
      </c>
      <c r="G34" s="170">
        <f t="shared" si="4"/>
        <v>0</v>
      </c>
      <c r="H34" s="170">
        <f t="shared" si="0"/>
        <v>0</v>
      </c>
      <c r="I34" s="348">
        <v>93811148.646427751</v>
      </c>
      <c r="J34" s="171">
        <f t="shared" si="1"/>
        <v>93811148.646427751</v>
      </c>
      <c r="L34" s="173">
        <f>J34/SUM(J34:J35)</f>
        <v>0.16416449413585385</v>
      </c>
    </row>
    <row r="35" spans="1:13" x14ac:dyDescent="0.2">
      <c r="A35" s="172">
        <v>49</v>
      </c>
      <c r="B35" s="346">
        <v>513293734.70800006</v>
      </c>
      <c r="C35" s="169">
        <f t="shared" si="2"/>
        <v>513293734.70800006</v>
      </c>
      <c r="D35" s="346">
        <v>0</v>
      </c>
      <c r="E35" s="347">
        <v>1.7338737462975269E-2</v>
      </c>
      <c r="F35" s="170">
        <f t="shared" si="3"/>
        <v>0</v>
      </c>
      <c r="G35" s="170">
        <f t="shared" si="4"/>
        <v>0</v>
      </c>
      <c r="H35" s="170">
        <f t="shared" si="0"/>
        <v>0</v>
      </c>
      <c r="I35" s="348">
        <v>477634882.60558343</v>
      </c>
      <c r="J35" s="171">
        <f t="shared" si="1"/>
        <v>477634882.60558343</v>
      </c>
      <c r="K35" s="142"/>
      <c r="L35" s="173">
        <f>J35/SUM(J34:J35)</f>
        <v>0.83583550586414612</v>
      </c>
    </row>
    <row r="36" spans="1:13" ht="12" thickBot="1" x14ac:dyDescent="0.25">
      <c r="A36" s="172" t="s">
        <v>65</v>
      </c>
      <c r="B36" s="346">
        <v>7298620</v>
      </c>
      <c r="C36" s="169">
        <f t="shared" si="2"/>
        <v>7372527.2519573001</v>
      </c>
      <c r="D36" s="346">
        <v>73907.251957299784</v>
      </c>
      <c r="E36" s="347">
        <v>3.8409510307216045E-2</v>
      </c>
      <c r="F36" s="170">
        <f t="shared" si="3"/>
        <v>2952.1312723661249</v>
      </c>
      <c r="G36" s="170">
        <f t="shared" si="4"/>
        <v>76859.383229665909</v>
      </c>
      <c r="H36" s="170">
        <f t="shared" si="0"/>
        <v>0</v>
      </c>
      <c r="I36" s="348">
        <v>6940399.9973075157</v>
      </c>
      <c r="J36" s="171">
        <f t="shared" si="1"/>
        <v>6940399.9973075157</v>
      </c>
      <c r="K36" s="162"/>
      <c r="L36" s="174">
        <f>SUM(L34:L35)</f>
        <v>1</v>
      </c>
    </row>
    <row r="37" spans="1:13" ht="12" thickTop="1" x14ac:dyDescent="0.2">
      <c r="A37" s="168" t="s">
        <v>66</v>
      </c>
      <c r="B37" s="346">
        <v>69892887</v>
      </c>
      <c r="C37" s="169">
        <f t="shared" si="2"/>
        <v>69892887</v>
      </c>
      <c r="D37" s="346">
        <v>0</v>
      </c>
      <c r="E37" s="347">
        <v>8.5977138420629665E-2</v>
      </c>
      <c r="F37" s="170">
        <f t="shared" si="3"/>
        <v>0</v>
      </c>
      <c r="G37" s="170">
        <f t="shared" si="4"/>
        <v>0</v>
      </c>
      <c r="H37" s="170">
        <f t="shared" si="0"/>
        <v>0</v>
      </c>
      <c r="I37" s="348">
        <v>69921349.876824558</v>
      </c>
      <c r="J37" s="171">
        <f t="shared" si="1"/>
        <v>69921349.876824558</v>
      </c>
      <c r="K37" s="142"/>
      <c r="L37" s="142"/>
    </row>
    <row r="38" spans="1:13" x14ac:dyDescent="0.2">
      <c r="A38" s="165" t="s">
        <v>61</v>
      </c>
      <c r="B38" s="166" t="s">
        <v>61</v>
      </c>
      <c r="C38" s="166" t="s">
        <v>61</v>
      </c>
      <c r="D38" s="166" t="s">
        <v>61</v>
      </c>
      <c r="E38" s="166" t="s">
        <v>61</v>
      </c>
      <c r="F38" s="166" t="s">
        <v>61</v>
      </c>
      <c r="G38" s="166" t="s">
        <v>61</v>
      </c>
      <c r="H38" s="166" t="s">
        <v>61</v>
      </c>
      <c r="I38" s="166" t="s">
        <v>62</v>
      </c>
      <c r="J38" s="167" t="s">
        <v>63</v>
      </c>
      <c r="K38" s="142"/>
      <c r="L38" s="142"/>
    </row>
    <row r="39" spans="1:13" x14ac:dyDescent="0.2">
      <c r="A39" s="163" t="s">
        <v>10</v>
      </c>
      <c r="B39" s="175">
        <f>SUM(B25:B37)</f>
        <v>20752843063.656998</v>
      </c>
      <c r="C39" s="175">
        <f>SUM(C25:C37)</f>
        <v>20770062807.771927</v>
      </c>
      <c r="D39" s="175">
        <f>C39-B39</f>
        <v>17219744.114929199</v>
      </c>
      <c r="E39" s="175"/>
      <c r="F39" s="175">
        <f>SUM(F25:F37)</f>
        <v>1542957.4847754703</v>
      </c>
      <c r="G39" s="175">
        <f>SUM(G25:G37)</f>
        <v>18762700.199697629</v>
      </c>
      <c r="H39" s="175">
        <f>B12</f>
        <v>0</v>
      </c>
      <c r="I39" s="176">
        <f>SUM(I25:I37)</f>
        <v>20569393551.043995</v>
      </c>
      <c r="J39" s="151">
        <f>SUM(J25:J37)</f>
        <v>20569393551.043995</v>
      </c>
      <c r="K39" s="162"/>
      <c r="L39" s="162"/>
      <c r="M39" s="162"/>
    </row>
    <row r="40" spans="1:13" ht="12" thickBot="1" x14ac:dyDescent="0.25">
      <c r="A40" s="177"/>
      <c r="B40" s="154"/>
      <c r="C40" s="154"/>
      <c r="D40" s="178"/>
      <c r="E40" s="154"/>
      <c r="F40" s="154"/>
      <c r="G40" s="154"/>
      <c r="H40" s="178"/>
      <c r="I40" s="154"/>
      <c r="J40" s="179"/>
    </row>
    <row r="41" spans="1:13" x14ac:dyDescent="0.2">
      <c r="A41" s="270"/>
      <c r="B41" s="270"/>
      <c r="C41" s="270"/>
      <c r="D41" s="270"/>
      <c r="E41" s="270"/>
      <c r="F41" s="270"/>
      <c r="G41" s="270"/>
      <c r="H41" s="270"/>
      <c r="I41" s="270"/>
      <c r="J41" s="270"/>
      <c r="K41" s="142"/>
      <c r="L41" s="142"/>
    </row>
    <row r="42" spans="1:13" x14ac:dyDescent="0.2">
      <c r="A42" s="270"/>
      <c r="B42" s="270"/>
      <c r="C42" s="270"/>
      <c r="D42" s="270"/>
      <c r="E42" s="270"/>
      <c r="F42" s="270"/>
      <c r="G42" s="270"/>
      <c r="H42" s="270"/>
      <c r="I42" s="270"/>
      <c r="J42" s="270"/>
      <c r="K42" s="162"/>
      <c r="L42" s="162"/>
      <c r="M42" s="162"/>
    </row>
    <row r="43" spans="1:13" ht="12" thickBot="1" x14ac:dyDescent="0.25">
      <c r="A43" s="180" t="s">
        <v>67</v>
      </c>
      <c r="B43" s="270"/>
      <c r="C43" s="270"/>
      <c r="D43" s="270"/>
      <c r="E43" s="270"/>
      <c r="F43" s="270"/>
      <c r="G43" s="270"/>
      <c r="H43" s="270"/>
      <c r="I43" s="270"/>
      <c r="J43" s="270"/>
    </row>
    <row r="44" spans="1:13" x14ac:dyDescent="0.2">
      <c r="A44" s="181">
        <v>459</v>
      </c>
      <c r="B44" s="349">
        <v>295459725</v>
      </c>
      <c r="C44" s="182">
        <f>B44+D44</f>
        <v>295459725</v>
      </c>
      <c r="D44" s="349">
        <v>0</v>
      </c>
      <c r="E44" s="347">
        <v>1.7090635461895796E-2</v>
      </c>
      <c r="F44" s="183">
        <f t="shared" ref="F44:F47" si="5">D44*E44</f>
        <v>0</v>
      </c>
      <c r="G44" s="183">
        <f>D44+F44</f>
        <v>0</v>
      </c>
      <c r="H44" s="183">
        <f>G44</f>
        <v>0</v>
      </c>
      <c r="I44" s="348">
        <v>300597120.8127054</v>
      </c>
      <c r="J44" s="184">
        <f>H44+I44</f>
        <v>300597120.8127054</v>
      </c>
    </row>
    <row r="45" spans="1:13" x14ac:dyDescent="0.2">
      <c r="A45" s="172" t="s">
        <v>26</v>
      </c>
      <c r="B45" s="346">
        <v>1629551277</v>
      </c>
      <c r="C45" s="169">
        <f t="shared" ref="C45" si="6">B45+D45</f>
        <v>1629551277</v>
      </c>
      <c r="D45" s="346">
        <v>0</v>
      </c>
      <c r="E45" s="347">
        <v>1.6815591542711214E-2</v>
      </c>
      <c r="F45" s="170">
        <f t="shared" si="5"/>
        <v>0</v>
      </c>
      <c r="G45" s="170">
        <f>D45+F45</f>
        <v>0</v>
      </c>
      <c r="H45" s="185">
        <f t="shared" ref="H45:H47" si="7">G45</f>
        <v>0</v>
      </c>
      <c r="I45" s="348">
        <v>1657421805.0883489</v>
      </c>
      <c r="J45" s="171">
        <f t="shared" ref="J45:J47" si="8">H45+I45</f>
        <v>1657421805.0883489</v>
      </c>
    </row>
    <row r="46" spans="1:13" x14ac:dyDescent="0.2">
      <c r="A46" s="172" t="s">
        <v>25</v>
      </c>
      <c r="B46" s="346">
        <v>20203165</v>
      </c>
      <c r="C46" s="169">
        <f>B46+D46</f>
        <v>20203165</v>
      </c>
      <c r="D46" s="346">
        <v>0</v>
      </c>
      <c r="E46" s="347">
        <v>3.1507296400067095E-2</v>
      </c>
      <c r="F46" s="170">
        <f t="shared" si="5"/>
        <v>0</v>
      </c>
      <c r="G46" s="170">
        <f>D46+F46</f>
        <v>0</v>
      </c>
      <c r="H46" s="185">
        <f t="shared" si="7"/>
        <v>0</v>
      </c>
      <c r="I46" s="348">
        <v>20860420.450152993</v>
      </c>
      <c r="J46" s="171">
        <f t="shared" si="8"/>
        <v>20860420.450152993</v>
      </c>
    </row>
    <row r="47" spans="1:13" x14ac:dyDescent="0.2">
      <c r="A47" s="163" t="s">
        <v>29</v>
      </c>
      <c r="B47" s="346">
        <v>278070311</v>
      </c>
      <c r="C47" s="350">
        <f>B47+D47</f>
        <v>278070311</v>
      </c>
      <c r="D47" s="169">
        <v>0</v>
      </c>
      <c r="E47" s="347">
        <v>2.7551109226082993E-2</v>
      </c>
      <c r="F47" s="170">
        <f t="shared" si="5"/>
        <v>0</v>
      </c>
      <c r="G47" s="170">
        <f>D47+F47</f>
        <v>0</v>
      </c>
      <c r="H47" s="185">
        <f t="shared" si="7"/>
        <v>0</v>
      </c>
      <c r="I47" s="348">
        <v>285948509.62162089</v>
      </c>
      <c r="J47" s="171">
        <f t="shared" si="8"/>
        <v>285948509.62162089</v>
      </c>
    </row>
    <row r="48" spans="1:13" x14ac:dyDescent="0.2">
      <c r="A48" s="186" t="s">
        <v>61</v>
      </c>
      <c r="B48" s="351" t="s">
        <v>61</v>
      </c>
      <c r="C48" s="351" t="s">
        <v>61</v>
      </c>
      <c r="D48" s="351" t="s">
        <v>61</v>
      </c>
      <c r="E48" s="351" t="s">
        <v>61</v>
      </c>
      <c r="F48" s="351" t="s">
        <v>61</v>
      </c>
      <c r="G48" s="351" t="s">
        <v>61</v>
      </c>
      <c r="H48" s="351" t="s">
        <v>61</v>
      </c>
      <c r="I48" s="351" t="s">
        <v>61</v>
      </c>
      <c r="J48" s="164" t="s">
        <v>61</v>
      </c>
    </row>
    <row r="49" spans="1:10" x14ac:dyDescent="0.2">
      <c r="A49" s="163" t="s">
        <v>68</v>
      </c>
      <c r="B49" s="352">
        <f>SUM(B44:B47)</f>
        <v>2223284478</v>
      </c>
      <c r="C49" s="352">
        <f>SUM(C44:C47)</f>
        <v>2223284478</v>
      </c>
      <c r="D49" s="352">
        <f>C49-B49</f>
        <v>0</v>
      </c>
      <c r="E49" s="352"/>
      <c r="F49" s="352">
        <f>SUM(F44:F47)</f>
        <v>0</v>
      </c>
      <c r="G49" s="352">
        <f t="shared" ref="G49:H49" si="9">SUM(G44:G47)</f>
        <v>0</v>
      </c>
      <c r="H49" s="352">
        <f t="shared" si="9"/>
        <v>0</v>
      </c>
      <c r="I49" s="353">
        <f>SUM(I44:I47)</f>
        <v>2264827855.9728279</v>
      </c>
      <c r="J49" s="187">
        <f>SUM(J44:J47)</f>
        <v>2264827855.9728279</v>
      </c>
    </row>
    <row r="50" spans="1:10" ht="12" thickBot="1" x14ac:dyDescent="0.25">
      <c r="A50" s="177"/>
      <c r="B50" s="188"/>
      <c r="C50" s="188"/>
      <c r="D50" s="188"/>
      <c r="E50" s="188"/>
      <c r="F50" s="188"/>
      <c r="G50" s="188"/>
      <c r="H50" s="188"/>
      <c r="I50" s="189"/>
      <c r="J50" s="155"/>
    </row>
    <row r="51" spans="1:10" x14ac:dyDescent="0.2">
      <c r="A51" s="270"/>
      <c r="B51" s="175"/>
      <c r="C51" s="175"/>
      <c r="D51" s="175"/>
      <c r="E51" s="175"/>
      <c r="F51" s="175"/>
      <c r="G51" s="175"/>
      <c r="H51" s="175"/>
      <c r="I51" s="176"/>
      <c r="J51" s="175"/>
    </row>
    <row r="52" spans="1:10" x14ac:dyDescent="0.2">
      <c r="A52" s="180" t="s">
        <v>276</v>
      </c>
      <c r="B52" s="175"/>
      <c r="C52" s="175"/>
      <c r="D52" s="175"/>
      <c r="E52" s="175"/>
      <c r="F52" s="175"/>
      <c r="G52" s="175"/>
      <c r="H52" s="175"/>
      <c r="I52" s="176"/>
      <c r="J52" s="175">
        <f>SUM(J49,J39)</f>
        <v>22834221407.016823</v>
      </c>
    </row>
  </sheetData>
  <pageMargins left="0.75" right="0.75" top="1" bottom="1" header="0.5" footer="0.5"/>
  <pageSetup orientation="portrait" horizontalDpi="360" verticalDpi="360" r:id="rId1"/>
  <headerFooter alignWithMargins="0"/>
  <customProperties>
    <customPr name="_pios_id" r:id="rId2"/>
  </customProperties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79998168889431442"/>
    <pageSetUpPr fitToPage="1"/>
  </sheetPr>
  <dimension ref="A1:R33"/>
  <sheetViews>
    <sheetView showGridLines="0" zoomScaleNormal="100" workbookViewId="0">
      <pane ySplit="6" topLeftCell="A7" activePane="bottomLeft" state="frozen"/>
      <selection activeCell="J37" sqref="J37"/>
      <selection pane="bottomLeft" activeCell="E33" sqref="E33"/>
    </sheetView>
  </sheetViews>
  <sheetFormatPr defaultRowHeight="11.25" customHeight="1" x14ac:dyDescent="0.2"/>
  <cols>
    <col min="1" max="1" width="7.42578125" style="143" bestFit="1" customWidth="1"/>
    <col min="2" max="2" width="59.85546875" style="143" bestFit="1" customWidth="1"/>
    <col min="3" max="3" width="13.42578125" style="143" bestFit="1" customWidth="1"/>
    <col min="4" max="4" width="0.85546875" style="143" customWidth="1"/>
    <col min="5" max="5" width="36.42578125" style="143" bestFit="1" customWidth="1"/>
    <col min="6" max="6" width="13.42578125" style="143" customWidth="1"/>
    <col min="7" max="7" width="13.5703125" style="143" customWidth="1"/>
    <col min="8" max="9" width="16.42578125" style="143" customWidth="1"/>
    <col min="10" max="10" width="12.85546875" style="143" customWidth="1"/>
    <col min="11" max="11" width="11.5703125" style="143" customWidth="1"/>
    <col min="12" max="13" width="11" style="143" customWidth="1"/>
    <col min="14" max="14" width="11.140625" style="143" customWidth="1"/>
    <col min="15" max="15" width="11.85546875" style="143" bestFit="1" customWidth="1"/>
    <col min="16" max="16" width="10.42578125" style="143" bestFit="1" customWidth="1"/>
    <col min="17" max="17" width="13.85546875" style="143" bestFit="1" customWidth="1"/>
    <col min="18" max="18" width="12.85546875" style="143" bestFit="1" customWidth="1"/>
    <col min="19" max="255" width="9.140625" style="143"/>
    <col min="256" max="256" width="5.42578125" style="143" customWidth="1"/>
    <col min="257" max="257" width="37.42578125" style="143" bestFit="1" customWidth="1"/>
    <col min="258" max="258" width="15.42578125" style="143" customWidth="1"/>
    <col min="259" max="259" width="3.42578125" style="143" customWidth="1"/>
    <col min="260" max="262" width="15.42578125" style="143" customWidth="1"/>
    <col min="263" max="263" width="14" style="143" customWidth="1"/>
    <col min="264" max="264" width="14.42578125" style="143" customWidth="1"/>
    <col min="265" max="265" width="11.85546875" style="143" customWidth="1"/>
    <col min="266" max="266" width="14.42578125" style="143" customWidth="1"/>
    <col min="267" max="267" width="12.42578125" style="143" customWidth="1"/>
    <col min="268" max="270" width="15.42578125" style="143" customWidth="1"/>
    <col min="271" max="271" width="12.42578125" style="143" customWidth="1"/>
    <col min="272" max="272" width="15.42578125" style="143" customWidth="1"/>
    <col min="273" max="511" width="9.140625" style="143"/>
    <col min="512" max="512" width="5.42578125" style="143" customWidth="1"/>
    <col min="513" max="513" width="37.42578125" style="143" bestFit="1" customWidth="1"/>
    <col min="514" max="514" width="15.42578125" style="143" customWidth="1"/>
    <col min="515" max="515" width="3.42578125" style="143" customWidth="1"/>
    <col min="516" max="518" width="15.42578125" style="143" customWidth="1"/>
    <col min="519" max="519" width="14" style="143" customWidth="1"/>
    <col min="520" max="520" width="14.42578125" style="143" customWidth="1"/>
    <col min="521" max="521" width="11.85546875" style="143" customWidth="1"/>
    <col min="522" max="522" width="14.42578125" style="143" customWidth="1"/>
    <col min="523" max="523" width="12.42578125" style="143" customWidth="1"/>
    <col min="524" max="526" width="15.42578125" style="143" customWidth="1"/>
    <col min="527" max="527" width="12.42578125" style="143" customWidth="1"/>
    <col min="528" max="528" width="15.42578125" style="143" customWidth="1"/>
    <col min="529" max="767" width="9.140625" style="143"/>
    <col min="768" max="768" width="5.42578125" style="143" customWidth="1"/>
    <col min="769" max="769" width="37.42578125" style="143" bestFit="1" customWidth="1"/>
    <col min="770" max="770" width="15.42578125" style="143" customWidth="1"/>
    <col min="771" max="771" width="3.42578125" style="143" customWidth="1"/>
    <col min="772" max="774" width="15.42578125" style="143" customWidth="1"/>
    <col min="775" max="775" width="14" style="143" customWidth="1"/>
    <col min="776" max="776" width="14.42578125" style="143" customWidth="1"/>
    <col min="777" max="777" width="11.85546875" style="143" customWidth="1"/>
    <col min="778" max="778" width="14.42578125" style="143" customWidth="1"/>
    <col min="779" max="779" width="12.42578125" style="143" customWidth="1"/>
    <col min="780" max="782" width="15.42578125" style="143" customWidth="1"/>
    <col min="783" max="783" width="12.42578125" style="143" customWidth="1"/>
    <col min="784" max="784" width="15.42578125" style="143" customWidth="1"/>
    <col min="785" max="1023" width="9.140625" style="143"/>
    <col min="1024" max="1024" width="5.42578125" style="143" customWidth="1"/>
    <col min="1025" max="1025" width="37.42578125" style="143" bestFit="1" customWidth="1"/>
    <col min="1026" max="1026" width="15.42578125" style="143" customWidth="1"/>
    <col min="1027" max="1027" width="3.42578125" style="143" customWidth="1"/>
    <col min="1028" max="1030" width="15.42578125" style="143" customWidth="1"/>
    <col min="1031" max="1031" width="14" style="143" customWidth="1"/>
    <col min="1032" max="1032" width="14.42578125" style="143" customWidth="1"/>
    <col min="1033" max="1033" width="11.85546875" style="143" customWidth="1"/>
    <col min="1034" max="1034" width="14.42578125" style="143" customWidth="1"/>
    <col min="1035" max="1035" width="12.42578125" style="143" customWidth="1"/>
    <col min="1036" max="1038" width="15.42578125" style="143" customWidth="1"/>
    <col min="1039" max="1039" width="12.42578125" style="143" customWidth="1"/>
    <col min="1040" max="1040" width="15.42578125" style="143" customWidth="1"/>
    <col min="1041" max="1279" width="9.140625" style="143"/>
    <col min="1280" max="1280" width="5.42578125" style="143" customWidth="1"/>
    <col min="1281" max="1281" width="37.42578125" style="143" bestFit="1" customWidth="1"/>
    <col min="1282" max="1282" width="15.42578125" style="143" customWidth="1"/>
    <col min="1283" max="1283" width="3.42578125" style="143" customWidth="1"/>
    <col min="1284" max="1286" width="15.42578125" style="143" customWidth="1"/>
    <col min="1287" max="1287" width="14" style="143" customWidth="1"/>
    <col min="1288" max="1288" width="14.42578125" style="143" customWidth="1"/>
    <col min="1289" max="1289" width="11.85546875" style="143" customWidth="1"/>
    <col min="1290" max="1290" width="14.42578125" style="143" customWidth="1"/>
    <col min="1291" max="1291" width="12.42578125" style="143" customWidth="1"/>
    <col min="1292" max="1294" width="15.42578125" style="143" customWidth="1"/>
    <col min="1295" max="1295" width="12.42578125" style="143" customWidth="1"/>
    <col min="1296" max="1296" width="15.42578125" style="143" customWidth="1"/>
    <col min="1297" max="1535" width="9.140625" style="143"/>
    <col min="1536" max="1536" width="5.42578125" style="143" customWidth="1"/>
    <col min="1537" max="1537" width="37.42578125" style="143" bestFit="1" customWidth="1"/>
    <col min="1538" max="1538" width="15.42578125" style="143" customWidth="1"/>
    <col min="1539" max="1539" width="3.42578125" style="143" customWidth="1"/>
    <col min="1540" max="1542" width="15.42578125" style="143" customWidth="1"/>
    <col min="1543" max="1543" width="14" style="143" customWidth="1"/>
    <col min="1544" max="1544" width="14.42578125" style="143" customWidth="1"/>
    <col min="1545" max="1545" width="11.85546875" style="143" customWidth="1"/>
    <col min="1546" max="1546" width="14.42578125" style="143" customWidth="1"/>
    <col min="1547" max="1547" width="12.42578125" style="143" customWidth="1"/>
    <col min="1548" max="1550" width="15.42578125" style="143" customWidth="1"/>
    <col min="1551" max="1551" width="12.42578125" style="143" customWidth="1"/>
    <col min="1552" max="1552" width="15.42578125" style="143" customWidth="1"/>
    <col min="1553" max="1791" width="9.140625" style="143"/>
    <col min="1792" max="1792" width="5.42578125" style="143" customWidth="1"/>
    <col min="1793" max="1793" width="37.42578125" style="143" bestFit="1" customWidth="1"/>
    <col min="1794" max="1794" width="15.42578125" style="143" customWidth="1"/>
    <col min="1795" max="1795" width="3.42578125" style="143" customWidth="1"/>
    <col min="1796" max="1798" width="15.42578125" style="143" customWidth="1"/>
    <col min="1799" max="1799" width="14" style="143" customWidth="1"/>
    <col min="1800" max="1800" width="14.42578125" style="143" customWidth="1"/>
    <col min="1801" max="1801" width="11.85546875" style="143" customWidth="1"/>
    <col min="1802" max="1802" width="14.42578125" style="143" customWidth="1"/>
    <col min="1803" max="1803" width="12.42578125" style="143" customWidth="1"/>
    <col min="1804" max="1806" width="15.42578125" style="143" customWidth="1"/>
    <col min="1807" max="1807" width="12.42578125" style="143" customWidth="1"/>
    <col min="1808" max="1808" width="15.42578125" style="143" customWidth="1"/>
    <col min="1809" max="2047" width="9.140625" style="143"/>
    <col min="2048" max="2048" width="5.42578125" style="143" customWidth="1"/>
    <col min="2049" max="2049" width="37.42578125" style="143" bestFit="1" customWidth="1"/>
    <col min="2050" max="2050" width="15.42578125" style="143" customWidth="1"/>
    <col min="2051" max="2051" width="3.42578125" style="143" customWidth="1"/>
    <col min="2052" max="2054" width="15.42578125" style="143" customWidth="1"/>
    <col min="2055" max="2055" width="14" style="143" customWidth="1"/>
    <col min="2056" max="2056" width="14.42578125" style="143" customWidth="1"/>
    <col min="2057" max="2057" width="11.85546875" style="143" customWidth="1"/>
    <col min="2058" max="2058" width="14.42578125" style="143" customWidth="1"/>
    <col min="2059" max="2059" width="12.42578125" style="143" customWidth="1"/>
    <col min="2060" max="2062" width="15.42578125" style="143" customWidth="1"/>
    <col min="2063" max="2063" width="12.42578125" style="143" customWidth="1"/>
    <col min="2064" max="2064" width="15.42578125" style="143" customWidth="1"/>
    <col min="2065" max="2303" width="9.140625" style="143"/>
    <col min="2304" max="2304" width="5.42578125" style="143" customWidth="1"/>
    <col min="2305" max="2305" width="37.42578125" style="143" bestFit="1" customWidth="1"/>
    <col min="2306" max="2306" width="15.42578125" style="143" customWidth="1"/>
    <col min="2307" max="2307" width="3.42578125" style="143" customWidth="1"/>
    <col min="2308" max="2310" width="15.42578125" style="143" customWidth="1"/>
    <col min="2311" max="2311" width="14" style="143" customWidth="1"/>
    <col min="2312" max="2312" width="14.42578125" style="143" customWidth="1"/>
    <col min="2313" max="2313" width="11.85546875" style="143" customWidth="1"/>
    <col min="2314" max="2314" width="14.42578125" style="143" customWidth="1"/>
    <col min="2315" max="2315" width="12.42578125" style="143" customWidth="1"/>
    <col min="2316" max="2318" width="15.42578125" style="143" customWidth="1"/>
    <col min="2319" max="2319" width="12.42578125" style="143" customWidth="1"/>
    <col min="2320" max="2320" width="15.42578125" style="143" customWidth="1"/>
    <col min="2321" max="2559" width="9.140625" style="143"/>
    <col min="2560" max="2560" width="5.42578125" style="143" customWidth="1"/>
    <col min="2561" max="2561" width="37.42578125" style="143" bestFit="1" customWidth="1"/>
    <col min="2562" max="2562" width="15.42578125" style="143" customWidth="1"/>
    <col min="2563" max="2563" width="3.42578125" style="143" customWidth="1"/>
    <col min="2564" max="2566" width="15.42578125" style="143" customWidth="1"/>
    <col min="2567" max="2567" width="14" style="143" customWidth="1"/>
    <col min="2568" max="2568" width="14.42578125" style="143" customWidth="1"/>
    <col min="2569" max="2569" width="11.85546875" style="143" customWidth="1"/>
    <col min="2570" max="2570" width="14.42578125" style="143" customWidth="1"/>
    <col min="2571" max="2571" width="12.42578125" style="143" customWidth="1"/>
    <col min="2572" max="2574" width="15.42578125" style="143" customWidth="1"/>
    <col min="2575" max="2575" width="12.42578125" style="143" customWidth="1"/>
    <col min="2576" max="2576" width="15.42578125" style="143" customWidth="1"/>
    <col min="2577" max="2815" width="9.140625" style="143"/>
    <col min="2816" max="2816" width="5.42578125" style="143" customWidth="1"/>
    <col min="2817" max="2817" width="37.42578125" style="143" bestFit="1" customWidth="1"/>
    <col min="2818" max="2818" width="15.42578125" style="143" customWidth="1"/>
    <col min="2819" max="2819" width="3.42578125" style="143" customWidth="1"/>
    <col min="2820" max="2822" width="15.42578125" style="143" customWidth="1"/>
    <col min="2823" max="2823" width="14" style="143" customWidth="1"/>
    <col min="2824" max="2824" width="14.42578125" style="143" customWidth="1"/>
    <col min="2825" max="2825" width="11.85546875" style="143" customWidth="1"/>
    <col min="2826" max="2826" width="14.42578125" style="143" customWidth="1"/>
    <col min="2827" max="2827" width="12.42578125" style="143" customWidth="1"/>
    <col min="2828" max="2830" width="15.42578125" style="143" customWidth="1"/>
    <col min="2831" max="2831" width="12.42578125" style="143" customWidth="1"/>
    <col min="2832" max="2832" width="15.42578125" style="143" customWidth="1"/>
    <col min="2833" max="3071" width="9.140625" style="143"/>
    <col min="3072" max="3072" width="5.42578125" style="143" customWidth="1"/>
    <col min="3073" max="3073" width="37.42578125" style="143" bestFit="1" customWidth="1"/>
    <col min="3074" max="3074" width="15.42578125" style="143" customWidth="1"/>
    <col min="3075" max="3075" width="3.42578125" style="143" customWidth="1"/>
    <col min="3076" max="3078" width="15.42578125" style="143" customWidth="1"/>
    <col min="3079" max="3079" width="14" style="143" customWidth="1"/>
    <col min="3080" max="3080" width="14.42578125" style="143" customWidth="1"/>
    <col min="3081" max="3081" width="11.85546875" style="143" customWidth="1"/>
    <col min="3082" max="3082" width="14.42578125" style="143" customWidth="1"/>
    <col min="3083" max="3083" width="12.42578125" style="143" customWidth="1"/>
    <col min="3084" max="3086" width="15.42578125" style="143" customWidth="1"/>
    <col min="3087" max="3087" width="12.42578125" style="143" customWidth="1"/>
    <col min="3088" max="3088" width="15.42578125" style="143" customWidth="1"/>
    <col min="3089" max="3327" width="9.140625" style="143"/>
    <col min="3328" max="3328" width="5.42578125" style="143" customWidth="1"/>
    <col min="3329" max="3329" width="37.42578125" style="143" bestFit="1" customWidth="1"/>
    <col min="3330" max="3330" width="15.42578125" style="143" customWidth="1"/>
    <col min="3331" max="3331" width="3.42578125" style="143" customWidth="1"/>
    <col min="3332" max="3334" width="15.42578125" style="143" customWidth="1"/>
    <col min="3335" max="3335" width="14" style="143" customWidth="1"/>
    <col min="3336" max="3336" width="14.42578125" style="143" customWidth="1"/>
    <col min="3337" max="3337" width="11.85546875" style="143" customWidth="1"/>
    <col min="3338" max="3338" width="14.42578125" style="143" customWidth="1"/>
    <col min="3339" max="3339" width="12.42578125" style="143" customWidth="1"/>
    <col min="3340" max="3342" width="15.42578125" style="143" customWidth="1"/>
    <col min="3343" max="3343" width="12.42578125" style="143" customWidth="1"/>
    <col min="3344" max="3344" width="15.42578125" style="143" customWidth="1"/>
    <col min="3345" max="3583" width="9.140625" style="143"/>
    <col min="3584" max="3584" width="5.42578125" style="143" customWidth="1"/>
    <col min="3585" max="3585" width="37.42578125" style="143" bestFit="1" customWidth="1"/>
    <col min="3586" max="3586" width="15.42578125" style="143" customWidth="1"/>
    <col min="3587" max="3587" width="3.42578125" style="143" customWidth="1"/>
    <col min="3588" max="3590" width="15.42578125" style="143" customWidth="1"/>
    <col min="3591" max="3591" width="14" style="143" customWidth="1"/>
    <col min="3592" max="3592" width="14.42578125" style="143" customWidth="1"/>
    <col min="3593" max="3593" width="11.85546875" style="143" customWidth="1"/>
    <col min="3594" max="3594" width="14.42578125" style="143" customWidth="1"/>
    <col min="3595" max="3595" width="12.42578125" style="143" customWidth="1"/>
    <col min="3596" max="3598" width="15.42578125" style="143" customWidth="1"/>
    <col min="3599" max="3599" width="12.42578125" style="143" customWidth="1"/>
    <col min="3600" max="3600" width="15.42578125" style="143" customWidth="1"/>
    <col min="3601" max="3839" width="9.140625" style="143"/>
    <col min="3840" max="3840" width="5.42578125" style="143" customWidth="1"/>
    <col min="3841" max="3841" width="37.42578125" style="143" bestFit="1" customWidth="1"/>
    <col min="3842" max="3842" width="15.42578125" style="143" customWidth="1"/>
    <col min="3843" max="3843" width="3.42578125" style="143" customWidth="1"/>
    <col min="3844" max="3846" width="15.42578125" style="143" customWidth="1"/>
    <col min="3847" max="3847" width="14" style="143" customWidth="1"/>
    <col min="3848" max="3848" width="14.42578125" style="143" customWidth="1"/>
    <col min="3849" max="3849" width="11.85546875" style="143" customWidth="1"/>
    <col min="3850" max="3850" width="14.42578125" style="143" customWidth="1"/>
    <col min="3851" max="3851" width="12.42578125" style="143" customWidth="1"/>
    <col min="3852" max="3854" width="15.42578125" style="143" customWidth="1"/>
    <col min="3855" max="3855" width="12.42578125" style="143" customWidth="1"/>
    <col min="3856" max="3856" width="15.42578125" style="143" customWidth="1"/>
    <col min="3857" max="4095" width="9.140625" style="143"/>
    <col min="4096" max="4096" width="5.42578125" style="143" customWidth="1"/>
    <col min="4097" max="4097" width="37.42578125" style="143" bestFit="1" customWidth="1"/>
    <col min="4098" max="4098" width="15.42578125" style="143" customWidth="1"/>
    <col min="4099" max="4099" width="3.42578125" style="143" customWidth="1"/>
    <col min="4100" max="4102" width="15.42578125" style="143" customWidth="1"/>
    <col min="4103" max="4103" width="14" style="143" customWidth="1"/>
    <col min="4104" max="4104" width="14.42578125" style="143" customWidth="1"/>
    <col min="4105" max="4105" width="11.85546875" style="143" customWidth="1"/>
    <col min="4106" max="4106" width="14.42578125" style="143" customWidth="1"/>
    <col min="4107" max="4107" width="12.42578125" style="143" customWidth="1"/>
    <col min="4108" max="4110" width="15.42578125" style="143" customWidth="1"/>
    <col min="4111" max="4111" width="12.42578125" style="143" customWidth="1"/>
    <col min="4112" max="4112" width="15.42578125" style="143" customWidth="1"/>
    <col min="4113" max="4351" width="9.140625" style="143"/>
    <col min="4352" max="4352" width="5.42578125" style="143" customWidth="1"/>
    <col min="4353" max="4353" width="37.42578125" style="143" bestFit="1" customWidth="1"/>
    <col min="4354" max="4354" width="15.42578125" style="143" customWidth="1"/>
    <col min="4355" max="4355" width="3.42578125" style="143" customWidth="1"/>
    <col min="4356" max="4358" width="15.42578125" style="143" customWidth="1"/>
    <col min="4359" max="4359" width="14" style="143" customWidth="1"/>
    <col min="4360" max="4360" width="14.42578125" style="143" customWidth="1"/>
    <col min="4361" max="4361" width="11.85546875" style="143" customWidth="1"/>
    <col min="4362" max="4362" width="14.42578125" style="143" customWidth="1"/>
    <col min="4363" max="4363" width="12.42578125" style="143" customWidth="1"/>
    <col min="4364" max="4366" width="15.42578125" style="143" customWidth="1"/>
    <col min="4367" max="4367" width="12.42578125" style="143" customWidth="1"/>
    <col min="4368" max="4368" width="15.42578125" style="143" customWidth="1"/>
    <col min="4369" max="4607" width="9.140625" style="143"/>
    <col min="4608" max="4608" width="5.42578125" style="143" customWidth="1"/>
    <col min="4609" max="4609" width="37.42578125" style="143" bestFit="1" customWidth="1"/>
    <col min="4610" max="4610" width="15.42578125" style="143" customWidth="1"/>
    <col min="4611" max="4611" width="3.42578125" style="143" customWidth="1"/>
    <col min="4612" max="4614" width="15.42578125" style="143" customWidth="1"/>
    <col min="4615" max="4615" width="14" style="143" customWidth="1"/>
    <col min="4616" max="4616" width="14.42578125" style="143" customWidth="1"/>
    <col min="4617" max="4617" width="11.85546875" style="143" customWidth="1"/>
    <col min="4618" max="4618" width="14.42578125" style="143" customWidth="1"/>
    <col min="4619" max="4619" width="12.42578125" style="143" customWidth="1"/>
    <col min="4620" max="4622" width="15.42578125" style="143" customWidth="1"/>
    <col min="4623" max="4623" width="12.42578125" style="143" customWidth="1"/>
    <col min="4624" max="4624" width="15.42578125" style="143" customWidth="1"/>
    <col min="4625" max="4863" width="9.140625" style="143"/>
    <col min="4864" max="4864" width="5.42578125" style="143" customWidth="1"/>
    <col min="4865" max="4865" width="37.42578125" style="143" bestFit="1" customWidth="1"/>
    <col min="4866" max="4866" width="15.42578125" style="143" customWidth="1"/>
    <col min="4867" max="4867" width="3.42578125" style="143" customWidth="1"/>
    <col min="4868" max="4870" width="15.42578125" style="143" customWidth="1"/>
    <col min="4871" max="4871" width="14" style="143" customWidth="1"/>
    <col min="4872" max="4872" width="14.42578125" style="143" customWidth="1"/>
    <col min="4873" max="4873" width="11.85546875" style="143" customWidth="1"/>
    <col min="4874" max="4874" width="14.42578125" style="143" customWidth="1"/>
    <col min="4875" max="4875" width="12.42578125" style="143" customWidth="1"/>
    <col min="4876" max="4878" width="15.42578125" style="143" customWidth="1"/>
    <col min="4879" max="4879" width="12.42578125" style="143" customWidth="1"/>
    <col min="4880" max="4880" width="15.42578125" style="143" customWidth="1"/>
    <col min="4881" max="5119" width="9.140625" style="143"/>
    <col min="5120" max="5120" width="5.42578125" style="143" customWidth="1"/>
    <col min="5121" max="5121" width="37.42578125" style="143" bestFit="1" customWidth="1"/>
    <col min="5122" max="5122" width="15.42578125" style="143" customWidth="1"/>
    <col min="5123" max="5123" width="3.42578125" style="143" customWidth="1"/>
    <col min="5124" max="5126" width="15.42578125" style="143" customWidth="1"/>
    <col min="5127" max="5127" width="14" style="143" customWidth="1"/>
    <col min="5128" max="5128" width="14.42578125" style="143" customWidth="1"/>
    <col min="5129" max="5129" width="11.85546875" style="143" customWidth="1"/>
    <col min="5130" max="5130" width="14.42578125" style="143" customWidth="1"/>
    <col min="5131" max="5131" width="12.42578125" style="143" customWidth="1"/>
    <col min="5132" max="5134" width="15.42578125" style="143" customWidth="1"/>
    <col min="5135" max="5135" width="12.42578125" style="143" customWidth="1"/>
    <col min="5136" max="5136" width="15.42578125" style="143" customWidth="1"/>
    <col min="5137" max="5375" width="9.140625" style="143"/>
    <col min="5376" max="5376" width="5.42578125" style="143" customWidth="1"/>
    <col min="5377" max="5377" width="37.42578125" style="143" bestFit="1" customWidth="1"/>
    <col min="5378" max="5378" width="15.42578125" style="143" customWidth="1"/>
    <col min="5379" max="5379" width="3.42578125" style="143" customWidth="1"/>
    <col min="5380" max="5382" width="15.42578125" style="143" customWidth="1"/>
    <col min="5383" max="5383" width="14" style="143" customWidth="1"/>
    <col min="5384" max="5384" width="14.42578125" style="143" customWidth="1"/>
    <col min="5385" max="5385" width="11.85546875" style="143" customWidth="1"/>
    <col min="5386" max="5386" width="14.42578125" style="143" customWidth="1"/>
    <col min="5387" max="5387" width="12.42578125" style="143" customWidth="1"/>
    <col min="5388" max="5390" width="15.42578125" style="143" customWidth="1"/>
    <col min="5391" max="5391" width="12.42578125" style="143" customWidth="1"/>
    <col min="5392" max="5392" width="15.42578125" style="143" customWidth="1"/>
    <col min="5393" max="5631" width="9.140625" style="143"/>
    <col min="5632" max="5632" width="5.42578125" style="143" customWidth="1"/>
    <col min="5633" max="5633" width="37.42578125" style="143" bestFit="1" customWidth="1"/>
    <col min="5634" max="5634" width="15.42578125" style="143" customWidth="1"/>
    <col min="5635" max="5635" width="3.42578125" style="143" customWidth="1"/>
    <col min="5636" max="5638" width="15.42578125" style="143" customWidth="1"/>
    <col min="5639" max="5639" width="14" style="143" customWidth="1"/>
    <col min="5640" max="5640" width="14.42578125" style="143" customWidth="1"/>
    <col min="5641" max="5641" width="11.85546875" style="143" customWidth="1"/>
    <col min="5642" max="5642" width="14.42578125" style="143" customWidth="1"/>
    <col min="5643" max="5643" width="12.42578125" style="143" customWidth="1"/>
    <col min="5644" max="5646" width="15.42578125" style="143" customWidth="1"/>
    <col min="5647" max="5647" width="12.42578125" style="143" customWidth="1"/>
    <col min="5648" max="5648" width="15.42578125" style="143" customWidth="1"/>
    <col min="5649" max="5887" width="9.140625" style="143"/>
    <col min="5888" max="5888" width="5.42578125" style="143" customWidth="1"/>
    <col min="5889" max="5889" width="37.42578125" style="143" bestFit="1" customWidth="1"/>
    <col min="5890" max="5890" width="15.42578125" style="143" customWidth="1"/>
    <col min="5891" max="5891" width="3.42578125" style="143" customWidth="1"/>
    <col min="5892" max="5894" width="15.42578125" style="143" customWidth="1"/>
    <col min="5895" max="5895" width="14" style="143" customWidth="1"/>
    <col min="5896" max="5896" width="14.42578125" style="143" customWidth="1"/>
    <col min="5897" max="5897" width="11.85546875" style="143" customWidth="1"/>
    <col min="5898" max="5898" width="14.42578125" style="143" customWidth="1"/>
    <col min="5899" max="5899" width="12.42578125" style="143" customWidth="1"/>
    <col min="5900" max="5902" width="15.42578125" style="143" customWidth="1"/>
    <col min="5903" max="5903" width="12.42578125" style="143" customWidth="1"/>
    <col min="5904" max="5904" width="15.42578125" style="143" customWidth="1"/>
    <col min="5905" max="6143" width="9.140625" style="143"/>
    <col min="6144" max="6144" width="5.42578125" style="143" customWidth="1"/>
    <col min="6145" max="6145" width="37.42578125" style="143" bestFit="1" customWidth="1"/>
    <col min="6146" max="6146" width="15.42578125" style="143" customWidth="1"/>
    <col min="6147" max="6147" width="3.42578125" style="143" customWidth="1"/>
    <col min="6148" max="6150" width="15.42578125" style="143" customWidth="1"/>
    <col min="6151" max="6151" width="14" style="143" customWidth="1"/>
    <col min="6152" max="6152" width="14.42578125" style="143" customWidth="1"/>
    <col min="6153" max="6153" width="11.85546875" style="143" customWidth="1"/>
    <col min="6154" max="6154" width="14.42578125" style="143" customWidth="1"/>
    <col min="6155" max="6155" width="12.42578125" style="143" customWidth="1"/>
    <col min="6156" max="6158" width="15.42578125" style="143" customWidth="1"/>
    <col min="6159" max="6159" width="12.42578125" style="143" customWidth="1"/>
    <col min="6160" max="6160" width="15.42578125" style="143" customWidth="1"/>
    <col min="6161" max="6399" width="9.140625" style="143"/>
    <col min="6400" max="6400" width="5.42578125" style="143" customWidth="1"/>
    <col min="6401" max="6401" width="37.42578125" style="143" bestFit="1" customWidth="1"/>
    <col min="6402" max="6402" width="15.42578125" style="143" customWidth="1"/>
    <col min="6403" max="6403" width="3.42578125" style="143" customWidth="1"/>
    <col min="6404" max="6406" width="15.42578125" style="143" customWidth="1"/>
    <col min="6407" max="6407" width="14" style="143" customWidth="1"/>
    <col min="6408" max="6408" width="14.42578125" style="143" customWidth="1"/>
    <col min="6409" max="6409" width="11.85546875" style="143" customWidth="1"/>
    <col min="6410" max="6410" width="14.42578125" style="143" customWidth="1"/>
    <col min="6411" max="6411" width="12.42578125" style="143" customWidth="1"/>
    <col min="6412" max="6414" width="15.42578125" style="143" customWidth="1"/>
    <col min="6415" max="6415" width="12.42578125" style="143" customWidth="1"/>
    <col min="6416" max="6416" width="15.42578125" style="143" customWidth="1"/>
    <col min="6417" max="6655" width="9.140625" style="143"/>
    <col min="6656" max="6656" width="5.42578125" style="143" customWidth="1"/>
    <col min="6657" max="6657" width="37.42578125" style="143" bestFit="1" customWidth="1"/>
    <col min="6658" max="6658" width="15.42578125" style="143" customWidth="1"/>
    <col min="6659" max="6659" width="3.42578125" style="143" customWidth="1"/>
    <col min="6660" max="6662" width="15.42578125" style="143" customWidth="1"/>
    <col min="6663" max="6663" width="14" style="143" customWidth="1"/>
    <col min="6664" max="6664" width="14.42578125" style="143" customWidth="1"/>
    <col min="6665" max="6665" width="11.85546875" style="143" customWidth="1"/>
    <col min="6666" max="6666" width="14.42578125" style="143" customWidth="1"/>
    <col min="6667" max="6667" width="12.42578125" style="143" customWidth="1"/>
    <col min="6668" max="6670" width="15.42578125" style="143" customWidth="1"/>
    <col min="6671" max="6671" width="12.42578125" style="143" customWidth="1"/>
    <col min="6672" max="6672" width="15.42578125" style="143" customWidth="1"/>
    <col min="6673" max="6911" width="9.140625" style="143"/>
    <col min="6912" max="6912" width="5.42578125" style="143" customWidth="1"/>
    <col min="6913" max="6913" width="37.42578125" style="143" bestFit="1" customWidth="1"/>
    <col min="6914" max="6914" width="15.42578125" style="143" customWidth="1"/>
    <col min="6915" max="6915" width="3.42578125" style="143" customWidth="1"/>
    <col min="6916" max="6918" width="15.42578125" style="143" customWidth="1"/>
    <col min="6919" max="6919" width="14" style="143" customWidth="1"/>
    <col min="6920" max="6920" width="14.42578125" style="143" customWidth="1"/>
    <col min="6921" max="6921" width="11.85546875" style="143" customWidth="1"/>
    <col min="6922" max="6922" width="14.42578125" style="143" customWidth="1"/>
    <col min="6923" max="6923" width="12.42578125" style="143" customWidth="1"/>
    <col min="6924" max="6926" width="15.42578125" style="143" customWidth="1"/>
    <col min="6927" max="6927" width="12.42578125" style="143" customWidth="1"/>
    <col min="6928" max="6928" width="15.42578125" style="143" customWidth="1"/>
    <col min="6929" max="7167" width="9.140625" style="143"/>
    <col min="7168" max="7168" width="5.42578125" style="143" customWidth="1"/>
    <col min="7169" max="7169" width="37.42578125" style="143" bestFit="1" customWidth="1"/>
    <col min="7170" max="7170" width="15.42578125" style="143" customWidth="1"/>
    <col min="7171" max="7171" width="3.42578125" style="143" customWidth="1"/>
    <col min="7172" max="7174" width="15.42578125" style="143" customWidth="1"/>
    <col min="7175" max="7175" width="14" style="143" customWidth="1"/>
    <col min="7176" max="7176" width="14.42578125" style="143" customWidth="1"/>
    <col min="7177" max="7177" width="11.85546875" style="143" customWidth="1"/>
    <col min="7178" max="7178" width="14.42578125" style="143" customWidth="1"/>
    <col min="7179" max="7179" width="12.42578125" style="143" customWidth="1"/>
    <col min="7180" max="7182" width="15.42578125" style="143" customWidth="1"/>
    <col min="7183" max="7183" width="12.42578125" style="143" customWidth="1"/>
    <col min="7184" max="7184" width="15.42578125" style="143" customWidth="1"/>
    <col min="7185" max="7423" width="9.140625" style="143"/>
    <col min="7424" max="7424" width="5.42578125" style="143" customWidth="1"/>
    <col min="7425" max="7425" width="37.42578125" style="143" bestFit="1" customWidth="1"/>
    <col min="7426" max="7426" width="15.42578125" style="143" customWidth="1"/>
    <col min="7427" max="7427" width="3.42578125" style="143" customWidth="1"/>
    <col min="7428" max="7430" width="15.42578125" style="143" customWidth="1"/>
    <col min="7431" max="7431" width="14" style="143" customWidth="1"/>
    <col min="7432" max="7432" width="14.42578125" style="143" customWidth="1"/>
    <col min="7433" max="7433" width="11.85546875" style="143" customWidth="1"/>
    <col min="7434" max="7434" width="14.42578125" style="143" customWidth="1"/>
    <col min="7435" max="7435" width="12.42578125" style="143" customWidth="1"/>
    <col min="7436" max="7438" width="15.42578125" style="143" customWidth="1"/>
    <col min="7439" max="7439" width="12.42578125" style="143" customWidth="1"/>
    <col min="7440" max="7440" width="15.42578125" style="143" customWidth="1"/>
    <col min="7441" max="7679" width="9.140625" style="143"/>
    <col min="7680" max="7680" width="5.42578125" style="143" customWidth="1"/>
    <col min="7681" max="7681" width="37.42578125" style="143" bestFit="1" customWidth="1"/>
    <col min="7682" max="7682" width="15.42578125" style="143" customWidth="1"/>
    <col min="7683" max="7683" width="3.42578125" style="143" customWidth="1"/>
    <col min="7684" max="7686" width="15.42578125" style="143" customWidth="1"/>
    <col min="7687" max="7687" width="14" style="143" customWidth="1"/>
    <col min="7688" max="7688" width="14.42578125" style="143" customWidth="1"/>
    <col min="7689" max="7689" width="11.85546875" style="143" customWidth="1"/>
    <col min="7690" max="7690" width="14.42578125" style="143" customWidth="1"/>
    <col min="7691" max="7691" width="12.42578125" style="143" customWidth="1"/>
    <col min="7692" max="7694" width="15.42578125" style="143" customWidth="1"/>
    <col min="7695" max="7695" width="12.42578125" style="143" customWidth="1"/>
    <col min="7696" max="7696" width="15.42578125" style="143" customWidth="1"/>
    <col min="7697" max="7935" width="9.140625" style="143"/>
    <col min="7936" max="7936" width="5.42578125" style="143" customWidth="1"/>
    <col min="7937" max="7937" width="37.42578125" style="143" bestFit="1" customWidth="1"/>
    <col min="7938" max="7938" width="15.42578125" style="143" customWidth="1"/>
    <col min="7939" max="7939" width="3.42578125" style="143" customWidth="1"/>
    <col min="7940" max="7942" width="15.42578125" style="143" customWidth="1"/>
    <col min="7943" max="7943" width="14" style="143" customWidth="1"/>
    <col min="7944" max="7944" width="14.42578125" style="143" customWidth="1"/>
    <col min="7945" max="7945" width="11.85546875" style="143" customWidth="1"/>
    <col min="7946" max="7946" width="14.42578125" style="143" customWidth="1"/>
    <col min="7947" max="7947" width="12.42578125" style="143" customWidth="1"/>
    <col min="7948" max="7950" width="15.42578125" style="143" customWidth="1"/>
    <col min="7951" max="7951" width="12.42578125" style="143" customWidth="1"/>
    <col min="7952" max="7952" width="15.42578125" style="143" customWidth="1"/>
    <col min="7953" max="8191" width="9.140625" style="143"/>
    <col min="8192" max="8192" width="5.42578125" style="143" customWidth="1"/>
    <col min="8193" max="8193" width="37.42578125" style="143" bestFit="1" customWidth="1"/>
    <col min="8194" max="8194" width="15.42578125" style="143" customWidth="1"/>
    <col min="8195" max="8195" width="3.42578125" style="143" customWidth="1"/>
    <col min="8196" max="8198" width="15.42578125" style="143" customWidth="1"/>
    <col min="8199" max="8199" width="14" style="143" customWidth="1"/>
    <col min="8200" max="8200" width="14.42578125" style="143" customWidth="1"/>
    <col min="8201" max="8201" width="11.85546875" style="143" customWidth="1"/>
    <col min="8202" max="8202" width="14.42578125" style="143" customWidth="1"/>
    <col min="8203" max="8203" width="12.42578125" style="143" customWidth="1"/>
    <col min="8204" max="8206" width="15.42578125" style="143" customWidth="1"/>
    <col min="8207" max="8207" width="12.42578125" style="143" customWidth="1"/>
    <col min="8208" max="8208" width="15.42578125" style="143" customWidth="1"/>
    <col min="8209" max="8447" width="9.140625" style="143"/>
    <col min="8448" max="8448" width="5.42578125" style="143" customWidth="1"/>
    <col min="8449" max="8449" width="37.42578125" style="143" bestFit="1" customWidth="1"/>
    <col min="8450" max="8450" width="15.42578125" style="143" customWidth="1"/>
    <col min="8451" max="8451" width="3.42578125" style="143" customWidth="1"/>
    <col min="8452" max="8454" width="15.42578125" style="143" customWidth="1"/>
    <col min="8455" max="8455" width="14" style="143" customWidth="1"/>
    <col min="8456" max="8456" width="14.42578125" style="143" customWidth="1"/>
    <col min="8457" max="8457" width="11.85546875" style="143" customWidth="1"/>
    <col min="8458" max="8458" width="14.42578125" style="143" customWidth="1"/>
    <col min="8459" max="8459" width="12.42578125" style="143" customWidth="1"/>
    <col min="8460" max="8462" width="15.42578125" style="143" customWidth="1"/>
    <col min="8463" max="8463" width="12.42578125" style="143" customWidth="1"/>
    <col min="8464" max="8464" width="15.42578125" style="143" customWidth="1"/>
    <col min="8465" max="8703" width="9.140625" style="143"/>
    <col min="8704" max="8704" width="5.42578125" style="143" customWidth="1"/>
    <col min="8705" max="8705" width="37.42578125" style="143" bestFit="1" customWidth="1"/>
    <col min="8706" max="8706" width="15.42578125" style="143" customWidth="1"/>
    <col min="8707" max="8707" width="3.42578125" style="143" customWidth="1"/>
    <col min="8708" max="8710" width="15.42578125" style="143" customWidth="1"/>
    <col min="8711" max="8711" width="14" style="143" customWidth="1"/>
    <col min="8712" max="8712" width="14.42578125" style="143" customWidth="1"/>
    <col min="8713" max="8713" width="11.85546875" style="143" customWidth="1"/>
    <col min="8714" max="8714" width="14.42578125" style="143" customWidth="1"/>
    <col min="8715" max="8715" width="12.42578125" style="143" customWidth="1"/>
    <col min="8716" max="8718" width="15.42578125" style="143" customWidth="1"/>
    <col min="8719" max="8719" width="12.42578125" style="143" customWidth="1"/>
    <col min="8720" max="8720" width="15.42578125" style="143" customWidth="1"/>
    <col min="8721" max="8959" width="9.140625" style="143"/>
    <col min="8960" max="8960" width="5.42578125" style="143" customWidth="1"/>
    <col min="8961" max="8961" width="37.42578125" style="143" bestFit="1" customWidth="1"/>
    <col min="8962" max="8962" width="15.42578125" style="143" customWidth="1"/>
    <col min="8963" max="8963" width="3.42578125" style="143" customWidth="1"/>
    <col min="8964" max="8966" width="15.42578125" style="143" customWidth="1"/>
    <col min="8967" max="8967" width="14" style="143" customWidth="1"/>
    <col min="8968" max="8968" width="14.42578125" style="143" customWidth="1"/>
    <col min="8969" max="8969" width="11.85546875" style="143" customWidth="1"/>
    <col min="8970" max="8970" width="14.42578125" style="143" customWidth="1"/>
    <col min="8971" max="8971" width="12.42578125" style="143" customWidth="1"/>
    <col min="8972" max="8974" width="15.42578125" style="143" customWidth="1"/>
    <col min="8975" max="8975" width="12.42578125" style="143" customWidth="1"/>
    <col min="8976" max="8976" width="15.42578125" style="143" customWidth="1"/>
    <col min="8977" max="9215" width="9.140625" style="143"/>
    <col min="9216" max="9216" width="5.42578125" style="143" customWidth="1"/>
    <col min="9217" max="9217" width="37.42578125" style="143" bestFit="1" customWidth="1"/>
    <col min="9218" max="9218" width="15.42578125" style="143" customWidth="1"/>
    <col min="9219" max="9219" width="3.42578125" style="143" customWidth="1"/>
    <col min="9220" max="9222" width="15.42578125" style="143" customWidth="1"/>
    <col min="9223" max="9223" width="14" style="143" customWidth="1"/>
    <col min="9224" max="9224" width="14.42578125" style="143" customWidth="1"/>
    <col min="9225" max="9225" width="11.85546875" style="143" customWidth="1"/>
    <col min="9226" max="9226" width="14.42578125" style="143" customWidth="1"/>
    <col min="9227" max="9227" width="12.42578125" style="143" customWidth="1"/>
    <col min="9228" max="9230" width="15.42578125" style="143" customWidth="1"/>
    <col min="9231" max="9231" width="12.42578125" style="143" customWidth="1"/>
    <col min="9232" max="9232" width="15.42578125" style="143" customWidth="1"/>
    <col min="9233" max="9471" width="9.140625" style="143"/>
    <col min="9472" max="9472" width="5.42578125" style="143" customWidth="1"/>
    <col min="9473" max="9473" width="37.42578125" style="143" bestFit="1" customWidth="1"/>
    <col min="9474" max="9474" width="15.42578125" style="143" customWidth="1"/>
    <col min="9475" max="9475" width="3.42578125" style="143" customWidth="1"/>
    <col min="9476" max="9478" width="15.42578125" style="143" customWidth="1"/>
    <col min="9479" max="9479" width="14" style="143" customWidth="1"/>
    <col min="9480" max="9480" width="14.42578125" style="143" customWidth="1"/>
    <col min="9481" max="9481" width="11.85546875" style="143" customWidth="1"/>
    <col min="9482" max="9482" width="14.42578125" style="143" customWidth="1"/>
    <col min="9483" max="9483" width="12.42578125" style="143" customWidth="1"/>
    <col min="9484" max="9486" width="15.42578125" style="143" customWidth="1"/>
    <col min="9487" max="9487" width="12.42578125" style="143" customWidth="1"/>
    <col min="9488" max="9488" width="15.42578125" style="143" customWidth="1"/>
    <col min="9489" max="9727" width="9.140625" style="143"/>
    <col min="9728" max="9728" width="5.42578125" style="143" customWidth="1"/>
    <col min="9729" max="9729" width="37.42578125" style="143" bestFit="1" customWidth="1"/>
    <col min="9730" max="9730" width="15.42578125" style="143" customWidth="1"/>
    <col min="9731" max="9731" width="3.42578125" style="143" customWidth="1"/>
    <col min="9732" max="9734" width="15.42578125" style="143" customWidth="1"/>
    <col min="9735" max="9735" width="14" style="143" customWidth="1"/>
    <col min="9736" max="9736" width="14.42578125" style="143" customWidth="1"/>
    <col min="9737" max="9737" width="11.85546875" style="143" customWidth="1"/>
    <col min="9738" max="9738" width="14.42578125" style="143" customWidth="1"/>
    <col min="9739" max="9739" width="12.42578125" style="143" customWidth="1"/>
    <col min="9740" max="9742" width="15.42578125" style="143" customWidth="1"/>
    <col min="9743" max="9743" width="12.42578125" style="143" customWidth="1"/>
    <col min="9744" max="9744" width="15.42578125" style="143" customWidth="1"/>
    <col min="9745" max="9983" width="9.140625" style="143"/>
    <col min="9984" max="9984" width="5.42578125" style="143" customWidth="1"/>
    <col min="9985" max="9985" width="37.42578125" style="143" bestFit="1" customWidth="1"/>
    <col min="9986" max="9986" width="15.42578125" style="143" customWidth="1"/>
    <col min="9987" max="9987" width="3.42578125" style="143" customWidth="1"/>
    <col min="9988" max="9990" width="15.42578125" style="143" customWidth="1"/>
    <col min="9991" max="9991" width="14" style="143" customWidth="1"/>
    <col min="9992" max="9992" width="14.42578125" style="143" customWidth="1"/>
    <col min="9993" max="9993" width="11.85546875" style="143" customWidth="1"/>
    <col min="9994" max="9994" width="14.42578125" style="143" customWidth="1"/>
    <col min="9995" max="9995" width="12.42578125" style="143" customWidth="1"/>
    <col min="9996" max="9998" width="15.42578125" style="143" customWidth="1"/>
    <col min="9999" max="9999" width="12.42578125" style="143" customWidth="1"/>
    <col min="10000" max="10000" width="15.42578125" style="143" customWidth="1"/>
    <col min="10001" max="10239" width="9.140625" style="143"/>
    <col min="10240" max="10240" width="5.42578125" style="143" customWidth="1"/>
    <col min="10241" max="10241" width="37.42578125" style="143" bestFit="1" customWidth="1"/>
    <col min="10242" max="10242" width="15.42578125" style="143" customWidth="1"/>
    <col min="10243" max="10243" width="3.42578125" style="143" customWidth="1"/>
    <col min="10244" max="10246" width="15.42578125" style="143" customWidth="1"/>
    <col min="10247" max="10247" width="14" style="143" customWidth="1"/>
    <col min="10248" max="10248" width="14.42578125" style="143" customWidth="1"/>
    <col min="10249" max="10249" width="11.85546875" style="143" customWidth="1"/>
    <col min="10250" max="10250" width="14.42578125" style="143" customWidth="1"/>
    <col min="10251" max="10251" width="12.42578125" style="143" customWidth="1"/>
    <col min="10252" max="10254" width="15.42578125" style="143" customWidth="1"/>
    <col min="10255" max="10255" width="12.42578125" style="143" customWidth="1"/>
    <col min="10256" max="10256" width="15.42578125" style="143" customWidth="1"/>
    <col min="10257" max="10495" width="9.140625" style="143"/>
    <col min="10496" max="10496" width="5.42578125" style="143" customWidth="1"/>
    <col min="10497" max="10497" width="37.42578125" style="143" bestFit="1" customWidth="1"/>
    <col min="10498" max="10498" width="15.42578125" style="143" customWidth="1"/>
    <col min="10499" max="10499" width="3.42578125" style="143" customWidth="1"/>
    <col min="10500" max="10502" width="15.42578125" style="143" customWidth="1"/>
    <col min="10503" max="10503" width="14" style="143" customWidth="1"/>
    <col min="10504" max="10504" width="14.42578125" style="143" customWidth="1"/>
    <col min="10505" max="10505" width="11.85546875" style="143" customWidth="1"/>
    <col min="10506" max="10506" width="14.42578125" style="143" customWidth="1"/>
    <col min="10507" max="10507" width="12.42578125" style="143" customWidth="1"/>
    <col min="10508" max="10510" width="15.42578125" style="143" customWidth="1"/>
    <col min="10511" max="10511" width="12.42578125" style="143" customWidth="1"/>
    <col min="10512" max="10512" width="15.42578125" style="143" customWidth="1"/>
    <col min="10513" max="10751" width="9.140625" style="143"/>
    <col min="10752" max="10752" width="5.42578125" style="143" customWidth="1"/>
    <col min="10753" max="10753" width="37.42578125" style="143" bestFit="1" customWidth="1"/>
    <col min="10754" max="10754" width="15.42578125" style="143" customWidth="1"/>
    <col min="10755" max="10755" width="3.42578125" style="143" customWidth="1"/>
    <col min="10756" max="10758" width="15.42578125" style="143" customWidth="1"/>
    <col min="10759" max="10759" width="14" style="143" customWidth="1"/>
    <col min="10760" max="10760" width="14.42578125" style="143" customWidth="1"/>
    <col min="10761" max="10761" width="11.85546875" style="143" customWidth="1"/>
    <col min="10762" max="10762" width="14.42578125" style="143" customWidth="1"/>
    <col min="10763" max="10763" width="12.42578125" style="143" customWidth="1"/>
    <col min="10764" max="10766" width="15.42578125" style="143" customWidth="1"/>
    <col min="10767" max="10767" width="12.42578125" style="143" customWidth="1"/>
    <col min="10768" max="10768" width="15.42578125" style="143" customWidth="1"/>
    <col min="10769" max="11007" width="9.140625" style="143"/>
    <col min="11008" max="11008" width="5.42578125" style="143" customWidth="1"/>
    <col min="11009" max="11009" width="37.42578125" style="143" bestFit="1" customWidth="1"/>
    <col min="11010" max="11010" width="15.42578125" style="143" customWidth="1"/>
    <col min="11011" max="11011" width="3.42578125" style="143" customWidth="1"/>
    <col min="11012" max="11014" width="15.42578125" style="143" customWidth="1"/>
    <col min="11015" max="11015" width="14" style="143" customWidth="1"/>
    <col min="11016" max="11016" width="14.42578125" style="143" customWidth="1"/>
    <col min="11017" max="11017" width="11.85546875" style="143" customWidth="1"/>
    <col min="11018" max="11018" width="14.42578125" style="143" customWidth="1"/>
    <col min="11019" max="11019" width="12.42578125" style="143" customWidth="1"/>
    <col min="11020" max="11022" width="15.42578125" style="143" customWidth="1"/>
    <col min="11023" max="11023" width="12.42578125" style="143" customWidth="1"/>
    <col min="11024" max="11024" width="15.42578125" style="143" customWidth="1"/>
    <col min="11025" max="11263" width="9.140625" style="143"/>
    <col min="11264" max="11264" width="5.42578125" style="143" customWidth="1"/>
    <col min="11265" max="11265" width="37.42578125" style="143" bestFit="1" customWidth="1"/>
    <col min="11266" max="11266" width="15.42578125" style="143" customWidth="1"/>
    <col min="11267" max="11267" width="3.42578125" style="143" customWidth="1"/>
    <col min="11268" max="11270" width="15.42578125" style="143" customWidth="1"/>
    <col min="11271" max="11271" width="14" style="143" customWidth="1"/>
    <col min="11272" max="11272" width="14.42578125" style="143" customWidth="1"/>
    <col min="11273" max="11273" width="11.85546875" style="143" customWidth="1"/>
    <col min="11274" max="11274" width="14.42578125" style="143" customWidth="1"/>
    <col min="11275" max="11275" width="12.42578125" style="143" customWidth="1"/>
    <col min="11276" max="11278" width="15.42578125" style="143" customWidth="1"/>
    <col min="11279" max="11279" width="12.42578125" style="143" customWidth="1"/>
    <col min="11280" max="11280" width="15.42578125" style="143" customWidth="1"/>
    <col min="11281" max="11519" width="9.140625" style="143"/>
    <col min="11520" max="11520" width="5.42578125" style="143" customWidth="1"/>
    <col min="11521" max="11521" width="37.42578125" style="143" bestFit="1" customWidth="1"/>
    <col min="11522" max="11522" width="15.42578125" style="143" customWidth="1"/>
    <col min="11523" max="11523" width="3.42578125" style="143" customWidth="1"/>
    <col min="11524" max="11526" width="15.42578125" style="143" customWidth="1"/>
    <col min="11527" max="11527" width="14" style="143" customWidth="1"/>
    <col min="11528" max="11528" width="14.42578125" style="143" customWidth="1"/>
    <col min="11529" max="11529" width="11.85546875" style="143" customWidth="1"/>
    <col min="11530" max="11530" width="14.42578125" style="143" customWidth="1"/>
    <col min="11531" max="11531" width="12.42578125" style="143" customWidth="1"/>
    <col min="11532" max="11534" width="15.42578125" style="143" customWidth="1"/>
    <col min="11535" max="11535" width="12.42578125" style="143" customWidth="1"/>
    <col min="11536" max="11536" width="15.42578125" style="143" customWidth="1"/>
    <col min="11537" max="11775" width="9.140625" style="143"/>
    <col min="11776" max="11776" width="5.42578125" style="143" customWidth="1"/>
    <col min="11777" max="11777" width="37.42578125" style="143" bestFit="1" customWidth="1"/>
    <col min="11778" max="11778" width="15.42578125" style="143" customWidth="1"/>
    <col min="11779" max="11779" width="3.42578125" style="143" customWidth="1"/>
    <col min="11780" max="11782" width="15.42578125" style="143" customWidth="1"/>
    <col min="11783" max="11783" width="14" style="143" customWidth="1"/>
    <col min="11784" max="11784" width="14.42578125" style="143" customWidth="1"/>
    <col min="11785" max="11785" width="11.85546875" style="143" customWidth="1"/>
    <col min="11786" max="11786" width="14.42578125" style="143" customWidth="1"/>
    <col min="11787" max="11787" width="12.42578125" style="143" customWidth="1"/>
    <col min="11788" max="11790" width="15.42578125" style="143" customWidth="1"/>
    <col min="11791" max="11791" width="12.42578125" style="143" customWidth="1"/>
    <col min="11792" max="11792" width="15.42578125" style="143" customWidth="1"/>
    <col min="11793" max="12031" width="9.140625" style="143"/>
    <col min="12032" max="12032" width="5.42578125" style="143" customWidth="1"/>
    <col min="12033" max="12033" width="37.42578125" style="143" bestFit="1" customWidth="1"/>
    <col min="12034" max="12034" width="15.42578125" style="143" customWidth="1"/>
    <col min="12035" max="12035" width="3.42578125" style="143" customWidth="1"/>
    <col min="12036" max="12038" width="15.42578125" style="143" customWidth="1"/>
    <col min="12039" max="12039" width="14" style="143" customWidth="1"/>
    <col min="12040" max="12040" width="14.42578125" style="143" customWidth="1"/>
    <col min="12041" max="12041" width="11.85546875" style="143" customWidth="1"/>
    <col min="12042" max="12042" width="14.42578125" style="143" customWidth="1"/>
    <col min="12043" max="12043" width="12.42578125" style="143" customWidth="1"/>
    <col min="12044" max="12046" width="15.42578125" style="143" customWidth="1"/>
    <col min="12047" max="12047" width="12.42578125" style="143" customWidth="1"/>
    <col min="12048" max="12048" width="15.42578125" style="143" customWidth="1"/>
    <col min="12049" max="12287" width="9.140625" style="143"/>
    <col min="12288" max="12288" width="5.42578125" style="143" customWidth="1"/>
    <col min="12289" max="12289" width="37.42578125" style="143" bestFit="1" customWidth="1"/>
    <col min="12290" max="12290" width="15.42578125" style="143" customWidth="1"/>
    <col min="12291" max="12291" width="3.42578125" style="143" customWidth="1"/>
    <col min="12292" max="12294" width="15.42578125" style="143" customWidth="1"/>
    <col min="12295" max="12295" width="14" style="143" customWidth="1"/>
    <col min="12296" max="12296" width="14.42578125" style="143" customWidth="1"/>
    <col min="12297" max="12297" width="11.85546875" style="143" customWidth="1"/>
    <col min="12298" max="12298" width="14.42578125" style="143" customWidth="1"/>
    <col min="12299" max="12299" width="12.42578125" style="143" customWidth="1"/>
    <col min="12300" max="12302" width="15.42578125" style="143" customWidth="1"/>
    <col min="12303" max="12303" width="12.42578125" style="143" customWidth="1"/>
    <col min="12304" max="12304" width="15.42578125" style="143" customWidth="1"/>
    <col min="12305" max="12543" width="9.140625" style="143"/>
    <col min="12544" max="12544" width="5.42578125" style="143" customWidth="1"/>
    <col min="12545" max="12545" width="37.42578125" style="143" bestFit="1" customWidth="1"/>
    <col min="12546" max="12546" width="15.42578125" style="143" customWidth="1"/>
    <col min="12547" max="12547" width="3.42578125" style="143" customWidth="1"/>
    <col min="12548" max="12550" width="15.42578125" style="143" customWidth="1"/>
    <col min="12551" max="12551" width="14" style="143" customWidth="1"/>
    <col min="12552" max="12552" width="14.42578125" style="143" customWidth="1"/>
    <col min="12553" max="12553" width="11.85546875" style="143" customWidth="1"/>
    <col min="12554" max="12554" width="14.42578125" style="143" customWidth="1"/>
    <col min="12555" max="12555" width="12.42578125" style="143" customWidth="1"/>
    <col min="12556" max="12558" width="15.42578125" style="143" customWidth="1"/>
    <col min="12559" max="12559" width="12.42578125" style="143" customWidth="1"/>
    <col min="12560" max="12560" width="15.42578125" style="143" customWidth="1"/>
    <col min="12561" max="12799" width="9.140625" style="143"/>
    <col min="12800" max="12800" width="5.42578125" style="143" customWidth="1"/>
    <col min="12801" max="12801" width="37.42578125" style="143" bestFit="1" customWidth="1"/>
    <col min="12802" max="12802" width="15.42578125" style="143" customWidth="1"/>
    <col min="12803" max="12803" width="3.42578125" style="143" customWidth="1"/>
    <col min="12804" max="12806" width="15.42578125" style="143" customWidth="1"/>
    <col min="12807" max="12807" width="14" style="143" customWidth="1"/>
    <col min="12808" max="12808" width="14.42578125" style="143" customWidth="1"/>
    <col min="12809" max="12809" width="11.85546875" style="143" customWidth="1"/>
    <col min="12810" max="12810" width="14.42578125" style="143" customWidth="1"/>
    <col min="12811" max="12811" width="12.42578125" style="143" customWidth="1"/>
    <col min="12812" max="12814" width="15.42578125" style="143" customWidth="1"/>
    <col min="12815" max="12815" width="12.42578125" style="143" customWidth="1"/>
    <col min="12816" max="12816" width="15.42578125" style="143" customWidth="1"/>
    <col min="12817" max="13055" width="9.140625" style="143"/>
    <col min="13056" max="13056" width="5.42578125" style="143" customWidth="1"/>
    <col min="13057" max="13057" width="37.42578125" style="143" bestFit="1" customWidth="1"/>
    <col min="13058" max="13058" width="15.42578125" style="143" customWidth="1"/>
    <col min="13059" max="13059" width="3.42578125" style="143" customWidth="1"/>
    <col min="13060" max="13062" width="15.42578125" style="143" customWidth="1"/>
    <col min="13063" max="13063" width="14" style="143" customWidth="1"/>
    <col min="13064" max="13064" width="14.42578125" style="143" customWidth="1"/>
    <col min="13065" max="13065" width="11.85546875" style="143" customWidth="1"/>
    <col min="13066" max="13066" width="14.42578125" style="143" customWidth="1"/>
    <col min="13067" max="13067" width="12.42578125" style="143" customWidth="1"/>
    <col min="13068" max="13070" width="15.42578125" style="143" customWidth="1"/>
    <col min="13071" max="13071" width="12.42578125" style="143" customWidth="1"/>
    <col min="13072" max="13072" width="15.42578125" style="143" customWidth="1"/>
    <col min="13073" max="13311" width="9.140625" style="143"/>
    <col min="13312" max="13312" width="5.42578125" style="143" customWidth="1"/>
    <col min="13313" max="13313" width="37.42578125" style="143" bestFit="1" customWidth="1"/>
    <col min="13314" max="13314" width="15.42578125" style="143" customWidth="1"/>
    <col min="13315" max="13315" width="3.42578125" style="143" customWidth="1"/>
    <col min="13316" max="13318" width="15.42578125" style="143" customWidth="1"/>
    <col min="13319" max="13319" width="14" style="143" customWidth="1"/>
    <col min="13320" max="13320" width="14.42578125" style="143" customWidth="1"/>
    <col min="13321" max="13321" width="11.85546875" style="143" customWidth="1"/>
    <col min="13322" max="13322" width="14.42578125" style="143" customWidth="1"/>
    <col min="13323" max="13323" width="12.42578125" style="143" customWidth="1"/>
    <col min="13324" max="13326" width="15.42578125" style="143" customWidth="1"/>
    <col min="13327" max="13327" width="12.42578125" style="143" customWidth="1"/>
    <col min="13328" max="13328" width="15.42578125" style="143" customWidth="1"/>
    <col min="13329" max="13567" width="9.140625" style="143"/>
    <col min="13568" max="13568" width="5.42578125" style="143" customWidth="1"/>
    <col min="13569" max="13569" width="37.42578125" style="143" bestFit="1" customWidth="1"/>
    <col min="13570" max="13570" width="15.42578125" style="143" customWidth="1"/>
    <col min="13571" max="13571" width="3.42578125" style="143" customWidth="1"/>
    <col min="13572" max="13574" width="15.42578125" style="143" customWidth="1"/>
    <col min="13575" max="13575" width="14" style="143" customWidth="1"/>
    <col min="13576" max="13576" width="14.42578125" style="143" customWidth="1"/>
    <col min="13577" max="13577" width="11.85546875" style="143" customWidth="1"/>
    <col min="13578" max="13578" width="14.42578125" style="143" customWidth="1"/>
    <col min="13579" max="13579" width="12.42578125" style="143" customWidth="1"/>
    <col min="13580" max="13582" width="15.42578125" style="143" customWidth="1"/>
    <col min="13583" max="13583" width="12.42578125" style="143" customWidth="1"/>
    <col min="13584" max="13584" width="15.42578125" style="143" customWidth="1"/>
    <col min="13585" max="13823" width="9.140625" style="143"/>
    <col min="13824" max="13824" width="5.42578125" style="143" customWidth="1"/>
    <col min="13825" max="13825" width="37.42578125" style="143" bestFit="1" customWidth="1"/>
    <col min="13826" max="13826" width="15.42578125" style="143" customWidth="1"/>
    <col min="13827" max="13827" width="3.42578125" style="143" customWidth="1"/>
    <col min="13828" max="13830" width="15.42578125" style="143" customWidth="1"/>
    <col min="13831" max="13831" width="14" style="143" customWidth="1"/>
    <col min="13832" max="13832" width="14.42578125" style="143" customWidth="1"/>
    <col min="13833" max="13833" width="11.85546875" style="143" customWidth="1"/>
    <col min="13834" max="13834" width="14.42578125" style="143" customWidth="1"/>
    <col min="13835" max="13835" width="12.42578125" style="143" customWidth="1"/>
    <col min="13836" max="13838" width="15.42578125" style="143" customWidth="1"/>
    <col min="13839" max="13839" width="12.42578125" style="143" customWidth="1"/>
    <col min="13840" max="13840" width="15.42578125" style="143" customWidth="1"/>
    <col min="13841" max="14079" width="9.140625" style="143"/>
    <col min="14080" max="14080" width="5.42578125" style="143" customWidth="1"/>
    <col min="14081" max="14081" width="37.42578125" style="143" bestFit="1" customWidth="1"/>
    <col min="14082" max="14082" width="15.42578125" style="143" customWidth="1"/>
    <col min="14083" max="14083" width="3.42578125" style="143" customWidth="1"/>
    <col min="14084" max="14086" width="15.42578125" style="143" customWidth="1"/>
    <col min="14087" max="14087" width="14" style="143" customWidth="1"/>
    <col min="14088" max="14088" width="14.42578125" style="143" customWidth="1"/>
    <col min="14089" max="14089" width="11.85546875" style="143" customWidth="1"/>
    <col min="14090" max="14090" width="14.42578125" style="143" customWidth="1"/>
    <col min="14091" max="14091" width="12.42578125" style="143" customWidth="1"/>
    <col min="14092" max="14094" width="15.42578125" style="143" customWidth="1"/>
    <col min="14095" max="14095" width="12.42578125" style="143" customWidth="1"/>
    <col min="14096" max="14096" width="15.42578125" style="143" customWidth="1"/>
    <col min="14097" max="14335" width="9.140625" style="143"/>
    <col min="14336" max="14336" width="5.42578125" style="143" customWidth="1"/>
    <col min="14337" max="14337" width="37.42578125" style="143" bestFit="1" customWidth="1"/>
    <col min="14338" max="14338" width="15.42578125" style="143" customWidth="1"/>
    <col min="14339" max="14339" width="3.42578125" style="143" customWidth="1"/>
    <col min="14340" max="14342" width="15.42578125" style="143" customWidth="1"/>
    <col min="14343" max="14343" width="14" style="143" customWidth="1"/>
    <col min="14344" max="14344" width="14.42578125" style="143" customWidth="1"/>
    <col min="14345" max="14345" width="11.85546875" style="143" customWidth="1"/>
    <col min="14346" max="14346" width="14.42578125" style="143" customWidth="1"/>
    <col min="14347" max="14347" width="12.42578125" style="143" customWidth="1"/>
    <col min="14348" max="14350" width="15.42578125" style="143" customWidth="1"/>
    <col min="14351" max="14351" width="12.42578125" style="143" customWidth="1"/>
    <col min="14352" max="14352" width="15.42578125" style="143" customWidth="1"/>
    <col min="14353" max="14591" width="9.140625" style="143"/>
    <col min="14592" max="14592" width="5.42578125" style="143" customWidth="1"/>
    <col min="14593" max="14593" width="37.42578125" style="143" bestFit="1" customWidth="1"/>
    <col min="14594" max="14594" width="15.42578125" style="143" customWidth="1"/>
    <col min="14595" max="14595" width="3.42578125" style="143" customWidth="1"/>
    <col min="14596" max="14598" width="15.42578125" style="143" customWidth="1"/>
    <col min="14599" max="14599" width="14" style="143" customWidth="1"/>
    <col min="14600" max="14600" width="14.42578125" style="143" customWidth="1"/>
    <col min="14601" max="14601" width="11.85546875" style="143" customWidth="1"/>
    <col min="14602" max="14602" width="14.42578125" style="143" customWidth="1"/>
    <col min="14603" max="14603" width="12.42578125" style="143" customWidth="1"/>
    <col min="14604" max="14606" width="15.42578125" style="143" customWidth="1"/>
    <col min="14607" max="14607" width="12.42578125" style="143" customWidth="1"/>
    <col min="14608" max="14608" width="15.42578125" style="143" customWidth="1"/>
    <col min="14609" max="14847" width="9.140625" style="143"/>
    <col min="14848" max="14848" width="5.42578125" style="143" customWidth="1"/>
    <col min="14849" max="14849" width="37.42578125" style="143" bestFit="1" customWidth="1"/>
    <col min="14850" max="14850" width="15.42578125" style="143" customWidth="1"/>
    <col min="14851" max="14851" width="3.42578125" style="143" customWidth="1"/>
    <col min="14852" max="14854" width="15.42578125" style="143" customWidth="1"/>
    <col min="14855" max="14855" width="14" style="143" customWidth="1"/>
    <col min="14856" max="14856" width="14.42578125" style="143" customWidth="1"/>
    <col min="14857" max="14857" width="11.85546875" style="143" customWidth="1"/>
    <col min="14858" max="14858" width="14.42578125" style="143" customWidth="1"/>
    <col min="14859" max="14859" width="12.42578125" style="143" customWidth="1"/>
    <col min="14860" max="14862" width="15.42578125" style="143" customWidth="1"/>
    <col min="14863" max="14863" width="12.42578125" style="143" customWidth="1"/>
    <col min="14864" max="14864" width="15.42578125" style="143" customWidth="1"/>
    <col min="14865" max="15103" width="9.140625" style="143"/>
    <col min="15104" max="15104" width="5.42578125" style="143" customWidth="1"/>
    <col min="15105" max="15105" width="37.42578125" style="143" bestFit="1" customWidth="1"/>
    <col min="15106" max="15106" width="15.42578125" style="143" customWidth="1"/>
    <col min="15107" max="15107" width="3.42578125" style="143" customWidth="1"/>
    <col min="15108" max="15110" width="15.42578125" style="143" customWidth="1"/>
    <col min="15111" max="15111" width="14" style="143" customWidth="1"/>
    <col min="15112" max="15112" width="14.42578125" style="143" customWidth="1"/>
    <col min="15113" max="15113" width="11.85546875" style="143" customWidth="1"/>
    <col min="15114" max="15114" width="14.42578125" style="143" customWidth="1"/>
    <col min="15115" max="15115" width="12.42578125" style="143" customWidth="1"/>
    <col min="15116" max="15118" width="15.42578125" style="143" customWidth="1"/>
    <col min="15119" max="15119" width="12.42578125" style="143" customWidth="1"/>
    <col min="15120" max="15120" width="15.42578125" style="143" customWidth="1"/>
    <col min="15121" max="15359" width="9.140625" style="143"/>
    <col min="15360" max="15360" width="5.42578125" style="143" customWidth="1"/>
    <col min="15361" max="15361" width="37.42578125" style="143" bestFit="1" customWidth="1"/>
    <col min="15362" max="15362" width="15.42578125" style="143" customWidth="1"/>
    <col min="15363" max="15363" width="3.42578125" style="143" customWidth="1"/>
    <col min="15364" max="15366" width="15.42578125" style="143" customWidth="1"/>
    <col min="15367" max="15367" width="14" style="143" customWidth="1"/>
    <col min="15368" max="15368" width="14.42578125" style="143" customWidth="1"/>
    <col min="15369" max="15369" width="11.85546875" style="143" customWidth="1"/>
    <col min="15370" max="15370" width="14.42578125" style="143" customWidth="1"/>
    <col min="15371" max="15371" width="12.42578125" style="143" customWidth="1"/>
    <col min="15372" max="15374" width="15.42578125" style="143" customWidth="1"/>
    <col min="15375" max="15375" width="12.42578125" style="143" customWidth="1"/>
    <col min="15376" max="15376" width="15.42578125" style="143" customWidth="1"/>
    <col min="15377" max="15615" width="9.140625" style="143"/>
    <col min="15616" max="15616" width="5.42578125" style="143" customWidth="1"/>
    <col min="15617" max="15617" width="37.42578125" style="143" bestFit="1" customWidth="1"/>
    <col min="15618" max="15618" width="15.42578125" style="143" customWidth="1"/>
    <col min="15619" max="15619" width="3.42578125" style="143" customWidth="1"/>
    <col min="15620" max="15622" width="15.42578125" style="143" customWidth="1"/>
    <col min="15623" max="15623" width="14" style="143" customWidth="1"/>
    <col min="15624" max="15624" width="14.42578125" style="143" customWidth="1"/>
    <col min="15625" max="15625" width="11.85546875" style="143" customWidth="1"/>
    <col min="15626" max="15626" width="14.42578125" style="143" customWidth="1"/>
    <col min="15627" max="15627" width="12.42578125" style="143" customWidth="1"/>
    <col min="15628" max="15630" width="15.42578125" style="143" customWidth="1"/>
    <col min="15631" max="15631" width="12.42578125" style="143" customWidth="1"/>
    <col min="15632" max="15632" width="15.42578125" style="143" customWidth="1"/>
    <col min="15633" max="15871" width="9.140625" style="143"/>
    <col min="15872" max="15872" width="5.42578125" style="143" customWidth="1"/>
    <col min="15873" max="15873" width="37.42578125" style="143" bestFit="1" customWidth="1"/>
    <col min="15874" max="15874" width="15.42578125" style="143" customWidth="1"/>
    <col min="15875" max="15875" width="3.42578125" style="143" customWidth="1"/>
    <col min="15876" max="15878" width="15.42578125" style="143" customWidth="1"/>
    <col min="15879" max="15879" width="14" style="143" customWidth="1"/>
    <col min="15880" max="15880" width="14.42578125" style="143" customWidth="1"/>
    <col min="15881" max="15881" width="11.85546875" style="143" customWidth="1"/>
    <col min="15882" max="15882" width="14.42578125" style="143" customWidth="1"/>
    <col min="15883" max="15883" width="12.42578125" style="143" customWidth="1"/>
    <col min="15884" max="15886" width="15.42578125" style="143" customWidth="1"/>
    <col min="15887" max="15887" width="12.42578125" style="143" customWidth="1"/>
    <col min="15888" max="15888" width="15.42578125" style="143" customWidth="1"/>
    <col min="15889" max="16127" width="9.140625" style="143"/>
    <col min="16128" max="16128" width="5.42578125" style="143" customWidth="1"/>
    <col min="16129" max="16129" width="37.42578125" style="143" bestFit="1" customWidth="1"/>
    <col min="16130" max="16130" width="15.42578125" style="143" customWidth="1"/>
    <col min="16131" max="16131" width="3.42578125" style="143" customWidth="1"/>
    <col min="16132" max="16134" width="15.42578125" style="143" customWidth="1"/>
    <col min="16135" max="16135" width="14" style="143" customWidth="1"/>
    <col min="16136" max="16136" width="14.42578125" style="143" customWidth="1"/>
    <col min="16137" max="16137" width="11.85546875" style="143" customWidth="1"/>
    <col min="16138" max="16138" width="14.42578125" style="143" customWidth="1"/>
    <col min="16139" max="16139" width="12.42578125" style="143" customWidth="1"/>
    <col min="16140" max="16142" width="15.42578125" style="143" customWidth="1"/>
    <col min="16143" max="16143" width="12.42578125" style="143" customWidth="1"/>
    <col min="16144" max="16144" width="15.42578125" style="143" customWidth="1"/>
    <col min="16145" max="16383" width="9.140625" style="143"/>
    <col min="16384" max="16384" width="9.140625" style="143" customWidth="1"/>
  </cols>
  <sheetData>
    <row r="1" spans="1:17" ht="11.25" customHeight="1" x14ac:dyDescent="0.2">
      <c r="A1" s="443" t="s">
        <v>14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</row>
    <row r="2" spans="1:17" ht="11.25" customHeight="1" x14ac:dyDescent="0.2">
      <c r="A2" s="443" t="s">
        <v>277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</row>
    <row r="3" spans="1:17" ht="11.25" customHeight="1" x14ac:dyDescent="0.2">
      <c r="A3" s="444" t="s">
        <v>443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</row>
    <row r="4" spans="1:17" ht="11.25" customHeight="1" x14ac:dyDescent="0.2">
      <c r="A4" s="443" t="s">
        <v>278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</row>
    <row r="6" spans="1:17" ht="33.75" x14ac:dyDescent="0.2">
      <c r="A6" s="190" t="s">
        <v>20</v>
      </c>
      <c r="B6" s="190" t="s">
        <v>279</v>
      </c>
      <c r="C6" s="191" t="s">
        <v>280</v>
      </c>
      <c r="D6" s="190"/>
      <c r="E6" s="190" t="s">
        <v>281</v>
      </c>
      <c r="F6" s="190" t="s">
        <v>282</v>
      </c>
      <c r="G6" s="190" t="s">
        <v>283</v>
      </c>
      <c r="H6" s="190" t="s">
        <v>284</v>
      </c>
      <c r="I6" s="190" t="s">
        <v>285</v>
      </c>
      <c r="J6" s="190" t="s">
        <v>286</v>
      </c>
      <c r="K6" s="190" t="s">
        <v>287</v>
      </c>
      <c r="L6" s="190" t="s">
        <v>29</v>
      </c>
      <c r="M6" s="190" t="s">
        <v>288</v>
      </c>
      <c r="N6" s="190" t="s">
        <v>289</v>
      </c>
      <c r="O6" s="190" t="s">
        <v>290</v>
      </c>
      <c r="P6" s="190" t="s">
        <v>12</v>
      </c>
    </row>
    <row r="7" spans="1:17" ht="11.25" customHeight="1" x14ac:dyDescent="0.2">
      <c r="A7" s="192"/>
      <c r="B7" s="193" t="s">
        <v>84</v>
      </c>
      <c r="C7" s="194" t="s">
        <v>85</v>
      </c>
      <c r="D7" s="193"/>
      <c r="E7" s="193" t="s">
        <v>86</v>
      </c>
      <c r="F7" s="193" t="s">
        <v>107</v>
      </c>
      <c r="G7" s="193" t="s">
        <v>108</v>
      </c>
      <c r="H7" s="193" t="s">
        <v>109</v>
      </c>
      <c r="I7" s="193" t="s">
        <v>110</v>
      </c>
      <c r="J7" s="193" t="s">
        <v>291</v>
      </c>
      <c r="K7" s="193" t="s">
        <v>292</v>
      </c>
      <c r="L7" s="193" t="s">
        <v>293</v>
      </c>
      <c r="M7" s="193" t="s">
        <v>294</v>
      </c>
      <c r="N7" s="193" t="s">
        <v>295</v>
      </c>
      <c r="O7" s="193" t="s">
        <v>296</v>
      </c>
      <c r="P7" s="193" t="s">
        <v>297</v>
      </c>
    </row>
    <row r="8" spans="1:17" ht="11.25" customHeight="1" x14ac:dyDescent="0.2">
      <c r="C8" s="195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</row>
    <row r="9" spans="1:17" ht="11.25" customHeight="1" x14ac:dyDescent="0.2">
      <c r="A9" s="272">
        <v>1</v>
      </c>
      <c r="B9" s="156" t="s">
        <v>298</v>
      </c>
      <c r="C9" s="197">
        <f t="shared" ref="C9:C14" si="0">SUM(E9:P9)</f>
        <v>20569393551.043995</v>
      </c>
      <c r="D9" s="197"/>
      <c r="E9" s="333">
        <v>11289696775.032455</v>
      </c>
      <c r="F9" s="333">
        <v>2650510344.8068762</v>
      </c>
      <c r="G9" s="333">
        <v>2863547553.8150382</v>
      </c>
      <c r="H9" s="333">
        <v>1761645141.2856119</v>
      </c>
      <c r="I9" s="333">
        <v>1244962544.6769378</v>
      </c>
      <c r="J9" s="333">
        <v>4175586.8908619308</v>
      </c>
      <c r="K9" s="333">
        <v>106549458.59440789</v>
      </c>
      <c r="L9" s="333">
        <v>0</v>
      </c>
      <c r="M9" s="333">
        <v>571458891.63510418</v>
      </c>
      <c r="N9" s="333">
        <v>0</v>
      </c>
      <c r="O9" s="333">
        <v>69915368.679998547</v>
      </c>
      <c r="P9" s="333">
        <v>6931885.6267018262</v>
      </c>
      <c r="Q9" s="198"/>
    </row>
    <row r="10" spans="1:17" ht="11.25" customHeight="1" x14ac:dyDescent="0.2">
      <c r="A10" s="272">
        <f t="shared" ref="A10:A32" si="1">+A9+1</f>
        <v>2</v>
      </c>
      <c r="B10" s="192" t="s">
        <v>299</v>
      </c>
      <c r="C10" s="199">
        <f t="shared" si="0"/>
        <v>1</v>
      </c>
      <c r="D10" s="199"/>
      <c r="E10" s="334">
        <f>(+E9/$C9)</f>
        <v>0.54885899999999999</v>
      </c>
      <c r="F10" s="334">
        <f t="shared" ref="F10:P10" si="2">(+F9/$C9)</f>
        <v>0.128857</v>
      </c>
      <c r="G10" s="334">
        <f t="shared" si="2"/>
        <v>0.13921399999999998</v>
      </c>
      <c r="H10" s="334">
        <f t="shared" si="2"/>
        <v>8.5643999999999998E-2</v>
      </c>
      <c r="I10" s="334">
        <f t="shared" si="2"/>
        <v>6.0525000000000002E-2</v>
      </c>
      <c r="J10" s="334">
        <f t="shared" si="2"/>
        <v>2.03E-4</v>
      </c>
      <c r="K10" s="334">
        <f t="shared" si="2"/>
        <v>5.1799999999999997E-3</v>
      </c>
      <c r="L10" s="334">
        <f t="shared" si="2"/>
        <v>0</v>
      </c>
      <c r="M10" s="334">
        <f t="shared" si="2"/>
        <v>2.7781999999999994E-2</v>
      </c>
      <c r="N10" s="334">
        <f t="shared" si="2"/>
        <v>0</v>
      </c>
      <c r="O10" s="334">
        <f t="shared" si="2"/>
        <v>3.3990000000000005E-3</v>
      </c>
      <c r="P10" s="334">
        <f t="shared" si="2"/>
        <v>3.3700000000000001E-4</v>
      </c>
    </row>
    <row r="11" spans="1:17" ht="11.25" customHeight="1" x14ac:dyDescent="0.2">
      <c r="A11" s="272">
        <f t="shared" si="1"/>
        <v>3</v>
      </c>
      <c r="B11" s="192" t="s">
        <v>300</v>
      </c>
      <c r="C11" s="197">
        <f t="shared" si="0"/>
        <v>3532260.2881331849</v>
      </c>
      <c r="D11" s="197"/>
      <c r="E11" s="333">
        <v>2085925.9513142572</v>
      </c>
      <c r="F11" s="333">
        <v>442083.12923040637</v>
      </c>
      <c r="G11" s="333">
        <v>477625.68061538372</v>
      </c>
      <c r="H11" s="333">
        <v>269366.56769329851</v>
      </c>
      <c r="I11" s="333">
        <v>187475.93901391898</v>
      </c>
      <c r="J11" s="333">
        <v>401.31553606995664</v>
      </c>
      <c r="K11" s="333">
        <v>0</v>
      </c>
      <c r="L11" s="333">
        <v>0</v>
      </c>
      <c r="M11" s="333">
        <v>64687.506260655959</v>
      </c>
      <c r="N11" s="333">
        <v>0</v>
      </c>
      <c r="O11" s="333">
        <v>3735.6122611509822</v>
      </c>
      <c r="P11" s="333">
        <v>958.58620804307577</v>
      </c>
    </row>
    <row r="12" spans="1:17" ht="11.25" customHeight="1" x14ac:dyDescent="0.2">
      <c r="A12" s="272">
        <f t="shared" si="1"/>
        <v>4</v>
      </c>
      <c r="B12" s="192" t="s">
        <v>301</v>
      </c>
      <c r="C12" s="199">
        <f t="shared" si="0"/>
        <v>1</v>
      </c>
      <c r="D12" s="199"/>
      <c r="E12" s="334">
        <f>(+E11/$C11)</f>
        <v>0.59053574231832118</v>
      </c>
      <c r="F12" s="334">
        <f t="shared" ref="F12:P12" si="3">(+F11/$C11)</f>
        <v>0.12515587560622529</v>
      </c>
      <c r="G12" s="334">
        <f t="shared" si="3"/>
        <v>0.13521814409317243</v>
      </c>
      <c r="H12" s="334">
        <f t="shared" si="3"/>
        <v>7.6258980290396419E-2</v>
      </c>
      <c r="I12" s="334">
        <f t="shared" si="3"/>
        <v>5.3075346582966802E-2</v>
      </c>
      <c r="J12" s="334">
        <f t="shared" si="3"/>
        <v>1.1361437247934343E-4</v>
      </c>
      <c r="K12" s="334">
        <f t="shared" si="3"/>
        <v>0</v>
      </c>
      <c r="L12" s="334">
        <f t="shared" si="3"/>
        <v>0</v>
      </c>
      <c r="M12" s="334">
        <f t="shared" si="3"/>
        <v>1.8313346408240935E-2</v>
      </c>
      <c r="N12" s="334">
        <f t="shared" si="3"/>
        <v>0</v>
      </c>
      <c r="O12" s="334">
        <f t="shared" si="3"/>
        <v>1.0575699287226847E-3</v>
      </c>
      <c r="P12" s="334">
        <f t="shared" si="3"/>
        <v>2.713803994749472E-4</v>
      </c>
    </row>
    <row r="13" spans="1:17" ht="11.25" customHeight="1" x14ac:dyDescent="0.2">
      <c r="A13" s="272">
        <f t="shared" si="1"/>
        <v>5</v>
      </c>
      <c r="B13" s="192" t="s">
        <v>302</v>
      </c>
      <c r="C13" s="197">
        <f t="shared" si="0"/>
        <v>3532474.3049434912</v>
      </c>
      <c r="D13" s="197"/>
      <c r="E13" s="333">
        <v>2086045.382522709</v>
      </c>
      <c r="F13" s="333">
        <v>442111.68919237336</v>
      </c>
      <c r="G13" s="333">
        <v>477657.99057722604</v>
      </c>
      <c r="H13" s="333">
        <v>269383.53922299074</v>
      </c>
      <c r="I13" s="333">
        <v>187488.2773004591</v>
      </c>
      <c r="J13" s="333">
        <v>401.34137092455575</v>
      </c>
      <c r="K13" s="333">
        <v>0</v>
      </c>
      <c r="L13" s="333">
        <v>0</v>
      </c>
      <c r="M13" s="333">
        <v>64691.696510950045</v>
      </c>
      <c r="N13" s="333">
        <v>0</v>
      </c>
      <c r="O13" s="333">
        <v>3735.7457131588167</v>
      </c>
      <c r="P13" s="333">
        <v>958.64253269964752</v>
      </c>
    </row>
    <row r="14" spans="1:17" ht="11.25" customHeight="1" x14ac:dyDescent="0.2">
      <c r="A14" s="272">
        <f t="shared" si="1"/>
        <v>6</v>
      </c>
      <c r="B14" s="192" t="s">
        <v>303</v>
      </c>
      <c r="C14" s="199">
        <f t="shared" si="0"/>
        <v>1</v>
      </c>
      <c r="D14" s="199"/>
      <c r="E14" s="334">
        <f>(+E13/$C13)</f>
        <v>0.59053377390556261</v>
      </c>
      <c r="F14" s="334">
        <f t="shared" ref="F14:P14" si="4">(+F13/$C13)</f>
        <v>0.12515637794552784</v>
      </c>
      <c r="G14" s="334">
        <f t="shared" si="4"/>
        <v>0.13521909838346782</v>
      </c>
      <c r="H14" s="334">
        <f t="shared" si="4"/>
        <v>7.6259164531219448E-2</v>
      </c>
      <c r="I14" s="334">
        <f t="shared" si="4"/>
        <v>5.3075623802296371E-2</v>
      </c>
      <c r="J14" s="334">
        <f t="shared" si="4"/>
        <v>1.1361480262231545E-4</v>
      </c>
      <c r="K14" s="334">
        <f t="shared" si="4"/>
        <v>0</v>
      </c>
      <c r="L14" s="334">
        <f t="shared" si="4"/>
        <v>0</v>
      </c>
      <c r="M14" s="334">
        <f t="shared" si="4"/>
        <v>1.8313423092821312E-2</v>
      </c>
      <c r="N14" s="334">
        <f t="shared" si="4"/>
        <v>0</v>
      </c>
      <c r="O14" s="334">
        <f t="shared" si="4"/>
        <v>1.057543633914296E-3</v>
      </c>
      <c r="P14" s="334">
        <f t="shared" si="4"/>
        <v>2.713799025680338E-4</v>
      </c>
    </row>
    <row r="15" spans="1:17" ht="11.25" customHeight="1" x14ac:dyDescent="0.2">
      <c r="A15" s="272">
        <f t="shared" si="1"/>
        <v>7</v>
      </c>
      <c r="B15" s="200" t="s">
        <v>27</v>
      </c>
      <c r="C15" s="335">
        <v>0.19999999999999996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</row>
    <row r="16" spans="1:17" ht="11.25" customHeight="1" x14ac:dyDescent="0.2">
      <c r="A16" s="272">
        <f t="shared" si="1"/>
        <v>8</v>
      </c>
      <c r="B16" s="200" t="s">
        <v>28</v>
      </c>
      <c r="C16" s="335">
        <v>0.8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</row>
    <row r="17" spans="1:18" ht="11.25" customHeight="1" x14ac:dyDescent="0.2">
      <c r="A17" s="272">
        <f t="shared" si="1"/>
        <v>9</v>
      </c>
      <c r="B17" s="201" t="s">
        <v>304</v>
      </c>
      <c r="C17" s="199">
        <f>SUM(E17:P17)</f>
        <v>1.0000000000000002</v>
      </c>
      <c r="D17" s="202"/>
      <c r="E17" s="199">
        <f t="shared" ref="E17:P17" si="5">(E9/$C$9*$C$15+E11/$C$11*$C$16)</f>
        <v>0.58220039385465694</v>
      </c>
      <c r="F17" s="199">
        <f t="shared" si="5"/>
        <v>0.12589610048498023</v>
      </c>
      <c r="G17" s="199">
        <f t="shared" si="5"/>
        <v>0.13601731527453795</v>
      </c>
      <c r="H17" s="199">
        <f t="shared" si="5"/>
        <v>7.8135984232317129E-2</v>
      </c>
      <c r="I17" s="199">
        <f t="shared" si="5"/>
        <v>5.456527726637344E-2</v>
      </c>
      <c r="J17" s="199">
        <f t="shared" si="5"/>
        <v>1.3149149798347473E-4</v>
      </c>
      <c r="K17" s="199">
        <f t="shared" si="5"/>
        <v>1.0359999999999998E-3</v>
      </c>
      <c r="L17" s="199">
        <f t="shared" si="5"/>
        <v>0</v>
      </c>
      <c r="M17" s="199">
        <f t="shared" si="5"/>
        <v>2.0207077126592747E-2</v>
      </c>
      <c r="N17" s="199">
        <f t="shared" si="5"/>
        <v>0</v>
      </c>
      <c r="O17" s="199">
        <f t="shared" si="5"/>
        <v>1.5258559429781478E-3</v>
      </c>
      <c r="P17" s="199">
        <f t="shared" si="5"/>
        <v>2.8450431957995775E-4</v>
      </c>
    </row>
    <row r="18" spans="1:18" ht="11.25" customHeight="1" x14ac:dyDescent="0.2">
      <c r="A18" s="272">
        <f t="shared" si="1"/>
        <v>10</v>
      </c>
      <c r="C18" s="195"/>
    </row>
    <row r="19" spans="1:18" x14ac:dyDescent="0.2">
      <c r="A19" s="272">
        <f t="shared" si="1"/>
        <v>11</v>
      </c>
      <c r="B19" s="338" t="s">
        <v>370</v>
      </c>
      <c r="C19" s="204"/>
      <c r="D19" s="203"/>
      <c r="E19" s="203"/>
      <c r="F19" s="203"/>
      <c r="G19" s="445" t="s">
        <v>369</v>
      </c>
      <c r="H19" s="446"/>
      <c r="I19" s="203"/>
      <c r="J19" s="203"/>
    </row>
    <row r="20" spans="1:18" ht="11.25" customHeight="1" x14ac:dyDescent="0.2">
      <c r="A20" s="272">
        <f t="shared" si="1"/>
        <v>12</v>
      </c>
      <c r="B20" s="156" t="s">
        <v>305</v>
      </c>
      <c r="C20" s="336">
        <v>394671427.82674855</v>
      </c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</row>
    <row r="21" spans="1:18" ht="11.25" customHeight="1" x14ac:dyDescent="0.2">
      <c r="A21" s="272">
        <f t="shared" si="1"/>
        <v>13</v>
      </c>
      <c r="B21" s="156" t="s">
        <v>306</v>
      </c>
      <c r="C21" s="336">
        <v>4873548.8788324492</v>
      </c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</row>
    <row r="22" spans="1:18" ht="11.25" customHeight="1" x14ac:dyDescent="0.2">
      <c r="A22" s="272">
        <f t="shared" si="1"/>
        <v>14</v>
      </c>
      <c r="B22" s="156" t="s">
        <v>307</v>
      </c>
      <c r="C22" s="336">
        <v>976392808.54813755</v>
      </c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</row>
    <row r="23" spans="1:18" ht="11.25" customHeight="1" x14ac:dyDescent="0.2">
      <c r="A23" s="272">
        <f t="shared" si="1"/>
        <v>15</v>
      </c>
      <c r="B23" s="156" t="s">
        <v>308</v>
      </c>
      <c r="C23" s="195">
        <f>SUM(C20:C22)</f>
        <v>1375937785.2537186</v>
      </c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</row>
    <row r="24" spans="1:18" ht="11.25" customHeight="1" x14ac:dyDescent="0.2">
      <c r="A24" s="272">
        <f t="shared" si="1"/>
        <v>16</v>
      </c>
      <c r="B24" s="156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</row>
    <row r="25" spans="1:18" ht="11.25" customHeight="1" x14ac:dyDescent="0.2">
      <c r="A25" s="272">
        <f t="shared" si="1"/>
        <v>17</v>
      </c>
      <c r="B25" s="201" t="s">
        <v>309</v>
      </c>
      <c r="C25" s="195">
        <f>SUM(E25:P25)</f>
        <v>394671427.82674849</v>
      </c>
      <c r="E25" s="339">
        <v>229777860.72391281</v>
      </c>
      <c r="F25" s="339">
        <v>49687593.736226961</v>
      </c>
      <c r="G25" s="339">
        <v>53682148.028562903</v>
      </c>
      <c r="H25" s="339">
        <v>30838040.461616911</v>
      </c>
      <c r="I25" s="339">
        <v>21535355.888482027</v>
      </c>
      <c r="J25" s="339">
        <v>51895.937256215999</v>
      </c>
      <c r="K25" s="339">
        <v>408879.59922851145</v>
      </c>
      <c r="L25" s="339">
        <v>0</v>
      </c>
      <c r="M25" s="339">
        <v>7975155.9817575905</v>
      </c>
      <c r="N25" s="339">
        <v>0</v>
      </c>
      <c r="O25" s="339">
        <v>602211.74367311539</v>
      </c>
      <c r="P25" s="339">
        <v>112285.72603149949</v>
      </c>
      <c r="Q25" s="206"/>
      <c r="R25" s="206"/>
    </row>
    <row r="26" spans="1:18" ht="11.25" customHeight="1" x14ac:dyDescent="0.2">
      <c r="A26" s="272">
        <f t="shared" si="1"/>
        <v>18</v>
      </c>
      <c r="B26" s="201" t="s">
        <v>310</v>
      </c>
      <c r="C26" s="205">
        <f>SUM(E26:P26)</f>
        <v>4873548.8788324492</v>
      </c>
      <c r="D26" s="207"/>
      <c r="E26" s="337">
        <v>2877995.2117301496</v>
      </c>
      <c r="F26" s="337">
        <v>609955.7254151575</v>
      </c>
      <c r="G26" s="337">
        <v>658996.8853234842</v>
      </c>
      <c r="H26" s="337">
        <v>371652.76580182381</v>
      </c>
      <c r="I26" s="337">
        <v>258666.64687501432</v>
      </c>
      <c r="J26" s="337">
        <v>553.70729393875547</v>
      </c>
      <c r="K26" s="337">
        <v>0</v>
      </c>
      <c r="L26" s="337">
        <v>0</v>
      </c>
      <c r="M26" s="337">
        <v>89251.362581603593</v>
      </c>
      <c r="N26" s="337">
        <v>0</v>
      </c>
      <c r="O26" s="337">
        <v>5153.9905913794119</v>
      </c>
      <c r="P26" s="337">
        <v>1322.5832198981004</v>
      </c>
      <c r="Q26" s="206"/>
      <c r="R26" s="206"/>
    </row>
    <row r="27" spans="1:18" ht="11.25" customHeight="1" x14ac:dyDescent="0.2">
      <c r="A27" s="272">
        <f t="shared" si="1"/>
        <v>19</v>
      </c>
      <c r="B27" s="201" t="s">
        <v>311</v>
      </c>
      <c r="C27" s="208">
        <f>SUM(C25:C26)</f>
        <v>399544976.70558095</v>
      </c>
      <c r="D27" s="209"/>
      <c r="E27" s="208">
        <f>SUM(E25:E26)</f>
        <v>232655855.93564296</v>
      </c>
      <c r="F27" s="208">
        <f t="shared" ref="F27:P27" si="6">SUM(F25:F26)</f>
        <v>50297549.461642116</v>
      </c>
      <c r="G27" s="208">
        <f t="shared" si="6"/>
        <v>54341144.913886391</v>
      </c>
      <c r="H27" s="208">
        <f t="shared" si="6"/>
        <v>31209693.227418736</v>
      </c>
      <c r="I27" s="208">
        <f t="shared" si="6"/>
        <v>21794022.535357039</v>
      </c>
      <c r="J27" s="208">
        <f t="shared" si="6"/>
        <v>52449.644550154757</v>
      </c>
      <c r="K27" s="208">
        <f t="shared" si="6"/>
        <v>408879.59922851145</v>
      </c>
      <c r="L27" s="208">
        <f t="shared" si="6"/>
        <v>0</v>
      </c>
      <c r="M27" s="208">
        <f t="shared" si="6"/>
        <v>8064407.3443391938</v>
      </c>
      <c r="N27" s="208">
        <f t="shared" si="6"/>
        <v>0</v>
      </c>
      <c r="O27" s="208">
        <f t="shared" si="6"/>
        <v>607365.73426449485</v>
      </c>
      <c r="P27" s="208">
        <f t="shared" si="6"/>
        <v>113608.30925139759</v>
      </c>
      <c r="Q27" s="206"/>
      <c r="R27" s="206"/>
    </row>
    <row r="28" spans="1:18" ht="11.25" customHeight="1" x14ac:dyDescent="0.2">
      <c r="A28" s="272">
        <f t="shared" si="1"/>
        <v>20</v>
      </c>
      <c r="B28" s="201" t="s">
        <v>312</v>
      </c>
      <c r="C28" s="205">
        <f>SUM(E28:P28)</f>
        <v>976392808.54813743</v>
      </c>
      <c r="E28" s="337">
        <v>535901980.50692219</v>
      </c>
      <c r="F28" s="337">
        <v>125815048.13108736</v>
      </c>
      <c r="G28" s="337">
        <v>135927548.44922039</v>
      </c>
      <c r="H28" s="337">
        <v>83622185.69529669</v>
      </c>
      <c r="I28" s="337">
        <v>59096174.737376027</v>
      </c>
      <c r="J28" s="337">
        <v>198207.74013527192</v>
      </c>
      <c r="K28" s="337">
        <v>5057714.7482793517</v>
      </c>
      <c r="L28" s="337">
        <v>0</v>
      </c>
      <c r="M28" s="337">
        <v>27126145.007084351</v>
      </c>
      <c r="N28" s="337">
        <v>0</v>
      </c>
      <c r="O28" s="337">
        <v>3318759.1562551199</v>
      </c>
      <c r="P28" s="337">
        <v>329044.37648072233</v>
      </c>
      <c r="Q28" s="206"/>
      <c r="R28" s="206"/>
    </row>
    <row r="29" spans="1:18" ht="11.25" customHeight="1" x14ac:dyDescent="0.2">
      <c r="A29" s="272">
        <f t="shared" si="1"/>
        <v>21</v>
      </c>
      <c r="B29" s="210" t="s">
        <v>313</v>
      </c>
      <c r="C29" s="195">
        <f>SUM(C27:C28)</f>
        <v>1375937785.2537184</v>
      </c>
      <c r="E29" s="195">
        <f>SUM(E27:E28)</f>
        <v>768557836.4425652</v>
      </c>
      <c r="F29" s="195">
        <f t="shared" ref="F29:P29" si="7">SUM(F27:F28)</f>
        <v>176112597.59272948</v>
      </c>
      <c r="G29" s="195">
        <f t="shared" si="7"/>
        <v>190268693.36310679</v>
      </c>
      <c r="H29" s="195">
        <f t="shared" si="7"/>
        <v>114831878.92271543</v>
      </c>
      <c r="I29" s="195">
        <f t="shared" si="7"/>
        <v>80890197.272733063</v>
      </c>
      <c r="J29" s="195">
        <f t="shared" si="7"/>
        <v>250657.38468542666</v>
      </c>
      <c r="K29" s="195">
        <f t="shared" si="7"/>
        <v>5466594.3475078633</v>
      </c>
      <c r="L29" s="195">
        <f t="shared" si="7"/>
        <v>0</v>
      </c>
      <c r="M29" s="195">
        <f t="shared" si="7"/>
        <v>35190552.351423547</v>
      </c>
      <c r="N29" s="195">
        <f t="shared" si="7"/>
        <v>0</v>
      </c>
      <c r="O29" s="195">
        <f t="shared" si="7"/>
        <v>3926124.8905196148</v>
      </c>
      <c r="P29" s="195">
        <f t="shared" si="7"/>
        <v>442652.68573211995</v>
      </c>
      <c r="Q29" s="206"/>
      <c r="R29" s="206"/>
    </row>
    <row r="30" spans="1:18" ht="11.25" customHeight="1" x14ac:dyDescent="0.2">
      <c r="A30" s="272">
        <f t="shared" si="1"/>
        <v>22</v>
      </c>
      <c r="C30" s="195"/>
    </row>
    <row r="31" spans="1:18" ht="11.25" customHeight="1" x14ac:dyDescent="0.2">
      <c r="A31" s="272">
        <f t="shared" si="1"/>
        <v>23</v>
      </c>
      <c r="B31" s="211" t="s">
        <v>314</v>
      </c>
      <c r="C31" s="212">
        <f>ROUND(+C25*$C$16/C29+C26/C29,2)</f>
        <v>0.23</v>
      </c>
    </row>
    <row r="32" spans="1:18" ht="11.25" customHeight="1" x14ac:dyDescent="0.2">
      <c r="A32" s="272">
        <f t="shared" si="1"/>
        <v>24</v>
      </c>
      <c r="B32" s="211" t="s">
        <v>315</v>
      </c>
      <c r="C32" s="212">
        <f>ROUND(+C25*$C$15/C29+C28/C29,2)</f>
        <v>0.77</v>
      </c>
    </row>
    <row r="33" spans="1:3" ht="11.25" customHeight="1" x14ac:dyDescent="0.2">
      <c r="A33" s="272"/>
      <c r="B33" s="211"/>
      <c r="C33" s="212"/>
    </row>
  </sheetData>
  <mergeCells count="5">
    <mergeCell ref="A1:P1"/>
    <mergeCell ref="A2:P2"/>
    <mergeCell ref="A3:P3"/>
    <mergeCell ref="A4:P4"/>
    <mergeCell ref="G19:H19"/>
  </mergeCells>
  <printOptions horizontalCentered="1"/>
  <pageMargins left="0.5" right="0.5" top="0.57999999999999996" bottom="0.72" header="0.22" footer="0.46"/>
  <pageSetup scale="59" pageOrder="overThenDown" orientation="landscape" blackAndWhite="1" r:id="rId1"/>
  <headerFooter alignWithMargins="0">
    <oddFooter>&amp;R&amp;F
&amp;A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79998168889431442"/>
  </sheetPr>
  <dimension ref="A1:K22"/>
  <sheetViews>
    <sheetView workbookViewId="0">
      <selection activeCell="E11" sqref="E11"/>
    </sheetView>
  </sheetViews>
  <sheetFormatPr defaultRowHeight="11.25" x14ac:dyDescent="0.2"/>
  <cols>
    <col min="1" max="1" width="5.140625" style="214" bestFit="1" customWidth="1"/>
    <col min="2" max="2" width="54.42578125" style="214" bestFit="1" customWidth="1"/>
    <col min="3" max="3" width="1.5703125" style="214" customWidth="1"/>
    <col min="4" max="4" width="7.42578125" style="214" bestFit="1" customWidth="1"/>
    <col min="5" max="5" width="9" style="214" bestFit="1" customWidth="1"/>
    <col min="6" max="6" width="1.42578125" style="214" customWidth="1"/>
    <col min="7" max="7" width="5.140625" style="214" bestFit="1" customWidth="1"/>
    <col min="8" max="8" width="54.42578125" style="214" bestFit="1" customWidth="1"/>
    <col min="9" max="9" width="1.5703125" style="214" customWidth="1"/>
    <col min="10" max="10" width="7.42578125" style="214" bestFit="1" customWidth="1"/>
    <col min="11" max="11" width="9" style="214" bestFit="1" customWidth="1"/>
    <col min="12" max="256" width="9.140625" style="214"/>
    <col min="257" max="257" width="5" style="214" bestFit="1" customWidth="1"/>
    <col min="258" max="258" width="63" style="214" bestFit="1" customWidth="1"/>
    <col min="259" max="259" width="1.5703125" style="214" customWidth="1"/>
    <col min="260" max="260" width="7.42578125" style="214" bestFit="1" customWidth="1"/>
    <col min="261" max="512" width="9.140625" style="214"/>
    <col min="513" max="513" width="5" style="214" bestFit="1" customWidth="1"/>
    <col min="514" max="514" width="63" style="214" bestFit="1" customWidth="1"/>
    <col min="515" max="515" width="1.5703125" style="214" customWidth="1"/>
    <col min="516" max="516" width="7.42578125" style="214" bestFit="1" customWidth="1"/>
    <col min="517" max="768" width="9.140625" style="214"/>
    <col min="769" max="769" width="5" style="214" bestFit="1" customWidth="1"/>
    <col min="770" max="770" width="63" style="214" bestFit="1" customWidth="1"/>
    <col min="771" max="771" width="1.5703125" style="214" customWidth="1"/>
    <col min="772" max="772" width="7.42578125" style="214" bestFit="1" customWidth="1"/>
    <col min="773" max="1024" width="9.140625" style="214"/>
    <col min="1025" max="1025" width="5" style="214" bestFit="1" customWidth="1"/>
    <col min="1026" max="1026" width="63" style="214" bestFit="1" customWidth="1"/>
    <col min="1027" max="1027" width="1.5703125" style="214" customWidth="1"/>
    <col min="1028" max="1028" width="7.42578125" style="214" bestFit="1" customWidth="1"/>
    <col min="1029" max="1280" width="9.140625" style="214"/>
    <col min="1281" max="1281" width="5" style="214" bestFit="1" customWidth="1"/>
    <col min="1282" max="1282" width="63" style="214" bestFit="1" customWidth="1"/>
    <col min="1283" max="1283" width="1.5703125" style="214" customWidth="1"/>
    <col min="1284" max="1284" width="7.42578125" style="214" bestFit="1" customWidth="1"/>
    <col min="1285" max="1536" width="9.140625" style="214"/>
    <col min="1537" max="1537" width="5" style="214" bestFit="1" customWidth="1"/>
    <col min="1538" max="1538" width="63" style="214" bestFit="1" customWidth="1"/>
    <col min="1539" max="1539" width="1.5703125" style="214" customWidth="1"/>
    <col min="1540" max="1540" width="7.42578125" style="214" bestFit="1" customWidth="1"/>
    <col min="1541" max="1792" width="9.140625" style="214"/>
    <col min="1793" max="1793" width="5" style="214" bestFit="1" customWidth="1"/>
    <col min="1794" max="1794" width="63" style="214" bestFit="1" customWidth="1"/>
    <col min="1795" max="1795" width="1.5703125" style="214" customWidth="1"/>
    <col min="1796" max="1796" width="7.42578125" style="214" bestFit="1" customWidth="1"/>
    <col min="1797" max="2048" width="9.140625" style="214"/>
    <col min="2049" max="2049" width="5" style="214" bestFit="1" customWidth="1"/>
    <col min="2050" max="2050" width="63" style="214" bestFit="1" customWidth="1"/>
    <col min="2051" max="2051" width="1.5703125" style="214" customWidth="1"/>
    <col min="2052" max="2052" width="7.42578125" style="214" bestFit="1" customWidth="1"/>
    <col min="2053" max="2304" width="9.140625" style="214"/>
    <col min="2305" max="2305" width="5" style="214" bestFit="1" customWidth="1"/>
    <col min="2306" max="2306" width="63" style="214" bestFit="1" customWidth="1"/>
    <col min="2307" max="2307" width="1.5703125" style="214" customWidth="1"/>
    <col min="2308" max="2308" width="7.42578125" style="214" bestFit="1" customWidth="1"/>
    <col min="2309" max="2560" width="9.140625" style="214"/>
    <col min="2561" max="2561" width="5" style="214" bestFit="1" customWidth="1"/>
    <col min="2562" max="2562" width="63" style="214" bestFit="1" customWidth="1"/>
    <col min="2563" max="2563" width="1.5703125" style="214" customWidth="1"/>
    <col min="2564" max="2564" width="7.42578125" style="214" bestFit="1" customWidth="1"/>
    <col min="2565" max="2816" width="9.140625" style="214"/>
    <col min="2817" max="2817" width="5" style="214" bestFit="1" customWidth="1"/>
    <col min="2818" max="2818" width="63" style="214" bestFit="1" customWidth="1"/>
    <col min="2819" max="2819" width="1.5703125" style="214" customWidth="1"/>
    <col min="2820" max="2820" width="7.42578125" style="214" bestFit="1" customWidth="1"/>
    <col min="2821" max="3072" width="9.140625" style="214"/>
    <col min="3073" max="3073" width="5" style="214" bestFit="1" customWidth="1"/>
    <col min="3074" max="3074" width="63" style="214" bestFit="1" customWidth="1"/>
    <col min="3075" max="3075" width="1.5703125" style="214" customWidth="1"/>
    <col min="3076" max="3076" width="7.42578125" style="214" bestFit="1" customWidth="1"/>
    <col min="3077" max="3328" width="9.140625" style="214"/>
    <col min="3329" max="3329" width="5" style="214" bestFit="1" customWidth="1"/>
    <col min="3330" max="3330" width="63" style="214" bestFit="1" customWidth="1"/>
    <col min="3331" max="3331" width="1.5703125" style="214" customWidth="1"/>
    <col min="3332" max="3332" width="7.42578125" style="214" bestFit="1" customWidth="1"/>
    <col min="3333" max="3584" width="9.140625" style="214"/>
    <col min="3585" max="3585" width="5" style="214" bestFit="1" customWidth="1"/>
    <col min="3586" max="3586" width="63" style="214" bestFit="1" customWidth="1"/>
    <col min="3587" max="3587" width="1.5703125" style="214" customWidth="1"/>
    <col min="3588" max="3588" width="7.42578125" style="214" bestFit="1" customWidth="1"/>
    <col min="3589" max="3840" width="9.140625" style="214"/>
    <col min="3841" max="3841" width="5" style="214" bestFit="1" customWidth="1"/>
    <col min="3842" max="3842" width="63" style="214" bestFit="1" customWidth="1"/>
    <col min="3843" max="3843" width="1.5703125" style="214" customWidth="1"/>
    <col min="3844" max="3844" width="7.42578125" style="214" bestFit="1" customWidth="1"/>
    <col min="3845" max="4096" width="9.140625" style="214"/>
    <col min="4097" max="4097" width="5" style="214" bestFit="1" customWidth="1"/>
    <col min="4098" max="4098" width="63" style="214" bestFit="1" customWidth="1"/>
    <col min="4099" max="4099" width="1.5703125" style="214" customWidth="1"/>
    <col min="4100" max="4100" width="7.42578125" style="214" bestFit="1" customWidth="1"/>
    <col min="4101" max="4352" width="9.140625" style="214"/>
    <col min="4353" max="4353" width="5" style="214" bestFit="1" customWidth="1"/>
    <col min="4354" max="4354" width="63" style="214" bestFit="1" customWidth="1"/>
    <col min="4355" max="4355" width="1.5703125" style="214" customWidth="1"/>
    <col min="4356" max="4356" width="7.42578125" style="214" bestFit="1" customWidth="1"/>
    <col min="4357" max="4608" width="9.140625" style="214"/>
    <col min="4609" max="4609" width="5" style="214" bestFit="1" customWidth="1"/>
    <col min="4610" max="4610" width="63" style="214" bestFit="1" customWidth="1"/>
    <col min="4611" max="4611" width="1.5703125" style="214" customWidth="1"/>
    <col min="4612" max="4612" width="7.42578125" style="214" bestFit="1" customWidth="1"/>
    <col min="4613" max="4864" width="9.140625" style="214"/>
    <col min="4865" max="4865" width="5" style="214" bestFit="1" customWidth="1"/>
    <col min="4866" max="4866" width="63" style="214" bestFit="1" customWidth="1"/>
    <col min="4867" max="4867" width="1.5703125" style="214" customWidth="1"/>
    <col min="4868" max="4868" width="7.42578125" style="214" bestFit="1" customWidth="1"/>
    <col min="4869" max="5120" width="9.140625" style="214"/>
    <col min="5121" max="5121" width="5" style="214" bestFit="1" customWidth="1"/>
    <col min="5122" max="5122" width="63" style="214" bestFit="1" customWidth="1"/>
    <col min="5123" max="5123" width="1.5703125" style="214" customWidth="1"/>
    <col min="5124" max="5124" width="7.42578125" style="214" bestFit="1" customWidth="1"/>
    <col min="5125" max="5376" width="9.140625" style="214"/>
    <col min="5377" max="5377" width="5" style="214" bestFit="1" customWidth="1"/>
    <col min="5378" max="5378" width="63" style="214" bestFit="1" customWidth="1"/>
    <col min="5379" max="5379" width="1.5703125" style="214" customWidth="1"/>
    <col min="5380" max="5380" width="7.42578125" style="214" bestFit="1" customWidth="1"/>
    <col min="5381" max="5632" width="9.140625" style="214"/>
    <col min="5633" max="5633" width="5" style="214" bestFit="1" customWidth="1"/>
    <col min="5634" max="5634" width="63" style="214" bestFit="1" customWidth="1"/>
    <col min="5635" max="5635" width="1.5703125" style="214" customWidth="1"/>
    <col min="5636" max="5636" width="7.42578125" style="214" bestFit="1" customWidth="1"/>
    <col min="5637" max="5888" width="9.140625" style="214"/>
    <col min="5889" max="5889" width="5" style="214" bestFit="1" customWidth="1"/>
    <col min="5890" max="5890" width="63" style="214" bestFit="1" customWidth="1"/>
    <col min="5891" max="5891" width="1.5703125" style="214" customWidth="1"/>
    <col min="5892" max="5892" width="7.42578125" style="214" bestFit="1" customWidth="1"/>
    <col min="5893" max="6144" width="9.140625" style="214"/>
    <col min="6145" max="6145" width="5" style="214" bestFit="1" customWidth="1"/>
    <col min="6146" max="6146" width="63" style="214" bestFit="1" customWidth="1"/>
    <col min="6147" max="6147" width="1.5703125" style="214" customWidth="1"/>
    <col min="6148" max="6148" width="7.42578125" style="214" bestFit="1" customWidth="1"/>
    <col min="6149" max="6400" width="9.140625" style="214"/>
    <col min="6401" max="6401" width="5" style="214" bestFit="1" customWidth="1"/>
    <col min="6402" max="6402" width="63" style="214" bestFit="1" customWidth="1"/>
    <col min="6403" max="6403" width="1.5703125" style="214" customWidth="1"/>
    <col min="6404" max="6404" width="7.42578125" style="214" bestFit="1" customWidth="1"/>
    <col min="6405" max="6656" width="9.140625" style="214"/>
    <col min="6657" max="6657" width="5" style="214" bestFit="1" customWidth="1"/>
    <col min="6658" max="6658" width="63" style="214" bestFit="1" customWidth="1"/>
    <col min="6659" max="6659" width="1.5703125" style="214" customWidth="1"/>
    <col min="6660" max="6660" width="7.42578125" style="214" bestFit="1" customWidth="1"/>
    <col min="6661" max="6912" width="9.140625" style="214"/>
    <col min="6913" max="6913" width="5" style="214" bestFit="1" customWidth="1"/>
    <col min="6914" max="6914" width="63" style="214" bestFit="1" customWidth="1"/>
    <col min="6915" max="6915" width="1.5703125" style="214" customWidth="1"/>
    <col min="6916" max="6916" width="7.42578125" style="214" bestFit="1" customWidth="1"/>
    <col min="6917" max="7168" width="9.140625" style="214"/>
    <col min="7169" max="7169" width="5" style="214" bestFit="1" customWidth="1"/>
    <col min="7170" max="7170" width="63" style="214" bestFit="1" customWidth="1"/>
    <col min="7171" max="7171" width="1.5703125" style="214" customWidth="1"/>
    <col min="7172" max="7172" width="7.42578125" style="214" bestFit="1" customWidth="1"/>
    <col min="7173" max="7424" width="9.140625" style="214"/>
    <col min="7425" max="7425" width="5" style="214" bestFit="1" customWidth="1"/>
    <col min="7426" max="7426" width="63" style="214" bestFit="1" customWidth="1"/>
    <col min="7427" max="7427" width="1.5703125" style="214" customWidth="1"/>
    <col min="7428" max="7428" width="7.42578125" style="214" bestFit="1" customWidth="1"/>
    <col min="7429" max="7680" width="9.140625" style="214"/>
    <col min="7681" max="7681" width="5" style="214" bestFit="1" customWidth="1"/>
    <col min="7682" max="7682" width="63" style="214" bestFit="1" customWidth="1"/>
    <col min="7683" max="7683" width="1.5703125" style="214" customWidth="1"/>
    <col min="7684" max="7684" width="7.42578125" style="214" bestFit="1" customWidth="1"/>
    <col min="7685" max="7936" width="9.140625" style="214"/>
    <col min="7937" max="7937" width="5" style="214" bestFit="1" customWidth="1"/>
    <col min="7938" max="7938" width="63" style="214" bestFit="1" customWidth="1"/>
    <col min="7939" max="7939" width="1.5703125" style="214" customWidth="1"/>
    <col min="7940" max="7940" width="7.42578125" style="214" bestFit="1" customWidth="1"/>
    <col min="7941" max="8192" width="9.140625" style="214"/>
    <col min="8193" max="8193" width="5" style="214" bestFit="1" customWidth="1"/>
    <col min="8194" max="8194" width="63" style="214" bestFit="1" customWidth="1"/>
    <col min="8195" max="8195" width="1.5703125" style="214" customWidth="1"/>
    <col min="8196" max="8196" width="7.42578125" style="214" bestFit="1" customWidth="1"/>
    <col min="8197" max="8448" width="9.140625" style="214"/>
    <col min="8449" max="8449" width="5" style="214" bestFit="1" customWidth="1"/>
    <col min="8450" max="8450" width="63" style="214" bestFit="1" customWidth="1"/>
    <col min="8451" max="8451" width="1.5703125" style="214" customWidth="1"/>
    <col min="8452" max="8452" width="7.42578125" style="214" bestFit="1" customWidth="1"/>
    <col min="8453" max="8704" width="9.140625" style="214"/>
    <col min="8705" max="8705" width="5" style="214" bestFit="1" customWidth="1"/>
    <col min="8706" max="8706" width="63" style="214" bestFit="1" customWidth="1"/>
    <col min="8707" max="8707" width="1.5703125" style="214" customWidth="1"/>
    <col min="8708" max="8708" width="7.42578125" style="214" bestFit="1" customWidth="1"/>
    <col min="8709" max="8960" width="9.140625" style="214"/>
    <col min="8961" max="8961" width="5" style="214" bestFit="1" customWidth="1"/>
    <col min="8962" max="8962" width="63" style="214" bestFit="1" customWidth="1"/>
    <col min="8963" max="8963" width="1.5703125" style="214" customWidth="1"/>
    <col min="8964" max="8964" width="7.42578125" style="214" bestFit="1" customWidth="1"/>
    <col min="8965" max="9216" width="9.140625" style="214"/>
    <col min="9217" max="9217" width="5" style="214" bestFit="1" customWidth="1"/>
    <col min="9218" max="9218" width="63" style="214" bestFit="1" customWidth="1"/>
    <col min="9219" max="9219" width="1.5703125" style="214" customWidth="1"/>
    <col min="9220" max="9220" width="7.42578125" style="214" bestFit="1" customWidth="1"/>
    <col min="9221" max="9472" width="9.140625" style="214"/>
    <col min="9473" max="9473" width="5" style="214" bestFit="1" customWidth="1"/>
    <col min="9474" max="9474" width="63" style="214" bestFit="1" customWidth="1"/>
    <col min="9475" max="9475" width="1.5703125" style="214" customWidth="1"/>
    <col min="9476" max="9476" width="7.42578125" style="214" bestFit="1" customWidth="1"/>
    <col min="9477" max="9728" width="9.140625" style="214"/>
    <col min="9729" max="9729" width="5" style="214" bestFit="1" customWidth="1"/>
    <col min="9730" max="9730" width="63" style="214" bestFit="1" customWidth="1"/>
    <col min="9731" max="9731" width="1.5703125" style="214" customWidth="1"/>
    <col min="9732" max="9732" width="7.42578125" style="214" bestFit="1" customWidth="1"/>
    <col min="9733" max="9984" width="9.140625" style="214"/>
    <col min="9985" max="9985" width="5" style="214" bestFit="1" customWidth="1"/>
    <col min="9986" max="9986" width="63" style="214" bestFit="1" customWidth="1"/>
    <col min="9987" max="9987" width="1.5703125" style="214" customWidth="1"/>
    <col min="9988" max="9988" width="7.42578125" style="214" bestFit="1" customWidth="1"/>
    <col min="9989" max="10240" width="9.140625" style="214"/>
    <col min="10241" max="10241" width="5" style="214" bestFit="1" customWidth="1"/>
    <col min="10242" max="10242" width="63" style="214" bestFit="1" customWidth="1"/>
    <col min="10243" max="10243" width="1.5703125" style="214" customWidth="1"/>
    <col min="10244" max="10244" width="7.42578125" style="214" bestFit="1" customWidth="1"/>
    <col min="10245" max="10496" width="9.140625" style="214"/>
    <col min="10497" max="10497" width="5" style="214" bestFit="1" customWidth="1"/>
    <col min="10498" max="10498" width="63" style="214" bestFit="1" customWidth="1"/>
    <col min="10499" max="10499" width="1.5703125" style="214" customWidth="1"/>
    <col min="10500" max="10500" width="7.42578125" style="214" bestFit="1" customWidth="1"/>
    <col min="10501" max="10752" width="9.140625" style="214"/>
    <col min="10753" max="10753" width="5" style="214" bestFit="1" customWidth="1"/>
    <col min="10754" max="10754" width="63" style="214" bestFit="1" customWidth="1"/>
    <col min="10755" max="10755" width="1.5703125" style="214" customWidth="1"/>
    <col min="10756" max="10756" width="7.42578125" style="214" bestFit="1" customWidth="1"/>
    <col min="10757" max="11008" width="9.140625" style="214"/>
    <col min="11009" max="11009" width="5" style="214" bestFit="1" customWidth="1"/>
    <col min="11010" max="11010" width="63" style="214" bestFit="1" customWidth="1"/>
    <col min="11011" max="11011" width="1.5703125" style="214" customWidth="1"/>
    <col min="11012" max="11012" width="7.42578125" style="214" bestFit="1" customWidth="1"/>
    <col min="11013" max="11264" width="9.140625" style="214"/>
    <col min="11265" max="11265" width="5" style="214" bestFit="1" customWidth="1"/>
    <col min="11266" max="11266" width="63" style="214" bestFit="1" customWidth="1"/>
    <col min="11267" max="11267" width="1.5703125" style="214" customWidth="1"/>
    <col min="11268" max="11268" width="7.42578125" style="214" bestFit="1" customWidth="1"/>
    <col min="11269" max="11520" width="9.140625" style="214"/>
    <col min="11521" max="11521" width="5" style="214" bestFit="1" customWidth="1"/>
    <col min="11522" max="11522" width="63" style="214" bestFit="1" customWidth="1"/>
    <col min="11523" max="11523" width="1.5703125" style="214" customWidth="1"/>
    <col min="11524" max="11524" width="7.42578125" style="214" bestFit="1" customWidth="1"/>
    <col min="11525" max="11776" width="9.140625" style="214"/>
    <col min="11777" max="11777" width="5" style="214" bestFit="1" customWidth="1"/>
    <col min="11778" max="11778" width="63" style="214" bestFit="1" customWidth="1"/>
    <col min="11779" max="11779" width="1.5703125" style="214" customWidth="1"/>
    <col min="11780" max="11780" width="7.42578125" style="214" bestFit="1" customWidth="1"/>
    <col min="11781" max="12032" width="9.140625" style="214"/>
    <col min="12033" max="12033" width="5" style="214" bestFit="1" customWidth="1"/>
    <col min="12034" max="12034" width="63" style="214" bestFit="1" customWidth="1"/>
    <col min="12035" max="12035" width="1.5703125" style="214" customWidth="1"/>
    <col min="12036" max="12036" width="7.42578125" style="214" bestFit="1" customWidth="1"/>
    <col min="12037" max="12288" width="9.140625" style="214"/>
    <col min="12289" max="12289" width="5" style="214" bestFit="1" customWidth="1"/>
    <col min="12290" max="12290" width="63" style="214" bestFit="1" customWidth="1"/>
    <col min="12291" max="12291" width="1.5703125" style="214" customWidth="1"/>
    <col min="12292" max="12292" width="7.42578125" style="214" bestFit="1" customWidth="1"/>
    <col min="12293" max="12544" width="9.140625" style="214"/>
    <col min="12545" max="12545" width="5" style="214" bestFit="1" customWidth="1"/>
    <col min="12546" max="12546" width="63" style="214" bestFit="1" customWidth="1"/>
    <col min="12547" max="12547" width="1.5703125" style="214" customWidth="1"/>
    <col min="12548" max="12548" width="7.42578125" style="214" bestFit="1" customWidth="1"/>
    <col min="12549" max="12800" width="9.140625" style="214"/>
    <col min="12801" max="12801" width="5" style="214" bestFit="1" customWidth="1"/>
    <col min="12802" max="12802" width="63" style="214" bestFit="1" customWidth="1"/>
    <col min="12803" max="12803" width="1.5703125" style="214" customWidth="1"/>
    <col min="12804" max="12804" width="7.42578125" style="214" bestFit="1" customWidth="1"/>
    <col min="12805" max="13056" width="9.140625" style="214"/>
    <col min="13057" max="13057" width="5" style="214" bestFit="1" customWidth="1"/>
    <col min="13058" max="13058" width="63" style="214" bestFit="1" customWidth="1"/>
    <col min="13059" max="13059" width="1.5703125" style="214" customWidth="1"/>
    <col min="13060" max="13060" width="7.42578125" style="214" bestFit="1" customWidth="1"/>
    <col min="13061" max="13312" width="9.140625" style="214"/>
    <col min="13313" max="13313" width="5" style="214" bestFit="1" customWidth="1"/>
    <col min="13314" max="13314" width="63" style="214" bestFit="1" customWidth="1"/>
    <col min="13315" max="13315" width="1.5703125" style="214" customWidth="1"/>
    <col min="13316" max="13316" width="7.42578125" style="214" bestFit="1" customWidth="1"/>
    <col min="13317" max="13568" width="9.140625" style="214"/>
    <col min="13569" max="13569" width="5" style="214" bestFit="1" customWidth="1"/>
    <col min="13570" max="13570" width="63" style="214" bestFit="1" customWidth="1"/>
    <col min="13571" max="13571" width="1.5703125" style="214" customWidth="1"/>
    <col min="13572" max="13572" width="7.42578125" style="214" bestFit="1" customWidth="1"/>
    <col min="13573" max="13824" width="9.140625" style="214"/>
    <col min="13825" max="13825" width="5" style="214" bestFit="1" customWidth="1"/>
    <col min="13826" max="13826" width="63" style="214" bestFit="1" customWidth="1"/>
    <col min="13827" max="13827" width="1.5703125" style="214" customWidth="1"/>
    <col min="13828" max="13828" width="7.42578125" style="214" bestFit="1" customWidth="1"/>
    <col min="13829" max="14080" width="9.140625" style="214"/>
    <col min="14081" max="14081" width="5" style="214" bestFit="1" customWidth="1"/>
    <col min="14082" max="14082" width="63" style="214" bestFit="1" customWidth="1"/>
    <col min="14083" max="14083" width="1.5703125" style="214" customWidth="1"/>
    <col min="14084" max="14084" width="7.42578125" style="214" bestFit="1" customWidth="1"/>
    <col min="14085" max="14336" width="9.140625" style="214"/>
    <col min="14337" max="14337" width="5" style="214" bestFit="1" customWidth="1"/>
    <col min="14338" max="14338" width="63" style="214" bestFit="1" customWidth="1"/>
    <col min="14339" max="14339" width="1.5703125" style="214" customWidth="1"/>
    <col min="14340" max="14340" width="7.42578125" style="214" bestFit="1" customWidth="1"/>
    <col min="14341" max="14592" width="9.140625" style="214"/>
    <col min="14593" max="14593" width="5" style="214" bestFit="1" customWidth="1"/>
    <col min="14594" max="14594" width="63" style="214" bestFit="1" customWidth="1"/>
    <col min="14595" max="14595" width="1.5703125" style="214" customWidth="1"/>
    <col min="14596" max="14596" width="7.42578125" style="214" bestFit="1" customWidth="1"/>
    <col min="14597" max="14848" width="9.140625" style="214"/>
    <col min="14849" max="14849" width="5" style="214" bestFit="1" customWidth="1"/>
    <col min="14850" max="14850" width="63" style="214" bestFit="1" customWidth="1"/>
    <col min="14851" max="14851" width="1.5703125" style="214" customWidth="1"/>
    <col min="14852" max="14852" width="7.42578125" style="214" bestFit="1" customWidth="1"/>
    <col min="14853" max="15104" width="9.140625" style="214"/>
    <col min="15105" max="15105" width="5" style="214" bestFit="1" customWidth="1"/>
    <col min="15106" max="15106" width="63" style="214" bestFit="1" customWidth="1"/>
    <col min="15107" max="15107" width="1.5703125" style="214" customWidth="1"/>
    <col min="15108" max="15108" width="7.42578125" style="214" bestFit="1" customWidth="1"/>
    <col min="15109" max="15360" width="9.140625" style="214"/>
    <col min="15361" max="15361" width="5" style="214" bestFit="1" customWidth="1"/>
    <col min="15362" max="15362" width="63" style="214" bestFit="1" customWidth="1"/>
    <col min="15363" max="15363" width="1.5703125" style="214" customWidth="1"/>
    <col min="15364" max="15364" width="7.42578125" style="214" bestFit="1" customWidth="1"/>
    <col min="15365" max="15616" width="9.140625" style="214"/>
    <col min="15617" max="15617" width="5" style="214" bestFit="1" customWidth="1"/>
    <col min="15618" max="15618" width="63" style="214" bestFit="1" customWidth="1"/>
    <col min="15619" max="15619" width="1.5703125" style="214" customWidth="1"/>
    <col min="15620" max="15620" width="7.42578125" style="214" bestFit="1" customWidth="1"/>
    <col min="15621" max="15872" width="9.140625" style="214"/>
    <col min="15873" max="15873" width="5" style="214" bestFit="1" customWidth="1"/>
    <col min="15874" max="15874" width="63" style="214" bestFit="1" customWidth="1"/>
    <col min="15875" max="15875" width="1.5703125" style="214" customWidth="1"/>
    <col min="15876" max="15876" width="7.42578125" style="214" bestFit="1" customWidth="1"/>
    <col min="15877" max="16128" width="9.140625" style="214"/>
    <col min="16129" max="16129" width="5" style="214" bestFit="1" customWidth="1"/>
    <col min="16130" max="16130" width="63" style="214" bestFit="1" customWidth="1"/>
    <col min="16131" max="16131" width="1.5703125" style="214" customWidth="1"/>
    <col min="16132" max="16132" width="7.42578125" style="214" bestFit="1" customWidth="1"/>
    <col min="16133" max="16384" width="9.140625" style="214"/>
  </cols>
  <sheetData>
    <row r="1" spans="1:11" x14ac:dyDescent="0.2">
      <c r="A1" s="136"/>
      <c r="B1" s="136"/>
      <c r="C1" s="136"/>
      <c r="D1" s="136"/>
      <c r="E1" s="213"/>
      <c r="G1" s="136"/>
      <c r="H1" s="136"/>
      <c r="I1" s="136"/>
      <c r="J1" s="136"/>
      <c r="K1" s="213"/>
    </row>
    <row r="2" spans="1:11" x14ac:dyDescent="0.2">
      <c r="A2" s="215" t="s">
        <v>316</v>
      </c>
      <c r="B2" s="144"/>
      <c r="C2" s="144"/>
      <c r="D2" s="144"/>
      <c r="E2" s="144"/>
      <c r="G2" s="215" t="s">
        <v>316</v>
      </c>
      <c r="H2" s="144"/>
      <c r="I2" s="144"/>
      <c r="J2" s="144"/>
      <c r="K2" s="144"/>
    </row>
    <row r="3" spans="1:11" x14ac:dyDescent="0.2">
      <c r="A3" s="216" t="s">
        <v>317</v>
      </c>
      <c r="B3" s="217"/>
      <c r="C3" s="217"/>
      <c r="D3" s="217"/>
      <c r="E3" s="217"/>
      <c r="G3" s="216" t="s">
        <v>317</v>
      </c>
      <c r="H3" s="217"/>
      <c r="I3" s="217"/>
      <c r="J3" s="217"/>
      <c r="K3" s="217"/>
    </row>
    <row r="4" spans="1:11" x14ac:dyDescent="0.2">
      <c r="A4" s="218" t="s">
        <v>444</v>
      </c>
      <c r="B4" s="219"/>
      <c r="C4" s="219"/>
      <c r="D4" s="219"/>
      <c r="E4" s="220"/>
      <c r="G4" s="144" t="str">
        <f>A4</f>
        <v>FOR THE TWELVE MONTHS ENDED JUNE 30, 2021</v>
      </c>
      <c r="H4" s="219"/>
      <c r="I4" s="219"/>
      <c r="J4" s="219"/>
      <c r="K4" s="220"/>
    </row>
    <row r="5" spans="1:11" x14ac:dyDescent="0.2">
      <c r="A5" s="218" t="s">
        <v>445</v>
      </c>
      <c r="B5" s="219"/>
      <c r="C5" s="219"/>
      <c r="D5" s="219"/>
      <c r="E5" s="220"/>
      <c r="G5" s="144" t="str">
        <f>A5</f>
        <v>2022 GENERAL RATE CASE</v>
      </c>
      <c r="H5" s="219"/>
      <c r="I5" s="219"/>
      <c r="J5" s="219"/>
      <c r="K5" s="220"/>
    </row>
    <row r="6" spans="1:11" x14ac:dyDescent="0.2">
      <c r="A6" s="221" t="s">
        <v>318</v>
      </c>
      <c r="B6" s="144"/>
      <c r="C6" s="144"/>
      <c r="D6" s="144"/>
      <c r="E6" s="144"/>
      <c r="G6" s="221"/>
      <c r="H6" s="144"/>
      <c r="I6" s="144"/>
      <c r="J6" s="144"/>
      <c r="K6" s="144"/>
    </row>
    <row r="7" spans="1:11" x14ac:dyDescent="0.2">
      <c r="A7" s="269" t="s">
        <v>319</v>
      </c>
      <c r="B7" s="136"/>
      <c r="C7" s="136"/>
      <c r="D7" s="136"/>
      <c r="E7" s="136"/>
      <c r="G7" s="269" t="s">
        <v>319</v>
      </c>
      <c r="H7" s="136"/>
      <c r="I7" s="136"/>
      <c r="J7" s="136"/>
      <c r="K7" s="136"/>
    </row>
    <row r="8" spans="1:11" x14ac:dyDescent="0.2">
      <c r="A8" s="222" t="s">
        <v>320</v>
      </c>
      <c r="B8" s="223" t="s">
        <v>321</v>
      </c>
      <c r="C8" s="224"/>
      <c r="D8" s="224"/>
      <c r="E8" s="225" t="s">
        <v>322</v>
      </c>
      <c r="G8" s="222" t="s">
        <v>320</v>
      </c>
      <c r="H8" s="223" t="s">
        <v>321</v>
      </c>
      <c r="I8" s="224"/>
      <c r="J8" s="224"/>
      <c r="K8" s="225" t="s">
        <v>322</v>
      </c>
    </row>
    <row r="9" spans="1:11" x14ac:dyDescent="0.2">
      <c r="A9" s="10"/>
      <c r="B9" s="10"/>
      <c r="C9" s="10"/>
      <c r="D9" s="10"/>
      <c r="E9" s="21"/>
      <c r="G9" s="10"/>
      <c r="H9" s="10"/>
      <c r="I9" s="10"/>
      <c r="J9" s="10"/>
      <c r="K9" s="21"/>
    </row>
    <row r="10" spans="1:11" x14ac:dyDescent="0.2">
      <c r="A10" s="270">
        <v>1</v>
      </c>
      <c r="B10" s="24" t="s">
        <v>323</v>
      </c>
      <c r="C10" s="10"/>
      <c r="D10" s="226"/>
      <c r="E10" s="227">
        <v>7.1970000000000003E-3</v>
      </c>
      <c r="G10" s="270">
        <v>1</v>
      </c>
      <c r="H10" s="24" t="s">
        <v>323</v>
      </c>
      <c r="I10" s="10"/>
      <c r="J10" s="226"/>
      <c r="K10" s="228">
        <f>E10</f>
        <v>7.1970000000000003E-3</v>
      </c>
    </row>
    <row r="11" spans="1:11" x14ac:dyDescent="0.2">
      <c r="A11" s="270">
        <v>2</v>
      </c>
      <c r="B11" s="24" t="s">
        <v>324</v>
      </c>
      <c r="C11" s="10"/>
      <c r="D11" s="226"/>
      <c r="E11" s="227">
        <v>2E-3</v>
      </c>
      <c r="G11" s="270">
        <v>2</v>
      </c>
      <c r="H11" s="24" t="s">
        <v>324</v>
      </c>
      <c r="I11" s="10"/>
      <c r="J11" s="226"/>
      <c r="K11" s="229">
        <v>4.0000000000000001E-3</v>
      </c>
    </row>
    <row r="12" spans="1:11" x14ac:dyDescent="0.2">
      <c r="A12" s="270">
        <v>3</v>
      </c>
      <c r="B12" s="24" t="s">
        <v>325</v>
      </c>
      <c r="D12" s="230">
        <v>3.8733999999999998E-2</v>
      </c>
      <c r="E12" s="231">
        <f>ROUND(D12-(D12*E10),6)</f>
        <v>3.8455000000000003E-2</v>
      </c>
      <c r="G12" s="270">
        <v>3</v>
      </c>
      <c r="H12" s="24" t="s">
        <v>325</v>
      </c>
      <c r="J12" s="232">
        <f>D12</f>
        <v>3.8733999999999998E-2</v>
      </c>
      <c r="K12" s="231">
        <f>ROUND(J12-(J12*K10),6)</f>
        <v>3.8455000000000003E-2</v>
      </c>
    </row>
    <row r="13" spans="1:11" x14ac:dyDescent="0.2">
      <c r="A13" s="270">
        <v>4</v>
      </c>
      <c r="B13" s="24"/>
      <c r="C13" s="10"/>
      <c r="D13" s="10"/>
      <c r="E13" s="228"/>
      <c r="G13" s="270">
        <v>4</v>
      </c>
      <c r="H13" s="24"/>
      <c r="I13" s="10"/>
      <c r="J13" s="10"/>
      <c r="K13" s="228"/>
    </row>
    <row r="14" spans="1:11" x14ac:dyDescent="0.2">
      <c r="A14" s="270">
        <v>5</v>
      </c>
      <c r="B14" s="24" t="s">
        <v>326</v>
      </c>
      <c r="C14" s="10"/>
      <c r="D14" s="10"/>
      <c r="E14" s="228">
        <f>ROUND(SUM(E10:E12),6)</f>
        <v>4.7652E-2</v>
      </c>
      <c r="G14" s="270">
        <v>5</v>
      </c>
      <c r="H14" s="24" t="s">
        <v>326</v>
      </c>
      <c r="I14" s="10"/>
      <c r="J14" s="10"/>
      <c r="K14" s="228">
        <f>ROUND(SUM(K10:K12),6)</f>
        <v>4.9652000000000002E-2</v>
      </c>
    </row>
    <row r="15" spans="1:11" x14ac:dyDescent="0.2">
      <c r="A15" s="270">
        <v>6</v>
      </c>
      <c r="B15" s="10"/>
      <c r="C15" s="10"/>
      <c r="D15" s="10"/>
      <c r="E15" s="228"/>
      <c r="G15" s="270">
        <v>6</v>
      </c>
      <c r="H15" s="10"/>
      <c r="I15" s="10"/>
      <c r="J15" s="10"/>
      <c r="K15" s="228"/>
    </row>
    <row r="16" spans="1:11" x14ac:dyDescent="0.2">
      <c r="A16" s="270">
        <v>7</v>
      </c>
      <c r="B16" s="10" t="s">
        <v>327</v>
      </c>
      <c r="C16" s="10"/>
      <c r="D16" s="10"/>
      <c r="E16" s="233">
        <f>ROUND(1-E14,6)</f>
        <v>0.95234799999999997</v>
      </c>
      <c r="G16" s="270">
        <v>7</v>
      </c>
      <c r="H16" s="10" t="s">
        <v>327</v>
      </c>
      <c r="I16" s="10"/>
      <c r="J16" s="10"/>
      <c r="K16" s="233">
        <f>ROUND(1-K14,6)</f>
        <v>0.95034799999999997</v>
      </c>
    </row>
    <row r="17" spans="1:11" x14ac:dyDescent="0.2">
      <c r="A17" s="270">
        <v>8</v>
      </c>
      <c r="B17" s="24" t="s">
        <v>328</v>
      </c>
      <c r="C17" s="10"/>
      <c r="D17" s="234">
        <v>0.21</v>
      </c>
      <c r="E17" s="235">
        <f>ROUND((E16)*D17,6)</f>
        <v>0.199993</v>
      </c>
      <c r="G17" s="270">
        <v>8</v>
      </c>
      <c r="H17" s="24" t="s">
        <v>328</v>
      </c>
      <c r="I17" s="10"/>
      <c r="J17" s="212">
        <f>D17</f>
        <v>0.21</v>
      </c>
      <c r="K17" s="235">
        <f>ROUND((K16)*J17,6)</f>
        <v>0.199573</v>
      </c>
    </row>
    <row r="18" spans="1:11" ht="12" thickBot="1" x14ac:dyDescent="0.25">
      <c r="A18" s="270">
        <v>9</v>
      </c>
      <c r="B18" s="24" t="s">
        <v>329</v>
      </c>
      <c r="C18" s="10"/>
      <c r="D18" s="10"/>
      <c r="E18" s="236">
        <f>E16-E17</f>
        <v>0.752355</v>
      </c>
      <c r="G18" s="270">
        <v>9</v>
      </c>
      <c r="H18" s="24" t="s">
        <v>329</v>
      </c>
      <c r="I18" s="10"/>
      <c r="J18" s="10"/>
      <c r="K18" s="236">
        <f>K16-K17</f>
        <v>0.75077499999999997</v>
      </c>
    </row>
    <row r="19" spans="1:11" ht="12" thickTop="1" x14ac:dyDescent="0.2"/>
    <row r="22" spans="1:11" x14ac:dyDescent="0.2">
      <c r="H22" s="237" t="s">
        <v>330</v>
      </c>
      <c r="I22" s="238"/>
      <c r="J22" s="238"/>
    </row>
  </sheetData>
  <pageMargins left="0.7" right="0.7" top="0.75" bottom="0.75" header="0.3" footer="0.3"/>
  <pageSetup orientation="portrait" horizontalDpi="200" verticalDpi="2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M183"/>
  <sheetViews>
    <sheetView workbookViewId="0">
      <pane xSplit="4" ySplit="6" topLeftCell="E7" activePane="bottomRight" state="frozen"/>
      <selection activeCell="J37" sqref="J37"/>
      <selection pane="topRight" activeCell="J37" sqref="J37"/>
      <selection pane="bottomLeft" activeCell="J37" sqref="J37"/>
      <selection pane="bottomRight" activeCell="I11" sqref="I11"/>
    </sheetView>
  </sheetViews>
  <sheetFormatPr defaultColWidth="8.85546875" defaultRowHeight="11.25" x14ac:dyDescent="0.2"/>
  <cols>
    <col min="1" max="1" width="4.42578125" style="365" bestFit="1" customWidth="1"/>
    <col min="2" max="2" width="38.85546875" style="365" bestFit="1" customWidth="1"/>
    <col min="3" max="3" width="17.5703125" style="365" bestFit="1" customWidth="1"/>
    <col min="4" max="4" width="16.140625" style="365" bestFit="1" customWidth="1"/>
    <col min="5" max="5" width="9.42578125" style="365" bestFit="1" customWidth="1"/>
    <col min="6" max="6" width="10" style="365" bestFit="1" customWidth="1"/>
    <col min="7" max="7" width="11.28515625" style="365" bestFit="1" customWidth="1"/>
    <col min="8" max="8" width="10.5703125" style="365" bestFit="1" customWidth="1"/>
    <col min="9" max="9" width="9.85546875" style="365" bestFit="1" customWidth="1"/>
    <col min="10" max="10" width="11.28515625" style="365" bestFit="1" customWidth="1"/>
    <col min="11" max="11" width="1.85546875" style="364" customWidth="1"/>
    <col min="12" max="16384" width="8.85546875" style="365"/>
  </cols>
  <sheetData>
    <row r="1" spans="1:11" s="355" customFormat="1" x14ac:dyDescent="0.2">
      <c r="A1" s="430" t="str">
        <f>'Sch 95'!A1</f>
        <v>Puget Sound Energy</v>
      </c>
      <c r="B1" s="430"/>
      <c r="C1" s="430"/>
      <c r="D1" s="430"/>
      <c r="E1" s="430"/>
      <c r="F1" s="430"/>
      <c r="G1" s="430"/>
      <c r="H1" s="430"/>
      <c r="I1" s="430"/>
      <c r="J1" s="430"/>
      <c r="K1" s="354"/>
    </row>
    <row r="2" spans="1:11" s="355" customFormat="1" x14ac:dyDescent="0.2">
      <c r="A2" s="430" t="str">
        <f>'Sch 95'!A2</f>
        <v>Electric Schedule 95 (2024 Variable Power Cost Recovery)</v>
      </c>
      <c r="B2" s="430"/>
      <c r="C2" s="430"/>
      <c r="D2" s="430"/>
      <c r="E2" s="430"/>
      <c r="F2" s="430"/>
      <c r="G2" s="430"/>
      <c r="H2" s="430"/>
      <c r="I2" s="430"/>
      <c r="J2" s="430"/>
      <c r="K2" s="354"/>
    </row>
    <row r="3" spans="1:11" s="355" customFormat="1" x14ac:dyDescent="0.2">
      <c r="A3" s="430" t="str">
        <f>'Sch 95'!A3</f>
        <v>Proposed Impacts of Rate Change Effective January 1, 2024</v>
      </c>
      <c r="B3" s="430"/>
      <c r="C3" s="430"/>
      <c r="D3" s="430"/>
      <c r="E3" s="430"/>
      <c r="F3" s="430"/>
      <c r="G3" s="430"/>
      <c r="H3" s="430"/>
      <c r="I3" s="430"/>
      <c r="J3" s="430"/>
      <c r="K3" s="354"/>
    </row>
    <row r="4" spans="1:11" s="355" customFormat="1" x14ac:dyDescent="0.2">
      <c r="A4" s="431" t="s">
        <v>372</v>
      </c>
      <c r="B4" s="431"/>
      <c r="C4" s="431"/>
      <c r="D4" s="431"/>
      <c r="E4" s="431"/>
      <c r="F4" s="431"/>
      <c r="G4" s="431"/>
      <c r="H4" s="431"/>
      <c r="I4" s="431"/>
      <c r="J4" s="431"/>
      <c r="K4" s="354"/>
    </row>
    <row r="5" spans="1:11" s="357" customFormat="1" ht="12" thickBot="1" x14ac:dyDescent="0.25">
      <c r="A5" s="356"/>
      <c r="B5" s="432"/>
      <c r="C5" s="432"/>
      <c r="D5" s="432"/>
      <c r="E5" s="432"/>
      <c r="F5" s="432"/>
      <c r="K5" s="358"/>
    </row>
    <row r="6" spans="1:11" s="357" customFormat="1" ht="90" x14ac:dyDescent="0.2">
      <c r="A6" s="359" t="s">
        <v>20</v>
      </c>
      <c r="B6" s="359" t="s">
        <v>15</v>
      </c>
      <c r="C6" s="359" t="s">
        <v>16</v>
      </c>
      <c r="D6" s="359" t="s">
        <v>106</v>
      </c>
      <c r="E6" s="360" t="s">
        <v>373</v>
      </c>
      <c r="F6" s="361" t="s">
        <v>381</v>
      </c>
      <c r="G6" s="360" t="s">
        <v>382</v>
      </c>
      <c r="H6" s="360" t="s">
        <v>385</v>
      </c>
      <c r="I6" s="360" t="s">
        <v>383</v>
      </c>
      <c r="J6" s="360" t="s">
        <v>384</v>
      </c>
      <c r="K6" s="358"/>
    </row>
    <row r="7" spans="1:11" ht="12" thickBot="1" x14ac:dyDescent="0.25">
      <c r="A7" s="362"/>
      <c r="E7" s="36"/>
      <c r="F7" s="366"/>
      <c r="G7" s="138"/>
      <c r="H7" s="138"/>
      <c r="I7" s="138"/>
    </row>
    <row r="8" spans="1:11" x14ac:dyDescent="0.2">
      <c r="A8" s="362"/>
      <c r="E8" s="36"/>
      <c r="F8" s="366"/>
      <c r="J8" s="367" t="s">
        <v>111</v>
      </c>
      <c r="K8" s="365"/>
    </row>
    <row r="9" spans="1:11" ht="12" thickBot="1" x14ac:dyDescent="0.25">
      <c r="A9" s="362">
        <v>1</v>
      </c>
      <c r="B9" s="368" t="s">
        <v>112</v>
      </c>
      <c r="E9" s="36"/>
      <c r="F9" s="366"/>
      <c r="G9" s="369"/>
      <c r="H9" s="370">
        <f>SUM(H24:H175)</f>
        <v>3402252</v>
      </c>
      <c r="I9" s="370">
        <f>SUM(I24:I175)</f>
        <v>546576</v>
      </c>
      <c r="J9" s="371">
        <f>SUM(J10:J11)</f>
        <v>0.15313187776328305</v>
      </c>
      <c r="K9" s="365"/>
    </row>
    <row r="10" spans="1:11" x14ac:dyDescent="0.2">
      <c r="A10" s="362">
        <f>+A9+1</f>
        <v>2</v>
      </c>
      <c r="B10" s="368" t="s">
        <v>374</v>
      </c>
      <c r="E10" s="36"/>
      <c r="F10" s="366"/>
      <c r="G10" s="369"/>
      <c r="I10" s="372">
        <f>'Sch 95'!K29</f>
        <v>546877.57059988531</v>
      </c>
      <c r="J10" s="373">
        <f>+I10/H9</f>
        <v>0.16073987776328305</v>
      </c>
      <c r="K10" s="365"/>
    </row>
    <row r="11" spans="1:11" x14ac:dyDescent="0.2">
      <c r="A11" s="362">
        <f t="shared" ref="A11:A74" si="0">+A10+1</f>
        <v>3</v>
      </c>
      <c r="B11" s="374" t="s">
        <v>375</v>
      </c>
      <c r="E11" s="36"/>
      <c r="F11" s="366"/>
      <c r="G11" s="369"/>
      <c r="H11" s="370"/>
      <c r="I11" s="375">
        <f>+I10-I9</f>
        <v>301.57059988530818</v>
      </c>
      <c r="J11" s="376">
        <v>-7.6080000000000002E-3</v>
      </c>
      <c r="K11" s="365"/>
    </row>
    <row r="12" spans="1:11" x14ac:dyDescent="0.2">
      <c r="A12" s="362">
        <f t="shared" si="0"/>
        <v>4</v>
      </c>
      <c r="E12" s="36"/>
      <c r="F12" s="366"/>
      <c r="K12" s="365"/>
    </row>
    <row r="13" spans="1:11" x14ac:dyDescent="0.2">
      <c r="A13" s="362">
        <f t="shared" si="0"/>
        <v>5</v>
      </c>
      <c r="B13" s="365" t="s">
        <v>113</v>
      </c>
      <c r="E13" s="36"/>
      <c r="F13" s="366"/>
      <c r="G13" s="138">
        <f>SUM(G24:G29)</f>
        <v>1200</v>
      </c>
      <c r="H13" s="370">
        <f>SUM(H24:H29)</f>
        <v>2818</v>
      </c>
      <c r="I13" s="370">
        <f>SUM(I24:I29)</f>
        <v>427</v>
      </c>
      <c r="J13" s="370"/>
      <c r="K13" s="365"/>
    </row>
    <row r="14" spans="1:11" x14ac:dyDescent="0.2">
      <c r="A14" s="362">
        <f t="shared" si="0"/>
        <v>6</v>
      </c>
      <c r="B14" s="365" t="s">
        <v>114</v>
      </c>
      <c r="E14" s="36"/>
      <c r="F14" s="366"/>
      <c r="G14" s="138">
        <f>SUM(G32:G42)</f>
        <v>140643</v>
      </c>
      <c r="H14" s="370">
        <f>SUM(H32:H42)</f>
        <v>177088</v>
      </c>
      <c r="I14" s="370">
        <f>SUM(I32:I42)</f>
        <v>27134</v>
      </c>
      <c r="J14" s="370"/>
      <c r="K14" s="365"/>
    </row>
    <row r="15" spans="1:11" x14ac:dyDescent="0.2">
      <c r="A15" s="362">
        <f t="shared" si="0"/>
        <v>7</v>
      </c>
      <c r="B15" s="365" t="s">
        <v>115</v>
      </c>
      <c r="E15" s="36"/>
      <c r="F15" s="366"/>
      <c r="G15" s="138">
        <f>SUM(G45:G60)</f>
        <v>218697</v>
      </c>
      <c r="H15" s="370">
        <f>SUM(H45:H60)</f>
        <v>593093</v>
      </c>
      <c r="I15" s="370">
        <f>SUM(I45:I60)</f>
        <v>90632</v>
      </c>
      <c r="J15" s="370"/>
      <c r="K15" s="365"/>
    </row>
    <row r="16" spans="1:11" x14ac:dyDescent="0.2">
      <c r="A16" s="362">
        <f t="shared" si="0"/>
        <v>8</v>
      </c>
      <c r="B16" s="365" t="s">
        <v>116</v>
      </c>
      <c r="E16" s="36"/>
      <c r="F16" s="366"/>
      <c r="G16" s="138">
        <f>SUM(G63:G90)</f>
        <v>1609916</v>
      </c>
      <c r="H16" s="370">
        <f>SUM(H63:H90)</f>
        <v>1807472</v>
      </c>
      <c r="I16" s="370">
        <f>SUM(I63:I90)</f>
        <v>275554</v>
      </c>
      <c r="J16" s="370"/>
      <c r="K16" s="365"/>
    </row>
    <row r="17" spans="1:11" x14ac:dyDescent="0.2">
      <c r="A17" s="362">
        <f t="shared" si="0"/>
        <v>9</v>
      </c>
      <c r="B17" s="368" t="s">
        <v>117</v>
      </c>
      <c r="E17" s="36"/>
      <c r="F17" s="366"/>
      <c r="G17" s="138">
        <f>SUM(G93:G112)</f>
        <v>120344</v>
      </c>
      <c r="H17" s="370">
        <f>SUM(H93:H112)</f>
        <v>276985</v>
      </c>
      <c r="I17" s="370">
        <f>SUM(I93:I112)</f>
        <v>42515</v>
      </c>
      <c r="J17" s="370"/>
      <c r="K17" s="365"/>
    </row>
    <row r="18" spans="1:11" x14ac:dyDescent="0.2">
      <c r="A18" s="362">
        <f t="shared" si="0"/>
        <v>10</v>
      </c>
      <c r="B18" s="368" t="s">
        <v>118</v>
      </c>
      <c r="E18" s="36"/>
      <c r="F18" s="366"/>
      <c r="G18" s="138">
        <f>SUM(G115:G133)</f>
        <v>73276</v>
      </c>
      <c r="H18" s="370">
        <f>SUM(H115:H133)</f>
        <v>163959</v>
      </c>
      <c r="I18" s="370">
        <f>SUM(I115:I133)</f>
        <v>24947</v>
      </c>
      <c r="J18" s="370"/>
      <c r="K18" s="365"/>
    </row>
    <row r="19" spans="1:11" x14ac:dyDescent="0.2">
      <c r="A19" s="362">
        <f t="shared" si="0"/>
        <v>11</v>
      </c>
      <c r="B19" s="365" t="s">
        <v>119</v>
      </c>
      <c r="E19" s="36"/>
      <c r="F19" s="366"/>
      <c r="G19" s="138">
        <f>SUM(G136)</f>
        <v>6934890</v>
      </c>
      <c r="H19" s="370">
        <f>SUM(H136)</f>
        <v>276217</v>
      </c>
      <c r="I19" s="370">
        <f>SUM(I136)</f>
        <v>69349</v>
      </c>
      <c r="J19" s="370"/>
      <c r="K19" s="365"/>
    </row>
    <row r="20" spans="1:11" x14ac:dyDescent="0.2">
      <c r="A20" s="362">
        <f t="shared" si="0"/>
        <v>12</v>
      </c>
      <c r="B20" s="368" t="s">
        <v>120</v>
      </c>
      <c r="E20" s="36"/>
      <c r="F20" s="366"/>
      <c r="G20" s="138">
        <f>SUM(G139:G175)</f>
        <v>17809</v>
      </c>
      <c r="H20" s="370">
        <f>SUM(H139:H175)</f>
        <v>104620</v>
      </c>
      <c r="I20" s="370">
        <f>SUM(I139:I175)</f>
        <v>16018</v>
      </c>
      <c r="J20" s="370"/>
      <c r="K20" s="365"/>
    </row>
    <row r="21" spans="1:11" x14ac:dyDescent="0.2">
      <c r="A21" s="362">
        <f t="shared" si="0"/>
        <v>13</v>
      </c>
      <c r="B21" s="365" t="s">
        <v>121</v>
      </c>
      <c r="E21" s="36"/>
      <c r="F21" s="366"/>
      <c r="G21" s="377">
        <f>SUM(G13:G20)</f>
        <v>9116775</v>
      </c>
      <c r="H21" s="378">
        <f>SUM(H13:H20)</f>
        <v>3402252</v>
      </c>
      <c r="I21" s="378">
        <f>SUM(I13:I20)</f>
        <v>546576</v>
      </c>
      <c r="J21" s="370"/>
      <c r="K21" s="365"/>
    </row>
    <row r="22" spans="1:11" x14ac:dyDescent="0.2">
      <c r="A22" s="362">
        <f t="shared" si="0"/>
        <v>14</v>
      </c>
      <c r="E22" s="36"/>
      <c r="F22" s="366"/>
      <c r="G22" s="379">
        <f>G21-SUM(G24:G175)</f>
        <v>0</v>
      </c>
      <c r="H22" s="379">
        <f t="shared" ref="H22:I22" si="1">H21-SUM(H24:H175)</f>
        <v>0</v>
      </c>
      <c r="I22" s="379">
        <f t="shared" si="1"/>
        <v>0</v>
      </c>
      <c r="J22" s="380" t="s">
        <v>376</v>
      </c>
      <c r="K22" s="365"/>
    </row>
    <row r="23" spans="1:11" x14ac:dyDescent="0.2">
      <c r="A23" s="362">
        <f t="shared" si="0"/>
        <v>15</v>
      </c>
      <c r="B23" s="365" t="s">
        <v>122</v>
      </c>
      <c r="E23" s="36"/>
      <c r="F23" s="366"/>
    </row>
    <row r="24" spans="1:11" x14ac:dyDescent="0.2">
      <c r="A24" s="362">
        <f t="shared" si="0"/>
        <v>16</v>
      </c>
      <c r="B24" s="137" t="s">
        <v>123</v>
      </c>
      <c r="C24" s="368" t="s">
        <v>124</v>
      </c>
      <c r="D24" s="381">
        <v>22</v>
      </c>
      <c r="E24" s="382">
        <v>0.42</v>
      </c>
      <c r="F24" s="384">
        <f>ROUND(+E24*$J$9,2)</f>
        <v>0.06</v>
      </c>
      <c r="G24" s="385">
        <v>708</v>
      </c>
      <c r="H24" s="370">
        <f>ROUND($G24*E24,0)</f>
        <v>297</v>
      </c>
      <c r="I24" s="370">
        <f>ROUND($G24*F24,0)</f>
        <v>42</v>
      </c>
      <c r="K24" s="365"/>
    </row>
    <row r="25" spans="1:11" x14ac:dyDescent="0.2">
      <c r="A25" s="362">
        <f t="shared" si="0"/>
        <v>17</v>
      </c>
      <c r="B25" s="386"/>
      <c r="C25" s="363"/>
      <c r="D25" s="381"/>
      <c r="E25" s="383"/>
      <c r="F25" s="384"/>
      <c r="G25" s="385"/>
      <c r="H25" s="138"/>
      <c r="I25" s="138"/>
      <c r="K25" s="365"/>
    </row>
    <row r="26" spans="1:11" x14ac:dyDescent="0.2">
      <c r="A26" s="362">
        <f t="shared" si="0"/>
        <v>18</v>
      </c>
      <c r="B26" s="137" t="s">
        <v>377</v>
      </c>
      <c r="C26" s="138" t="s">
        <v>17</v>
      </c>
      <c r="D26" s="387">
        <v>100</v>
      </c>
      <c r="E26" s="382">
        <v>1.91</v>
      </c>
      <c r="F26" s="384">
        <f>ROUND(+E26*$J$9,2)</f>
        <v>0.28999999999999998</v>
      </c>
      <c r="G26" s="385">
        <v>36</v>
      </c>
      <c r="H26" s="370">
        <f t="shared" ref="H26:I29" si="2">ROUND($G26*E26,0)</f>
        <v>69</v>
      </c>
      <c r="I26" s="370">
        <f t="shared" si="2"/>
        <v>10</v>
      </c>
      <c r="K26" s="365"/>
    </row>
    <row r="27" spans="1:11" x14ac:dyDescent="0.2">
      <c r="A27" s="362">
        <f t="shared" si="0"/>
        <v>19</v>
      </c>
      <c r="B27" s="137" t="str">
        <f>+B26</f>
        <v>50E</v>
      </c>
      <c r="C27" s="138" t="s">
        <v>17</v>
      </c>
      <c r="D27" s="387">
        <v>175</v>
      </c>
      <c r="E27" s="382">
        <v>3.34</v>
      </c>
      <c r="F27" s="384">
        <f>ROUND(+E27*$J$9,2)</f>
        <v>0.51</v>
      </c>
      <c r="G27" s="385">
        <v>240</v>
      </c>
      <c r="H27" s="370">
        <f t="shared" si="2"/>
        <v>802</v>
      </c>
      <c r="I27" s="370">
        <f t="shared" si="2"/>
        <v>122</v>
      </c>
      <c r="K27" s="365"/>
    </row>
    <row r="28" spans="1:11" x14ac:dyDescent="0.2">
      <c r="A28" s="362">
        <f t="shared" si="0"/>
        <v>20</v>
      </c>
      <c r="B28" s="137" t="str">
        <f>+B27</f>
        <v>50E</v>
      </c>
      <c r="C28" s="138" t="s">
        <v>17</v>
      </c>
      <c r="D28" s="387">
        <v>400</v>
      </c>
      <c r="E28" s="382">
        <v>7.64</v>
      </c>
      <c r="F28" s="384">
        <f>ROUND(+E28*$J$9,2)</f>
        <v>1.17</v>
      </c>
      <c r="G28" s="385">
        <v>216</v>
      </c>
      <c r="H28" s="370">
        <f t="shared" si="2"/>
        <v>1650</v>
      </c>
      <c r="I28" s="370">
        <f t="shared" si="2"/>
        <v>253</v>
      </c>
      <c r="K28" s="365"/>
    </row>
    <row r="29" spans="1:11" x14ac:dyDescent="0.2">
      <c r="A29" s="362">
        <f t="shared" si="0"/>
        <v>21</v>
      </c>
      <c r="B29" s="137" t="str">
        <f>+B28</f>
        <v>50E</v>
      </c>
      <c r="C29" s="138" t="s">
        <v>17</v>
      </c>
      <c r="D29" s="387">
        <v>700</v>
      </c>
      <c r="E29" s="382">
        <v>13.37</v>
      </c>
      <c r="F29" s="384">
        <f>ROUND(+E29*$J$9,2)</f>
        <v>2.0499999999999998</v>
      </c>
      <c r="G29" s="388">
        <v>0</v>
      </c>
      <c r="H29" s="370">
        <f t="shared" si="2"/>
        <v>0</v>
      </c>
      <c r="I29" s="370">
        <f t="shared" si="2"/>
        <v>0</v>
      </c>
      <c r="K29" s="365"/>
    </row>
    <row r="30" spans="1:11" x14ac:dyDescent="0.2">
      <c r="A30" s="362">
        <f t="shared" si="0"/>
        <v>22</v>
      </c>
      <c r="D30" s="139"/>
      <c r="E30" s="383"/>
      <c r="F30" s="384"/>
      <c r="G30" s="385"/>
      <c r="H30" s="370"/>
      <c r="I30" s="370"/>
      <c r="K30" s="365"/>
    </row>
    <row r="31" spans="1:11" x14ac:dyDescent="0.2">
      <c r="A31" s="362">
        <f t="shared" si="0"/>
        <v>23</v>
      </c>
      <c r="B31" s="365" t="s">
        <v>125</v>
      </c>
      <c r="D31" s="139"/>
      <c r="E31" s="383"/>
      <c r="F31" s="384"/>
      <c r="G31" s="385"/>
      <c r="H31" s="138"/>
      <c r="I31" s="138"/>
      <c r="K31" s="365"/>
    </row>
    <row r="32" spans="1:11" x14ac:dyDescent="0.2">
      <c r="A32" s="362">
        <f t="shared" si="0"/>
        <v>24</v>
      </c>
      <c r="B32" s="137" t="s">
        <v>126</v>
      </c>
      <c r="C32" s="138" t="s">
        <v>127</v>
      </c>
      <c r="D32" s="139" t="s">
        <v>262</v>
      </c>
      <c r="E32" s="382">
        <v>0.28999999999999998</v>
      </c>
      <c r="F32" s="384">
        <f t="shared" ref="F32:F41" si="3">ROUND(+E32*$J$9,2)</f>
        <v>0.04</v>
      </c>
      <c r="G32" s="385">
        <v>84</v>
      </c>
      <c r="H32" s="370">
        <f t="shared" ref="H32:H42" si="4">ROUND($G32*E32,0)</f>
        <v>24</v>
      </c>
      <c r="I32" s="370">
        <f t="shared" ref="I32:I42" si="5">ROUND($G32*F32,0)</f>
        <v>3</v>
      </c>
      <c r="K32" s="365"/>
    </row>
    <row r="33" spans="1:11" x14ac:dyDescent="0.2">
      <c r="A33" s="362">
        <f t="shared" si="0"/>
        <v>25</v>
      </c>
      <c r="B33" s="137" t="s">
        <v>126</v>
      </c>
      <c r="C33" s="138" t="s">
        <v>127</v>
      </c>
      <c r="D33" s="140" t="s">
        <v>378</v>
      </c>
      <c r="E33" s="382">
        <v>0.86</v>
      </c>
      <c r="F33" s="384">
        <f t="shared" si="3"/>
        <v>0.13</v>
      </c>
      <c r="G33" s="385">
        <v>63075</v>
      </c>
      <c r="H33" s="370">
        <f t="shared" si="4"/>
        <v>54245</v>
      </c>
      <c r="I33" s="370">
        <f t="shared" si="5"/>
        <v>8200</v>
      </c>
      <c r="K33" s="365"/>
    </row>
    <row r="34" spans="1:11" x14ac:dyDescent="0.2">
      <c r="A34" s="362">
        <f t="shared" si="0"/>
        <v>26</v>
      </c>
      <c r="B34" s="137" t="s">
        <v>126</v>
      </c>
      <c r="C34" s="138" t="s">
        <v>127</v>
      </c>
      <c r="D34" s="387" t="s">
        <v>129</v>
      </c>
      <c r="E34" s="382">
        <v>1.43</v>
      </c>
      <c r="F34" s="384">
        <f t="shared" si="3"/>
        <v>0.22</v>
      </c>
      <c r="G34" s="385">
        <v>35642</v>
      </c>
      <c r="H34" s="370">
        <f t="shared" si="4"/>
        <v>50968</v>
      </c>
      <c r="I34" s="370">
        <f t="shared" si="5"/>
        <v>7841</v>
      </c>
      <c r="K34" s="365"/>
    </row>
    <row r="35" spans="1:11" x14ac:dyDescent="0.2">
      <c r="A35" s="362">
        <f t="shared" si="0"/>
        <v>27</v>
      </c>
      <c r="B35" s="137" t="s">
        <v>126</v>
      </c>
      <c r="C35" s="138" t="s">
        <v>127</v>
      </c>
      <c r="D35" s="387" t="s">
        <v>130</v>
      </c>
      <c r="E35" s="382">
        <v>2</v>
      </c>
      <c r="F35" s="384">
        <f t="shared" si="3"/>
        <v>0.31</v>
      </c>
      <c r="G35" s="385">
        <v>15405</v>
      </c>
      <c r="H35" s="370">
        <f t="shared" si="4"/>
        <v>30810</v>
      </c>
      <c r="I35" s="370">
        <f t="shared" si="5"/>
        <v>4776</v>
      </c>
      <c r="K35" s="365"/>
    </row>
    <row r="36" spans="1:11" x14ac:dyDescent="0.2">
      <c r="A36" s="362">
        <f t="shared" si="0"/>
        <v>28</v>
      </c>
      <c r="B36" s="137" t="s">
        <v>126</v>
      </c>
      <c r="C36" s="138" t="s">
        <v>127</v>
      </c>
      <c r="D36" s="387" t="s">
        <v>131</v>
      </c>
      <c r="E36" s="382">
        <v>2.58</v>
      </c>
      <c r="F36" s="384">
        <f t="shared" si="3"/>
        <v>0.4</v>
      </c>
      <c r="G36" s="385">
        <v>7136</v>
      </c>
      <c r="H36" s="370">
        <f t="shared" si="4"/>
        <v>18411</v>
      </c>
      <c r="I36" s="370">
        <f t="shared" si="5"/>
        <v>2854</v>
      </c>
      <c r="K36" s="365"/>
    </row>
    <row r="37" spans="1:11" x14ac:dyDescent="0.2">
      <c r="A37" s="362">
        <f t="shared" si="0"/>
        <v>29</v>
      </c>
      <c r="B37" s="137" t="s">
        <v>126</v>
      </c>
      <c r="C37" s="138" t="s">
        <v>127</v>
      </c>
      <c r="D37" s="387" t="s">
        <v>132</v>
      </c>
      <c r="E37" s="382">
        <v>3.15</v>
      </c>
      <c r="F37" s="384">
        <f t="shared" si="3"/>
        <v>0.48</v>
      </c>
      <c r="G37" s="385">
        <v>921</v>
      </c>
      <c r="H37" s="370">
        <f t="shared" si="4"/>
        <v>2901</v>
      </c>
      <c r="I37" s="370">
        <f t="shared" si="5"/>
        <v>442</v>
      </c>
      <c r="K37" s="365"/>
    </row>
    <row r="38" spans="1:11" x14ac:dyDescent="0.2">
      <c r="A38" s="362">
        <f t="shared" si="0"/>
        <v>30</v>
      </c>
      <c r="B38" s="137" t="s">
        <v>126</v>
      </c>
      <c r="C38" s="138" t="s">
        <v>127</v>
      </c>
      <c r="D38" s="387" t="s">
        <v>133</v>
      </c>
      <c r="E38" s="382">
        <v>3.72</v>
      </c>
      <c r="F38" s="384">
        <f t="shared" si="3"/>
        <v>0.56999999999999995</v>
      </c>
      <c r="G38" s="385">
        <v>2412</v>
      </c>
      <c r="H38" s="370">
        <f t="shared" si="4"/>
        <v>8973</v>
      </c>
      <c r="I38" s="370">
        <f t="shared" si="5"/>
        <v>1375</v>
      </c>
      <c r="K38" s="365"/>
    </row>
    <row r="39" spans="1:11" x14ac:dyDescent="0.2">
      <c r="A39" s="362">
        <f t="shared" si="0"/>
        <v>31</v>
      </c>
      <c r="B39" s="137" t="s">
        <v>126</v>
      </c>
      <c r="C39" s="138" t="s">
        <v>127</v>
      </c>
      <c r="D39" s="387" t="s">
        <v>134</v>
      </c>
      <c r="E39" s="382">
        <v>4.3</v>
      </c>
      <c r="F39" s="384">
        <f t="shared" si="3"/>
        <v>0.66</v>
      </c>
      <c r="G39" s="385">
        <v>956</v>
      </c>
      <c r="H39" s="370">
        <f t="shared" si="4"/>
        <v>4111</v>
      </c>
      <c r="I39" s="370">
        <f t="shared" si="5"/>
        <v>631</v>
      </c>
      <c r="K39" s="365"/>
    </row>
    <row r="40" spans="1:11" x14ac:dyDescent="0.2">
      <c r="A40" s="362">
        <f t="shared" si="0"/>
        <v>32</v>
      </c>
      <c r="B40" s="137" t="s">
        <v>126</v>
      </c>
      <c r="C40" s="138" t="s">
        <v>127</v>
      </c>
      <c r="D40" s="387" t="s">
        <v>135</v>
      </c>
      <c r="E40" s="382">
        <v>4.87</v>
      </c>
      <c r="F40" s="384">
        <f t="shared" si="3"/>
        <v>0.75</v>
      </c>
      <c r="G40" s="385">
        <v>96</v>
      </c>
      <c r="H40" s="370">
        <f t="shared" si="4"/>
        <v>468</v>
      </c>
      <c r="I40" s="370">
        <f t="shared" si="5"/>
        <v>72</v>
      </c>
      <c r="K40" s="365"/>
    </row>
    <row r="41" spans="1:11" x14ac:dyDescent="0.2">
      <c r="A41" s="362">
        <f t="shared" si="0"/>
        <v>33</v>
      </c>
      <c r="B41" s="137" t="s">
        <v>126</v>
      </c>
      <c r="C41" s="138" t="s">
        <v>127</v>
      </c>
      <c r="D41" s="387" t="s">
        <v>136</v>
      </c>
      <c r="E41" s="382">
        <v>5.44</v>
      </c>
      <c r="F41" s="384">
        <f t="shared" si="3"/>
        <v>0.83</v>
      </c>
      <c r="G41" s="385">
        <v>996</v>
      </c>
      <c r="H41" s="370">
        <f t="shared" si="4"/>
        <v>5418</v>
      </c>
      <c r="I41" s="370">
        <f t="shared" si="5"/>
        <v>827</v>
      </c>
      <c r="K41" s="365"/>
    </row>
    <row r="42" spans="1:11" x14ac:dyDescent="0.2">
      <c r="A42" s="362">
        <f t="shared" si="0"/>
        <v>34</v>
      </c>
      <c r="B42" s="137" t="s">
        <v>126</v>
      </c>
      <c r="C42" s="138" t="s">
        <v>263</v>
      </c>
      <c r="D42" s="138" t="s">
        <v>264</v>
      </c>
      <c r="E42" s="389">
        <v>5.4556E-2</v>
      </c>
      <c r="F42" s="390">
        <f>'Sch 95'!G29</f>
        <v>8.1030000000000008E-3</v>
      </c>
      <c r="G42" s="385">
        <v>13920</v>
      </c>
      <c r="H42" s="370">
        <f t="shared" si="4"/>
        <v>759</v>
      </c>
      <c r="I42" s="370">
        <f t="shared" si="5"/>
        <v>113</v>
      </c>
      <c r="K42" s="365"/>
    </row>
    <row r="43" spans="1:11" x14ac:dyDescent="0.2">
      <c r="A43" s="362">
        <f t="shared" si="0"/>
        <v>35</v>
      </c>
      <c r="D43" s="139"/>
      <c r="E43" s="383"/>
      <c r="F43" s="384"/>
      <c r="G43" s="385"/>
      <c r="H43" s="138"/>
      <c r="I43" s="138"/>
      <c r="K43" s="365"/>
    </row>
    <row r="44" spans="1:11" x14ac:dyDescent="0.2">
      <c r="A44" s="362">
        <f t="shared" si="0"/>
        <v>36</v>
      </c>
      <c r="B44" s="365" t="s">
        <v>137</v>
      </c>
      <c r="D44" s="139"/>
      <c r="E44" s="383"/>
      <c r="F44" s="384"/>
      <c r="G44" s="385"/>
      <c r="H44" s="138"/>
      <c r="I44" s="138"/>
      <c r="K44" s="365"/>
    </row>
    <row r="45" spans="1:11" x14ac:dyDescent="0.2">
      <c r="A45" s="362">
        <f t="shared" si="0"/>
        <v>37</v>
      </c>
      <c r="B45" s="137" t="s">
        <v>138</v>
      </c>
      <c r="C45" s="138" t="s">
        <v>18</v>
      </c>
      <c r="D45" s="387">
        <v>50</v>
      </c>
      <c r="E45" s="391">
        <v>0.95</v>
      </c>
      <c r="F45" s="384">
        <f t="shared" ref="F45:F52" si="6">ROUND(+E45*$J$9,2)</f>
        <v>0.15</v>
      </c>
      <c r="G45" s="388">
        <v>0</v>
      </c>
      <c r="H45" s="370">
        <f t="shared" ref="H45:H52" si="7">ROUND($G45*E45,0)</f>
        <v>0</v>
      </c>
      <c r="I45" s="370">
        <f t="shared" ref="I45:I52" si="8">ROUND($G45*F45,0)</f>
        <v>0</v>
      </c>
      <c r="K45" s="362"/>
    </row>
    <row r="46" spans="1:11" x14ac:dyDescent="0.2">
      <c r="A46" s="362">
        <f t="shared" si="0"/>
        <v>38</v>
      </c>
      <c r="B46" s="137" t="str">
        <f t="shared" ref="B46:B52" si="9">+B45</f>
        <v xml:space="preserve">52E </v>
      </c>
      <c r="C46" s="138" t="s">
        <v>18</v>
      </c>
      <c r="D46" s="387">
        <v>70</v>
      </c>
      <c r="E46" s="391">
        <v>1.34</v>
      </c>
      <c r="F46" s="384">
        <f t="shared" si="6"/>
        <v>0.21</v>
      </c>
      <c r="G46" s="385">
        <v>7903</v>
      </c>
      <c r="H46" s="370">
        <f t="shared" si="7"/>
        <v>10590</v>
      </c>
      <c r="I46" s="370">
        <f t="shared" si="8"/>
        <v>1660</v>
      </c>
      <c r="K46" s="362"/>
    </row>
    <row r="47" spans="1:11" x14ac:dyDescent="0.2">
      <c r="A47" s="362">
        <f t="shared" si="0"/>
        <v>39</v>
      </c>
      <c r="B47" s="137" t="str">
        <f t="shared" si="9"/>
        <v xml:space="preserve">52E </v>
      </c>
      <c r="C47" s="138" t="s">
        <v>18</v>
      </c>
      <c r="D47" s="387">
        <v>100</v>
      </c>
      <c r="E47" s="391">
        <v>1.91</v>
      </c>
      <c r="F47" s="384">
        <f t="shared" si="6"/>
        <v>0.28999999999999998</v>
      </c>
      <c r="G47" s="385">
        <v>114177</v>
      </c>
      <c r="H47" s="370">
        <f t="shared" si="7"/>
        <v>218078</v>
      </c>
      <c r="I47" s="370">
        <f t="shared" si="8"/>
        <v>33111</v>
      </c>
      <c r="K47" s="362"/>
    </row>
    <row r="48" spans="1:11" x14ac:dyDescent="0.2">
      <c r="A48" s="362">
        <f t="shared" si="0"/>
        <v>40</v>
      </c>
      <c r="B48" s="137" t="str">
        <f t="shared" si="9"/>
        <v xml:space="preserve">52E </v>
      </c>
      <c r="C48" s="138" t="s">
        <v>18</v>
      </c>
      <c r="D48" s="387">
        <v>150</v>
      </c>
      <c r="E48" s="391">
        <v>2.86</v>
      </c>
      <c r="F48" s="384">
        <f t="shared" si="6"/>
        <v>0.44</v>
      </c>
      <c r="G48" s="385">
        <v>53197</v>
      </c>
      <c r="H48" s="370">
        <f t="shared" si="7"/>
        <v>152143</v>
      </c>
      <c r="I48" s="370">
        <f t="shared" si="8"/>
        <v>23407</v>
      </c>
      <c r="K48" s="362"/>
    </row>
    <row r="49" spans="1:11" x14ac:dyDescent="0.2">
      <c r="A49" s="362">
        <f t="shared" si="0"/>
        <v>41</v>
      </c>
      <c r="B49" s="137" t="str">
        <f t="shared" si="9"/>
        <v xml:space="preserve">52E </v>
      </c>
      <c r="C49" s="138" t="s">
        <v>18</v>
      </c>
      <c r="D49" s="387">
        <v>200</v>
      </c>
      <c r="E49" s="391">
        <v>3.82</v>
      </c>
      <c r="F49" s="384">
        <f t="shared" si="6"/>
        <v>0.57999999999999996</v>
      </c>
      <c r="G49" s="385">
        <v>11167</v>
      </c>
      <c r="H49" s="370">
        <f t="shared" si="7"/>
        <v>42658</v>
      </c>
      <c r="I49" s="370">
        <f t="shared" si="8"/>
        <v>6477</v>
      </c>
      <c r="K49" s="362"/>
    </row>
    <row r="50" spans="1:11" x14ac:dyDescent="0.2">
      <c r="A50" s="362">
        <f t="shared" si="0"/>
        <v>42</v>
      </c>
      <c r="B50" s="137" t="str">
        <f t="shared" si="9"/>
        <v xml:space="preserve">52E </v>
      </c>
      <c r="C50" s="138" t="s">
        <v>18</v>
      </c>
      <c r="D50" s="387">
        <v>250</v>
      </c>
      <c r="E50" s="391">
        <v>4.7699999999999996</v>
      </c>
      <c r="F50" s="384">
        <f t="shared" si="6"/>
        <v>0.73</v>
      </c>
      <c r="G50" s="385">
        <v>16521</v>
      </c>
      <c r="H50" s="370">
        <f t="shared" si="7"/>
        <v>78805</v>
      </c>
      <c r="I50" s="370">
        <f t="shared" si="8"/>
        <v>12060</v>
      </c>
      <c r="K50" s="362"/>
    </row>
    <row r="51" spans="1:11" x14ac:dyDescent="0.2">
      <c r="A51" s="362">
        <f t="shared" si="0"/>
        <v>43</v>
      </c>
      <c r="B51" s="137" t="str">
        <f t="shared" si="9"/>
        <v xml:space="preserve">52E </v>
      </c>
      <c r="C51" s="138" t="s">
        <v>18</v>
      </c>
      <c r="D51" s="387">
        <v>310</v>
      </c>
      <c r="E51" s="391">
        <v>5.92</v>
      </c>
      <c r="F51" s="384">
        <f t="shared" si="6"/>
        <v>0.91</v>
      </c>
      <c r="G51" s="385">
        <v>1688</v>
      </c>
      <c r="H51" s="370">
        <f t="shared" si="7"/>
        <v>9993</v>
      </c>
      <c r="I51" s="370">
        <f t="shared" si="8"/>
        <v>1536</v>
      </c>
      <c r="K51" s="362"/>
    </row>
    <row r="52" spans="1:11" x14ac:dyDescent="0.2">
      <c r="A52" s="362">
        <f t="shared" si="0"/>
        <v>44</v>
      </c>
      <c r="B52" s="137" t="str">
        <f t="shared" si="9"/>
        <v xml:space="preserve">52E </v>
      </c>
      <c r="C52" s="138" t="s">
        <v>18</v>
      </c>
      <c r="D52" s="387">
        <v>400</v>
      </c>
      <c r="E52" s="391">
        <v>7.64</v>
      </c>
      <c r="F52" s="384">
        <f t="shared" si="6"/>
        <v>1.17</v>
      </c>
      <c r="G52" s="385">
        <v>6943</v>
      </c>
      <c r="H52" s="370">
        <f t="shared" si="7"/>
        <v>53045</v>
      </c>
      <c r="I52" s="370">
        <f t="shared" si="8"/>
        <v>8123</v>
      </c>
      <c r="K52" s="362"/>
    </row>
    <row r="53" spans="1:11" x14ac:dyDescent="0.2">
      <c r="A53" s="362">
        <f t="shared" si="0"/>
        <v>45</v>
      </c>
      <c r="B53" s="392"/>
      <c r="C53" s="138"/>
      <c r="D53" s="387"/>
      <c r="E53" s="383"/>
      <c r="F53" s="384"/>
      <c r="G53" s="385"/>
      <c r="H53" s="138"/>
      <c r="I53" s="138"/>
      <c r="K53" s="362"/>
    </row>
    <row r="54" spans="1:11" x14ac:dyDescent="0.2">
      <c r="A54" s="362">
        <f t="shared" si="0"/>
        <v>46</v>
      </c>
      <c r="B54" s="137" t="str">
        <f>+B49</f>
        <v xml:space="preserve">52E </v>
      </c>
      <c r="C54" s="138" t="s">
        <v>139</v>
      </c>
      <c r="D54" s="387">
        <v>70</v>
      </c>
      <c r="E54" s="391">
        <v>1.34</v>
      </c>
      <c r="F54" s="384">
        <f t="shared" ref="F54:F60" si="10">ROUND(+E54*$J$9,2)</f>
        <v>0.21</v>
      </c>
      <c r="G54" s="385">
        <v>841</v>
      </c>
      <c r="H54" s="370">
        <f t="shared" ref="H54:H60" si="11">ROUND($G54*E54,0)</f>
        <v>1127</v>
      </c>
      <c r="I54" s="370">
        <f t="shared" ref="I54:I60" si="12">ROUND($G54*F54,0)</f>
        <v>177</v>
      </c>
      <c r="K54" s="362"/>
    </row>
    <row r="55" spans="1:11" x14ac:dyDescent="0.2">
      <c r="A55" s="362">
        <f t="shared" si="0"/>
        <v>47</v>
      </c>
      <c r="B55" s="137" t="str">
        <f>+B50</f>
        <v xml:space="preserve">52E </v>
      </c>
      <c r="C55" s="138" t="s">
        <v>139</v>
      </c>
      <c r="D55" s="387">
        <v>100</v>
      </c>
      <c r="E55" s="391">
        <v>1.91</v>
      </c>
      <c r="F55" s="384">
        <f t="shared" si="10"/>
        <v>0.28999999999999998</v>
      </c>
      <c r="G55" s="385">
        <v>46</v>
      </c>
      <c r="H55" s="370">
        <f t="shared" si="11"/>
        <v>88</v>
      </c>
      <c r="I55" s="370">
        <f t="shared" si="12"/>
        <v>13</v>
      </c>
      <c r="K55" s="362"/>
    </row>
    <row r="56" spans="1:11" x14ac:dyDescent="0.2">
      <c r="A56" s="362">
        <f t="shared" si="0"/>
        <v>48</v>
      </c>
      <c r="B56" s="137" t="str">
        <f>+B51</f>
        <v xml:space="preserve">52E </v>
      </c>
      <c r="C56" s="138" t="s">
        <v>139</v>
      </c>
      <c r="D56" s="387">
        <v>150</v>
      </c>
      <c r="E56" s="391">
        <v>2.86</v>
      </c>
      <c r="F56" s="384">
        <f t="shared" si="10"/>
        <v>0.44</v>
      </c>
      <c r="G56" s="385">
        <v>2376</v>
      </c>
      <c r="H56" s="370">
        <f t="shared" si="11"/>
        <v>6795</v>
      </c>
      <c r="I56" s="370">
        <f t="shared" si="12"/>
        <v>1045</v>
      </c>
      <c r="K56" s="362"/>
    </row>
    <row r="57" spans="1:11" x14ac:dyDescent="0.2">
      <c r="A57" s="362">
        <f t="shared" si="0"/>
        <v>49</v>
      </c>
      <c r="B57" s="137" t="str">
        <f>+B52</f>
        <v xml:space="preserve">52E </v>
      </c>
      <c r="C57" s="138" t="s">
        <v>139</v>
      </c>
      <c r="D57" s="387">
        <v>175</v>
      </c>
      <c r="E57" s="391">
        <v>3.34</v>
      </c>
      <c r="F57" s="384">
        <f t="shared" si="10"/>
        <v>0.51</v>
      </c>
      <c r="G57" s="385">
        <v>2512</v>
      </c>
      <c r="H57" s="370">
        <f t="shared" si="11"/>
        <v>8390</v>
      </c>
      <c r="I57" s="370">
        <f t="shared" si="12"/>
        <v>1281</v>
      </c>
      <c r="K57" s="362"/>
    </row>
    <row r="58" spans="1:11" x14ac:dyDescent="0.2">
      <c r="A58" s="362">
        <f t="shared" si="0"/>
        <v>50</v>
      </c>
      <c r="B58" s="137" t="str">
        <f t="shared" ref="B58:C60" si="13">+B57</f>
        <v xml:space="preserve">52E </v>
      </c>
      <c r="C58" s="138" t="str">
        <f t="shared" si="13"/>
        <v>Metal Halide</v>
      </c>
      <c r="D58" s="387">
        <v>250</v>
      </c>
      <c r="E58" s="391">
        <v>4.7699999999999996</v>
      </c>
      <c r="F58" s="384">
        <f t="shared" si="10"/>
        <v>0.73</v>
      </c>
      <c r="G58" s="385">
        <v>426</v>
      </c>
      <c r="H58" s="370">
        <f t="shared" si="11"/>
        <v>2032</v>
      </c>
      <c r="I58" s="370">
        <f t="shared" si="12"/>
        <v>311</v>
      </c>
      <c r="K58" s="362"/>
    </row>
    <row r="59" spans="1:11" x14ac:dyDescent="0.2">
      <c r="A59" s="362">
        <f t="shared" si="0"/>
        <v>51</v>
      </c>
      <c r="B59" s="137" t="str">
        <f t="shared" si="13"/>
        <v xml:space="preserve">52E </v>
      </c>
      <c r="C59" s="138" t="str">
        <f t="shared" si="13"/>
        <v>Metal Halide</v>
      </c>
      <c r="D59" s="387">
        <v>400</v>
      </c>
      <c r="E59" s="391">
        <v>7.64</v>
      </c>
      <c r="F59" s="384">
        <f t="shared" si="10"/>
        <v>1.17</v>
      </c>
      <c r="G59" s="385">
        <v>684</v>
      </c>
      <c r="H59" s="370">
        <f t="shared" si="11"/>
        <v>5226</v>
      </c>
      <c r="I59" s="370">
        <f t="shared" si="12"/>
        <v>800</v>
      </c>
      <c r="K59" s="362"/>
    </row>
    <row r="60" spans="1:11" x14ac:dyDescent="0.2">
      <c r="A60" s="362">
        <f t="shared" si="0"/>
        <v>52</v>
      </c>
      <c r="B60" s="137" t="str">
        <f t="shared" si="13"/>
        <v xml:space="preserve">52E </v>
      </c>
      <c r="C60" s="138" t="str">
        <f t="shared" si="13"/>
        <v>Metal Halide</v>
      </c>
      <c r="D60" s="387">
        <v>1000</v>
      </c>
      <c r="E60" s="391">
        <v>19.09</v>
      </c>
      <c r="F60" s="384">
        <f t="shared" si="10"/>
        <v>2.92</v>
      </c>
      <c r="G60" s="385">
        <v>216</v>
      </c>
      <c r="H60" s="370">
        <f t="shared" si="11"/>
        <v>4123</v>
      </c>
      <c r="I60" s="370">
        <f t="shared" si="12"/>
        <v>631</v>
      </c>
      <c r="K60" s="362"/>
    </row>
    <row r="61" spans="1:11" x14ac:dyDescent="0.2">
      <c r="A61" s="362">
        <f t="shared" si="0"/>
        <v>53</v>
      </c>
      <c r="D61" s="139"/>
      <c r="E61" s="383"/>
      <c r="F61" s="384"/>
      <c r="G61" s="385"/>
      <c r="H61" s="138"/>
      <c r="I61" s="138"/>
      <c r="K61" s="362"/>
    </row>
    <row r="62" spans="1:11" x14ac:dyDescent="0.2">
      <c r="A62" s="362">
        <f t="shared" si="0"/>
        <v>54</v>
      </c>
      <c r="B62" s="365" t="s">
        <v>140</v>
      </c>
      <c r="D62" s="139"/>
      <c r="E62" s="383"/>
      <c r="F62" s="384"/>
      <c r="G62" s="385"/>
      <c r="H62" s="138"/>
      <c r="I62" s="138"/>
      <c r="K62" s="362"/>
    </row>
    <row r="63" spans="1:11" x14ac:dyDescent="0.2">
      <c r="A63" s="362">
        <f t="shared" si="0"/>
        <v>55</v>
      </c>
      <c r="B63" s="137" t="s">
        <v>379</v>
      </c>
      <c r="C63" s="138" t="s">
        <v>18</v>
      </c>
      <c r="D63" s="387">
        <v>50</v>
      </c>
      <c r="E63" s="391">
        <v>0.95</v>
      </c>
      <c r="F63" s="384">
        <f t="shared" ref="F63:F71" si="14">ROUND(+E63*$J$9,2)</f>
        <v>0.15</v>
      </c>
      <c r="G63" s="385">
        <v>0</v>
      </c>
      <c r="H63" s="370">
        <f t="shared" ref="H63:H71" si="15">ROUND($G63*E63,0)</f>
        <v>0</v>
      </c>
      <c r="I63" s="370">
        <f t="shared" ref="I63:I69" si="16">ROUND($G63*F63,0)</f>
        <v>0</v>
      </c>
      <c r="K63" s="362"/>
    </row>
    <row r="64" spans="1:11" x14ac:dyDescent="0.2">
      <c r="A64" s="362">
        <f t="shared" si="0"/>
        <v>56</v>
      </c>
      <c r="B64" s="137" t="str">
        <f t="shared" ref="B64:B71" si="17">+B63</f>
        <v>53E</v>
      </c>
      <c r="C64" s="138" t="s">
        <v>18</v>
      </c>
      <c r="D64" s="387">
        <v>70</v>
      </c>
      <c r="E64" s="391">
        <v>1.34</v>
      </c>
      <c r="F64" s="384">
        <f t="shared" si="14"/>
        <v>0.21</v>
      </c>
      <c r="G64" s="385">
        <v>44824</v>
      </c>
      <c r="H64" s="370">
        <f t="shared" si="15"/>
        <v>60064</v>
      </c>
      <c r="I64" s="370">
        <f t="shared" si="16"/>
        <v>9413</v>
      </c>
      <c r="K64" s="362"/>
    </row>
    <row r="65" spans="1:11" x14ac:dyDescent="0.2">
      <c r="A65" s="362">
        <f t="shared" si="0"/>
        <v>57</v>
      </c>
      <c r="B65" s="137" t="str">
        <f t="shared" si="17"/>
        <v>53E</v>
      </c>
      <c r="C65" s="138" t="s">
        <v>18</v>
      </c>
      <c r="D65" s="387">
        <v>100</v>
      </c>
      <c r="E65" s="391">
        <v>1.91</v>
      </c>
      <c r="F65" s="384">
        <f t="shared" si="14"/>
        <v>0.28999999999999998</v>
      </c>
      <c r="G65" s="385">
        <v>339597</v>
      </c>
      <c r="H65" s="370">
        <f t="shared" si="15"/>
        <v>648630</v>
      </c>
      <c r="I65" s="370">
        <f t="shared" si="16"/>
        <v>98483</v>
      </c>
      <c r="K65" s="362"/>
    </row>
    <row r="66" spans="1:11" x14ac:dyDescent="0.2">
      <c r="A66" s="362">
        <f t="shared" si="0"/>
        <v>58</v>
      </c>
      <c r="B66" s="137" t="str">
        <f t="shared" si="17"/>
        <v>53E</v>
      </c>
      <c r="C66" s="138" t="s">
        <v>18</v>
      </c>
      <c r="D66" s="387">
        <v>150</v>
      </c>
      <c r="E66" s="391">
        <v>2.86</v>
      </c>
      <c r="F66" s="384">
        <f t="shared" si="14"/>
        <v>0.44</v>
      </c>
      <c r="G66" s="385">
        <v>41152</v>
      </c>
      <c r="H66" s="370">
        <f t="shared" si="15"/>
        <v>117695</v>
      </c>
      <c r="I66" s="370">
        <f t="shared" si="16"/>
        <v>18107</v>
      </c>
      <c r="K66" s="362"/>
    </row>
    <row r="67" spans="1:11" x14ac:dyDescent="0.2">
      <c r="A67" s="362">
        <f t="shared" si="0"/>
        <v>59</v>
      </c>
      <c r="B67" s="137" t="str">
        <f t="shared" si="17"/>
        <v>53E</v>
      </c>
      <c r="C67" s="138" t="s">
        <v>18</v>
      </c>
      <c r="D67" s="387">
        <v>200</v>
      </c>
      <c r="E67" s="391">
        <v>3.82</v>
      </c>
      <c r="F67" s="384">
        <f t="shared" si="14"/>
        <v>0.57999999999999996</v>
      </c>
      <c r="G67" s="385">
        <v>55212</v>
      </c>
      <c r="H67" s="370">
        <f t="shared" si="15"/>
        <v>210910</v>
      </c>
      <c r="I67" s="370">
        <f t="shared" si="16"/>
        <v>32023</v>
      </c>
      <c r="K67" s="362"/>
    </row>
    <row r="68" spans="1:11" x14ac:dyDescent="0.2">
      <c r="A68" s="362">
        <f t="shared" si="0"/>
        <v>60</v>
      </c>
      <c r="B68" s="137" t="str">
        <f t="shared" si="17"/>
        <v>53E</v>
      </c>
      <c r="C68" s="138" t="s">
        <v>18</v>
      </c>
      <c r="D68" s="387">
        <v>250</v>
      </c>
      <c r="E68" s="391">
        <v>4.7699999999999996</v>
      </c>
      <c r="F68" s="384">
        <f t="shared" si="14"/>
        <v>0.73</v>
      </c>
      <c r="G68" s="385">
        <v>21489</v>
      </c>
      <c r="H68" s="370">
        <f t="shared" si="15"/>
        <v>102503</v>
      </c>
      <c r="I68" s="370">
        <f t="shared" si="16"/>
        <v>15687</v>
      </c>
      <c r="K68" s="362"/>
    </row>
    <row r="69" spans="1:11" x14ac:dyDescent="0.2">
      <c r="A69" s="362">
        <f t="shared" si="0"/>
        <v>61</v>
      </c>
      <c r="B69" s="137" t="str">
        <f t="shared" si="17"/>
        <v>53E</v>
      </c>
      <c r="C69" s="138" t="s">
        <v>18</v>
      </c>
      <c r="D69" s="387">
        <v>310</v>
      </c>
      <c r="E69" s="391">
        <v>5.92</v>
      </c>
      <c r="F69" s="384">
        <f t="shared" si="14"/>
        <v>0.91</v>
      </c>
      <c r="G69" s="385">
        <v>240</v>
      </c>
      <c r="H69" s="370">
        <f t="shared" si="15"/>
        <v>1421</v>
      </c>
      <c r="I69" s="370">
        <f t="shared" si="16"/>
        <v>218</v>
      </c>
      <c r="K69" s="362"/>
    </row>
    <row r="70" spans="1:11" x14ac:dyDescent="0.2">
      <c r="A70" s="362">
        <f t="shared" si="0"/>
        <v>62</v>
      </c>
      <c r="B70" s="137" t="str">
        <f t="shared" si="17"/>
        <v>53E</v>
      </c>
      <c r="C70" s="138" t="s">
        <v>18</v>
      </c>
      <c r="D70" s="387">
        <v>400</v>
      </c>
      <c r="E70" s="391">
        <v>7.64</v>
      </c>
      <c r="F70" s="384">
        <f t="shared" si="14"/>
        <v>1.17</v>
      </c>
      <c r="G70" s="385">
        <v>14834</v>
      </c>
      <c r="H70" s="370">
        <f t="shared" si="15"/>
        <v>113332</v>
      </c>
      <c r="I70" s="370">
        <f>ROUND($G70*F70,0)</f>
        <v>17356</v>
      </c>
      <c r="K70" s="362"/>
    </row>
    <row r="71" spans="1:11" x14ac:dyDescent="0.2">
      <c r="A71" s="362">
        <f t="shared" si="0"/>
        <v>63</v>
      </c>
      <c r="B71" s="137" t="str">
        <f t="shared" si="17"/>
        <v>53E</v>
      </c>
      <c r="C71" s="138" t="s">
        <v>18</v>
      </c>
      <c r="D71" s="387">
        <v>1000</v>
      </c>
      <c r="E71" s="391">
        <v>19.09</v>
      </c>
      <c r="F71" s="384">
        <f t="shared" si="14"/>
        <v>2.92</v>
      </c>
      <c r="G71" s="388">
        <v>0</v>
      </c>
      <c r="H71" s="370">
        <f t="shared" si="15"/>
        <v>0</v>
      </c>
      <c r="I71" s="370">
        <f>ROUND($G71*F71,0)</f>
        <v>0</v>
      </c>
      <c r="K71" s="362"/>
    </row>
    <row r="72" spans="1:11" x14ac:dyDescent="0.2">
      <c r="A72" s="362">
        <f t="shared" si="0"/>
        <v>64</v>
      </c>
      <c r="B72" s="137"/>
      <c r="C72" s="138"/>
      <c r="D72" s="387"/>
      <c r="E72" s="383"/>
      <c r="F72" s="384"/>
      <c r="G72" s="385"/>
      <c r="H72" s="138"/>
      <c r="I72" s="138"/>
      <c r="K72" s="362"/>
    </row>
    <row r="73" spans="1:11" x14ac:dyDescent="0.2">
      <c r="A73" s="362">
        <f t="shared" si="0"/>
        <v>65</v>
      </c>
      <c r="B73" s="137" t="str">
        <f>+B71</f>
        <v>53E</v>
      </c>
      <c r="C73" s="138" t="s">
        <v>139</v>
      </c>
      <c r="D73" s="387">
        <v>70</v>
      </c>
      <c r="E73" s="391">
        <v>1.34</v>
      </c>
      <c r="F73" s="384">
        <f t="shared" ref="F73:F78" si="18">ROUND(+E73*$J$9,2)</f>
        <v>0.21</v>
      </c>
      <c r="G73" s="388">
        <v>0</v>
      </c>
      <c r="H73" s="370">
        <f t="shared" ref="H73:H78" si="19">ROUND($G73*E73,0)</f>
        <v>0</v>
      </c>
      <c r="I73" s="370">
        <f t="shared" ref="I73:I78" si="20">ROUND($G73*F73,0)</f>
        <v>0</v>
      </c>
      <c r="K73" s="362"/>
    </row>
    <row r="74" spans="1:11" x14ac:dyDescent="0.2">
      <c r="A74" s="362">
        <f t="shared" si="0"/>
        <v>66</v>
      </c>
      <c r="B74" s="137" t="str">
        <f>+B73</f>
        <v>53E</v>
      </c>
      <c r="C74" s="138" t="s">
        <v>139</v>
      </c>
      <c r="D74" s="387">
        <v>100</v>
      </c>
      <c r="E74" s="391">
        <v>1.91</v>
      </c>
      <c r="F74" s="384">
        <f t="shared" si="18"/>
        <v>0.28999999999999998</v>
      </c>
      <c r="G74" s="388">
        <v>0</v>
      </c>
      <c r="H74" s="370">
        <f t="shared" si="19"/>
        <v>0</v>
      </c>
      <c r="I74" s="370">
        <f t="shared" si="20"/>
        <v>0</v>
      </c>
      <c r="K74" s="362"/>
    </row>
    <row r="75" spans="1:11" x14ac:dyDescent="0.2">
      <c r="A75" s="362">
        <f t="shared" ref="A75:A138" si="21">+A74+1</f>
        <v>67</v>
      </c>
      <c r="B75" s="137" t="str">
        <f>+B74</f>
        <v>53E</v>
      </c>
      <c r="C75" s="138" t="s">
        <v>139</v>
      </c>
      <c r="D75" s="387">
        <v>150</v>
      </c>
      <c r="E75" s="391">
        <v>2.86</v>
      </c>
      <c r="F75" s="384">
        <f t="shared" si="18"/>
        <v>0.44</v>
      </c>
      <c r="G75" s="388">
        <v>0</v>
      </c>
      <c r="H75" s="370">
        <f t="shared" si="19"/>
        <v>0</v>
      </c>
      <c r="I75" s="370">
        <f t="shared" si="20"/>
        <v>0</v>
      </c>
      <c r="K75" s="362"/>
    </row>
    <row r="76" spans="1:11" x14ac:dyDescent="0.2">
      <c r="A76" s="362">
        <f t="shared" si="21"/>
        <v>68</v>
      </c>
      <c r="B76" s="137" t="str">
        <f>+B75</f>
        <v>53E</v>
      </c>
      <c r="C76" s="138" t="s">
        <v>139</v>
      </c>
      <c r="D76" s="387">
        <v>175</v>
      </c>
      <c r="E76" s="391">
        <v>3.34</v>
      </c>
      <c r="F76" s="384">
        <f t="shared" si="18"/>
        <v>0.51</v>
      </c>
      <c r="G76" s="385">
        <v>48</v>
      </c>
      <c r="H76" s="370">
        <f t="shared" si="19"/>
        <v>160</v>
      </c>
      <c r="I76" s="370">
        <f t="shared" si="20"/>
        <v>24</v>
      </c>
      <c r="K76" s="362"/>
    </row>
    <row r="77" spans="1:11" x14ac:dyDescent="0.2">
      <c r="A77" s="362">
        <f t="shared" si="21"/>
        <v>69</v>
      </c>
      <c r="B77" s="137" t="str">
        <f>+B76</f>
        <v>53E</v>
      </c>
      <c r="C77" s="138" t="s">
        <v>139</v>
      </c>
      <c r="D77" s="387">
        <v>250</v>
      </c>
      <c r="E77" s="391">
        <v>4.7699999999999996</v>
      </c>
      <c r="F77" s="384">
        <f t="shared" si="18"/>
        <v>0.73</v>
      </c>
      <c r="G77" s="388">
        <v>0</v>
      </c>
      <c r="H77" s="370">
        <f t="shared" si="19"/>
        <v>0</v>
      </c>
      <c r="I77" s="370">
        <f t="shared" si="20"/>
        <v>0</v>
      </c>
      <c r="K77" s="362"/>
    </row>
    <row r="78" spans="1:11" x14ac:dyDescent="0.2">
      <c r="A78" s="362">
        <f t="shared" si="21"/>
        <v>70</v>
      </c>
      <c r="B78" s="137" t="str">
        <f>+B77</f>
        <v>53E</v>
      </c>
      <c r="C78" s="138" t="s">
        <v>139</v>
      </c>
      <c r="D78" s="387">
        <v>400</v>
      </c>
      <c r="E78" s="391">
        <v>7.64</v>
      </c>
      <c r="F78" s="384">
        <f t="shared" si="18"/>
        <v>1.17</v>
      </c>
      <c r="G78" s="388">
        <v>0</v>
      </c>
      <c r="H78" s="370">
        <f t="shared" si="19"/>
        <v>0</v>
      </c>
      <c r="I78" s="370">
        <f t="shared" si="20"/>
        <v>0</v>
      </c>
      <c r="K78" s="362"/>
    </row>
    <row r="79" spans="1:11" x14ac:dyDescent="0.2">
      <c r="A79" s="362">
        <f t="shared" si="21"/>
        <v>71</v>
      </c>
      <c r="B79" s="137"/>
      <c r="C79" s="138"/>
      <c r="D79" s="387"/>
      <c r="E79" s="383"/>
      <c r="F79" s="384"/>
      <c r="G79" s="385"/>
      <c r="H79" s="138"/>
      <c r="I79" s="138"/>
      <c r="K79" s="362"/>
    </row>
    <row r="80" spans="1:11" x14ac:dyDescent="0.2">
      <c r="A80" s="362">
        <f t="shared" si="21"/>
        <v>72</v>
      </c>
      <c r="B80" s="137" t="str">
        <f>+B77</f>
        <v>53E</v>
      </c>
      <c r="C80" s="138" t="s">
        <v>127</v>
      </c>
      <c r="D80" s="139" t="s">
        <v>262</v>
      </c>
      <c r="E80" s="382">
        <v>0.28999999999999998</v>
      </c>
      <c r="F80" s="384">
        <f t="shared" ref="F80:F89" si="22">ROUND(+E80*$J$9,2)</f>
        <v>0.04</v>
      </c>
      <c r="G80" s="385">
        <v>135</v>
      </c>
      <c r="H80" s="370">
        <f t="shared" ref="H80:H90" si="23">ROUND($G80*E80,0)</f>
        <v>39</v>
      </c>
      <c r="I80" s="370">
        <f t="shared" ref="I80:I90" si="24">ROUND($G80*F80,0)</f>
        <v>5</v>
      </c>
      <c r="K80" s="362"/>
    </row>
    <row r="81" spans="1:11" x14ac:dyDescent="0.2">
      <c r="A81" s="362">
        <f t="shared" si="21"/>
        <v>73</v>
      </c>
      <c r="B81" s="137" t="str">
        <f>+B78</f>
        <v>53E</v>
      </c>
      <c r="C81" s="138" t="s">
        <v>127</v>
      </c>
      <c r="D81" s="140" t="s">
        <v>378</v>
      </c>
      <c r="E81" s="382">
        <v>0.86</v>
      </c>
      <c r="F81" s="384">
        <f t="shared" si="22"/>
        <v>0.13</v>
      </c>
      <c r="G81" s="385">
        <v>276996</v>
      </c>
      <c r="H81" s="370">
        <f t="shared" si="23"/>
        <v>238217</v>
      </c>
      <c r="I81" s="370">
        <f t="shared" si="24"/>
        <v>36009</v>
      </c>
      <c r="K81" s="362"/>
    </row>
    <row r="82" spans="1:11" x14ac:dyDescent="0.2">
      <c r="A82" s="362">
        <f t="shared" si="21"/>
        <v>74</v>
      </c>
      <c r="B82" s="137" t="str">
        <f t="shared" ref="B82:B90" si="25">B81</f>
        <v>53E</v>
      </c>
      <c r="C82" s="138" t="s">
        <v>127</v>
      </c>
      <c r="D82" s="387" t="s">
        <v>129</v>
      </c>
      <c r="E82" s="382">
        <v>1.43</v>
      </c>
      <c r="F82" s="384">
        <f t="shared" si="22"/>
        <v>0.22</v>
      </c>
      <c r="G82" s="385">
        <v>17412</v>
      </c>
      <c r="H82" s="370">
        <f t="shared" si="23"/>
        <v>24899</v>
      </c>
      <c r="I82" s="370">
        <f t="shared" si="24"/>
        <v>3831</v>
      </c>
      <c r="K82" s="362"/>
    </row>
    <row r="83" spans="1:11" x14ac:dyDescent="0.2">
      <c r="A83" s="362">
        <f t="shared" si="21"/>
        <v>75</v>
      </c>
      <c r="B83" s="137" t="str">
        <f t="shared" si="25"/>
        <v>53E</v>
      </c>
      <c r="C83" s="138" t="s">
        <v>127</v>
      </c>
      <c r="D83" s="387" t="s">
        <v>130</v>
      </c>
      <c r="E83" s="382">
        <v>2</v>
      </c>
      <c r="F83" s="384">
        <f t="shared" si="22"/>
        <v>0.31</v>
      </c>
      <c r="G83" s="385">
        <v>42936</v>
      </c>
      <c r="H83" s="370">
        <f t="shared" si="23"/>
        <v>85872</v>
      </c>
      <c r="I83" s="370">
        <f t="shared" si="24"/>
        <v>13310</v>
      </c>
      <c r="K83" s="362"/>
    </row>
    <row r="84" spans="1:11" x14ac:dyDescent="0.2">
      <c r="A84" s="362">
        <f t="shared" si="21"/>
        <v>76</v>
      </c>
      <c r="B84" s="137" t="str">
        <f t="shared" si="25"/>
        <v>53E</v>
      </c>
      <c r="C84" s="138" t="s">
        <v>127</v>
      </c>
      <c r="D84" s="387" t="s">
        <v>131</v>
      </c>
      <c r="E84" s="382">
        <v>2.58</v>
      </c>
      <c r="F84" s="384">
        <f t="shared" si="22"/>
        <v>0.4</v>
      </c>
      <c r="G84" s="385">
        <v>23604</v>
      </c>
      <c r="H84" s="370">
        <f t="shared" si="23"/>
        <v>60898</v>
      </c>
      <c r="I84" s="370">
        <f t="shared" si="24"/>
        <v>9442</v>
      </c>
      <c r="K84" s="362"/>
    </row>
    <row r="85" spans="1:11" x14ac:dyDescent="0.2">
      <c r="A85" s="362">
        <f t="shared" si="21"/>
        <v>77</v>
      </c>
      <c r="B85" s="137" t="str">
        <f t="shared" si="25"/>
        <v>53E</v>
      </c>
      <c r="C85" s="138" t="s">
        <v>127</v>
      </c>
      <c r="D85" s="387" t="s">
        <v>132</v>
      </c>
      <c r="E85" s="382">
        <v>3.15</v>
      </c>
      <c r="F85" s="384">
        <f t="shared" si="22"/>
        <v>0.48</v>
      </c>
      <c r="G85" s="385">
        <v>20733</v>
      </c>
      <c r="H85" s="370">
        <f t="shared" si="23"/>
        <v>65309</v>
      </c>
      <c r="I85" s="370">
        <f t="shared" si="24"/>
        <v>9952</v>
      </c>
      <c r="K85" s="362"/>
    </row>
    <row r="86" spans="1:11" x14ac:dyDescent="0.2">
      <c r="A86" s="362">
        <f t="shared" si="21"/>
        <v>78</v>
      </c>
      <c r="B86" s="137" t="str">
        <f t="shared" si="25"/>
        <v>53E</v>
      </c>
      <c r="C86" s="138" t="s">
        <v>127</v>
      </c>
      <c r="D86" s="387" t="s">
        <v>133</v>
      </c>
      <c r="E86" s="382">
        <v>3.72</v>
      </c>
      <c r="F86" s="384">
        <f t="shared" si="22"/>
        <v>0.56999999999999995</v>
      </c>
      <c r="G86" s="385">
        <v>6199</v>
      </c>
      <c r="H86" s="370">
        <f t="shared" si="23"/>
        <v>23060</v>
      </c>
      <c r="I86" s="370">
        <f t="shared" si="24"/>
        <v>3533</v>
      </c>
      <c r="K86" s="362"/>
    </row>
    <row r="87" spans="1:11" x14ac:dyDescent="0.2">
      <c r="A87" s="362">
        <f t="shared" si="21"/>
        <v>79</v>
      </c>
      <c r="B87" s="137" t="str">
        <f t="shared" si="25"/>
        <v>53E</v>
      </c>
      <c r="C87" s="138" t="s">
        <v>127</v>
      </c>
      <c r="D87" s="387" t="s">
        <v>134</v>
      </c>
      <c r="E87" s="382">
        <v>4.3</v>
      </c>
      <c r="F87" s="384">
        <f t="shared" si="22"/>
        <v>0.66</v>
      </c>
      <c r="G87" s="385">
        <v>1015</v>
      </c>
      <c r="H87" s="370">
        <f t="shared" si="23"/>
        <v>4365</v>
      </c>
      <c r="I87" s="370">
        <f t="shared" si="24"/>
        <v>670</v>
      </c>
      <c r="K87" s="362"/>
    </row>
    <row r="88" spans="1:11" x14ac:dyDescent="0.2">
      <c r="A88" s="362">
        <f t="shared" si="21"/>
        <v>80</v>
      </c>
      <c r="B88" s="137" t="str">
        <f t="shared" si="25"/>
        <v>53E</v>
      </c>
      <c r="C88" s="138" t="s">
        <v>127</v>
      </c>
      <c r="D88" s="387" t="s">
        <v>135</v>
      </c>
      <c r="E88" s="382">
        <v>4.87</v>
      </c>
      <c r="F88" s="384">
        <f t="shared" si="22"/>
        <v>0.75</v>
      </c>
      <c r="G88" s="385">
        <v>312</v>
      </c>
      <c r="H88" s="370">
        <f t="shared" si="23"/>
        <v>1519</v>
      </c>
      <c r="I88" s="370">
        <f t="shared" si="24"/>
        <v>234</v>
      </c>
      <c r="K88" s="362"/>
    </row>
    <row r="89" spans="1:11" x14ac:dyDescent="0.2">
      <c r="A89" s="362">
        <f t="shared" si="21"/>
        <v>81</v>
      </c>
      <c r="B89" s="137" t="str">
        <f t="shared" si="25"/>
        <v>53E</v>
      </c>
      <c r="C89" s="138" t="s">
        <v>127</v>
      </c>
      <c r="D89" s="387" t="s">
        <v>136</v>
      </c>
      <c r="E89" s="382">
        <v>5.44</v>
      </c>
      <c r="F89" s="384">
        <f t="shared" si="22"/>
        <v>0.83</v>
      </c>
      <c r="G89" s="385">
        <v>1897</v>
      </c>
      <c r="H89" s="370">
        <f t="shared" si="23"/>
        <v>10320</v>
      </c>
      <c r="I89" s="370">
        <f t="shared" si="24"/>
        <v>1575</v>
      </c>
      <c r="K89" s="362"/>
    </row>
    <row r="90" spans="1:11" x14ac:dyDescent="0.2">
      <c r="A90" s="362">
        <f t="shared" si="21"/>
        <v>82</v>
      </c>
      <c r="B90" s="137" t="str">
        <f t="shared" si="25"/>
        <v>53E</v>
      </c>
      <c r="C90" s="138" t="s">
        <v>380</v>
      </c>
      <c r="D90" s="138" t="s">
        <v>264</v>
      </c>
      <c r="E90" s="389">
        <v>5.4556E-2</v>
      </c>
      <c r="F90" s="390">
        <f>'Sch 95'!G29</f>
        <v>8.1030000000000008E-3</v>
      </c>
      <c r="G90" s="385">
        <v>701281</v>
      </c>
      <c r="H90" s="370">
        <f t="shared" si="23"/>
        <v>38259</v>
      </c>
      <c r="I90" s="370">
        <f t="shared" si="24"/>
        <v>5682</v>
      </c>
      <c r="K90" s="362"/>
    </row>
    <row r="91" spans="1:11" x14ac:dyDescent="0.2">
      <c r="A91" s="362">
        <f t="shared" si="21"/>
        <v>83</v>
      </c>
      <c r="B91" s="141"/>
      <c r="C91" s="138"/>
      <c r="D91" s="387"/>
      <c r="E91" s="383"/>
      <c r="F91" s="384"/>
      <c r="G91" s="385"/>
      <c r="H91" s="138"/>
      <c r="I91" s="138"/>
      <c r="K91" s="362"/>
    </row>
    <row r="92" spans="1:11" x14ac:dyDescent="0.2">
      <c r="A92" s="362">
        <f t="shared" si="21"/>
        <v>84</v>
      </c>
      <c r="B92" s="365" t="s">
        <v>141</v>
      </c>
      <c r="D92" s="139"/>
      <c r="E92" s="383"/>
      <c r="F92" s="384"/>
      <c r="G92" s="385"/>
      <c r="H92" s="138"/>
      <c r="I92" s="138"/>
      <c r="K92" s="362"/>
    </row>
    <row r="93" spans="1:11" x14ac:dyDescent="0.2">
      <c r="A93" s="362">
        <f t="shared" si="21"/>
        <v>85</v>
      </c>
      <c r="B93" s="137" t="s">
        <v>142</v>
      </c>
      <c r="C93" s="138" t="s">
        <v>18</v>
      </c>
      <c r="D93" s="387">
        <v>50</v>
      </c>
      <c r="E93" s="382">
        <v>0.95</v>
      </c>
      <c r="F93" s="384">
        <f t="shared" ref="F93:F101" si="26">ROUND(+E93*$J$9,2)</f>
        <v>0.15</v>
      </c>
      <c r="G93" s="385">
        <v>456</v>
      </c>
      <c r="H93" s="370">
        <f t="shared" ref="H93:H101" si="27">ROUND($G93*E93,0)</f>
        <v>433</v>
      </c>
      <c r="I93" s="370">
        <f t="shared" ref="I93:I101" si="28">ROUND($G93*F93,0)</f>
        <v>68</v>
      </c>
      <c r="K93" s="362"/>
    </row>
    <row r="94" spans="1:11" x14ac:dyDescent="0.2">
      <c r="A94" s="362">
        <f t="shared" si="21"/>
        <v>86</v>
      </c>
      <c r="B94" s="137" t="str">
        <f t="shared" ref="B94:B101" si="29">+B93</f>
        <v>54E</v>
      </c>
      <c r="C94" s="138" t="s">
        <v>18</v>
      </c>
      <c r="D94" s="387">
        <v>70</v>
      </c>
      <c r="E94" s="382">
        <v>1.34</v>
      </c>
      <c r="F94" s="384">
        <f t="shared" si="26"/>
        <v>0.21</v>
      </c>
      <c r="G94" s="385">
        <v>1807</v>
      </c>
      <c r="H94" s="370">
        <f t="shared" si="27"/>
        <v>2421</v>
      </c>
      <c r="I94" s="370">
        <f t="shared" si="28"/>
        <v>379</v>
      </c>
      <c r="K94" s="362"/>
    </row>
    <row r="95" spans="1:11" x14ac:dyDescent="0.2">
      <c r="A95" s="362">
        <f t="shared" si="21"/>
        <v>87</v>
      </c>
      <c r="B95" s="137" t="str">
        <f t="shared" si="29"/>
        <v>54E</v>
      </c>
      <c r="C95" s="138" t="s">
        <v>18</v>
      </c>
      <c r="D95" s="387">
        <v>100</v>
      </c>
      <c r="E95" s="382">
        <v>1.91</v>
      </c>
      <c r="F95" s="384">
        <f t="shared" si="26"/>
        <v>0.28999999999999998</v>
      </c>
      <c r="G95" s="385">
        <v>10076</v>
      </c>
      <c r="H95" s="370">
        <f t="shared" si="27"/>
        <v>19245</v>
      </c>
      <c r="I95" s="370">
        <f t="shared" si="28"/>
        <v>2922</v>
      </c>
      <c r="K95" s="362"/>
    </row>
    <row r="96" spans="1:11" x14ac:dyDescent="0.2">
      <c r="A96" s="362">
        <f t="shared" si="21"/>
        <v>88</v>
      </c>
      <c r="B96" s="137" t="str">
        <f t="shared" si="29"/>
        <v>54E</v>
      </c>
      <c r="C96" s="138" t="s">
        <v>18</v>
      </c>
      <c r="D96" s="387">
        <v>150</v>
      </c>
      <c r="E96" s="382">
        <v>2.86</v>
      </c>
      <c r="F96" s="384">
        <f t="shared" si="26"/>
        <v>0.44</v>
      </c>
      <c r="G96" s="385">
        <v>3609</v>
      </c>
      <c r="H96" s="370">
        <f t="shared" si="27"/>
        <v>10322</v>
      </c>
      <c r="I96" s="370">
        <f t="shared" si="28"/>
        <v>1588</v>
      </c>
      <c r="K96" s="362"/>
    </row>
    <row r="97" spans="1:11" x14ac:dyDescent="0.2">
      <c r="A97" s="362">
        <f t="shared" si="21"/>
        <v>89</v>
      </c>
      <c r="B97" s="137" t="str">
        <f t="shared" si="29"/>
        <v>54E</v>
      </c>
      <c r="C97" s="138" t="s">
        <v>18</v>
      </c>
      <c r="D97" s="387">
        <v>200</v>
      </c>
      <c r="E97" s="382">
        <v>3.82</v>
      </c>
      <c r="F97" s="384">
        <f t="shared" si="26"/>
        <v>0.57999999999999996</v>
      </c>
      <c r="G97" s="385">
        <v>3387</v>
      </c>
      <c r="H97" s="370">
        <f t="shared" si="27"/>
        <v>12938</v>
      </c>
      <c r="I97" s="370">
        <f t="shared" si="28"/>
        <v>1964</v>
      </c>
      <c r="K97" s="362"/>
    </row>
    <row r="98" spans="1:11" x14ac:dyDescent="0.2">
      <c r="A98" s="362">
        <f t="shared" si="21"/>
        <v>90</v>
      </c>
      <c r="B98" s="137" t="str">
        <f t="shared" si="29"/>
        <v>54E</v>
      </c>
      <c r="C98" s="138" t="s">
        <v>18</v>
      </c>
      <c r="D98" s="387">
        <v>250</v>
      </c>
      <c r="E98" s="382">
        <v>4.7699999999999996</v>
      </c>
      <c r="F98" s="384">
        <f t="shared" si="26"/>
        <v>0.73</v>
      </c>
      <c r="G98" s="385">
        <v>3597</v>
      </c>
      <c r="H98" s="370">
        <f t="shared" si="27"/>
        <v>17158</v>
      </c>
      <c r="I98" s="370">
        <f t="shared" si="28"/>
        <v>2626</v>
      </c>
      <c r="K98" s="362"/>
    </row>
    <row r="99" spans="1:11" x14ac:dyDescent="0.2">
      <c r="A99" s="362">
        <f t="shared" si="21"/>
        <v>91</v>
      </c>
      <c r="B99" s="137" t="str">
        <f t="shared" si="29"/>
        <v>54E</v>
      </c>
      <c r="C99" s="138" t="s">
        <v>18</v>
      </c>
      <c r="D99" s="387">
        <v>310</v>
      </c>
      <c r="E99" s="382">
        <v>5.92</v>
      </c>
      <c r="F99" s="384">
        <f t="shared" si="26"/>
        <v>0.91</v>
      </c>
      <c r="G99" s="385">
        <v>668</v>
      </c>
      <c r="H99" s="370">
        <f t="shared" si="27"/>
        <v>3955</v>
      </c>
      <c r="I99" s="370">
        <f t="shared" si="28"/>
        <v>608</v>
      </c>
      <c r="K99" s="362"/>
    </row>
    <row r="100" spans="1:11" x14ac:dyDescent="0.2">
      <c r="A100" s="362">
        <f t="shared" si="21"/>
        <v>92</v>
      </c>
      <c r="B100" s="137" t="str">
        <f t="shared" si="29"/>
        <v>54E</v>
      </c>
      <c r="C100" s="138" t="s">
        <v>18</v>
      </c>
      <c r="D100" s="387">
        <v>400</v>
      </c>
      <c r="E100" s="382">
        <v>7.64</v>
      </c>
      <c r="F100" s="384">
        <f t="shared" si="26"/>
        <v>1.17</v>
      </c>
      <c r="G100" s="385">
        <v>6796</v>
      </c>
      <c r="H100" s="370">
        <f t="shared" si="27"/>
        <v>51921</v>
      </c>
      <c r="I100" s="370">
        <f t="shared" si="28"/>
        <v>7951</v>
      </c>
      <c r="K100" s="362"/>
    </row>
    <row r="101" spans="1:11" x14ac:dyDescent="0.2">
      <c r="A101" s="362">
        <f t="shared" si="21"/>
        <v>93</v>
      </c>
      <c r="B101" s="137" t="str">
        <f t="shared" si="29"/>
        <v>54E</v>
      </c>
      <c r="C101" s="138" t="s">
        <v>18</v>
      </c>
      <c r="D101" s="387">
        <v>1000</v>
      </c>
      <c r="E101" s="382">
        <v>19.09</v>
      </c>
      <c r="F101" s="384">
        <f t="shared" si="26"/>
        <v>2.92</v>
      </c>
      <c r="G101" s="388">
        <v>0</v>
      </c>
      <c r="H101" s="370">
        <f t="shared" si="27"/>
        <v>0</v>
      </c>
      <c r="I101" s="370">
        <f t="shared" si="28"/>
        <v>0</v>
      </c>
      <c r="K101" s="362"/>
    </row>
    <row r="102" spans="1:11" x14ac:dyDescent="0.2">
      <c r="A102" s="362">
        <f t="shared" si="21"/>
        <v>94</v>
      </c>
      <c r="B102" s="141"/>
      <c r="C102" s="138"/>
      <c r="D102" s="387"/>
      <c r="E102" s="383"/>
      <c r="F102" s="384"/>
      <c r="G102" s="385"/>
      <c r="H102" s="138"/>
      <c r="I102" s="138"/>
      <c r="K102" s="362"/>
    </row>
    <row r="103" spans="1:11" x14ac:dyDescent="0.2">
      <c r="A103" s="362">
        <f t="shared" si="21"/>
        <v>95</v>
      </c>
      <c r="B103" s="137" t="str">
        <f>+B100</f>
        <v>54E</v>
      </c>
      <c r="C103" s="138" t="s">
        <v>127</v>
      </c>
      <c r="D103" s="140" t="s">
        <v>265</v>
      </c>
      <c r="E103" s="382">
        <v>0.28999999999999998</v>
      </c>
      <c r="F103" s="384">
        <f t="shared" ref="F103:F112" si="30">ROUND(+E103*$J$9,2)</f>
        <v>0.04</v>
      </c>
      <c r="G103" s="388">
        <v>0</v>
      </c>
      <c r="H103" s="370">
        <f t="shared" ref="H103:H112" si="31">ROUND($G103*E103,0)</f>
        <v>0</v>
      </c>
      <c r="I103" s="370">
        <f t="shared" ref="I103:I112" si="32">ROUND($G103*F103,0)</f>
        <v>0</v>
      </c>
      <c r="K103" s="362"/>
    </row>
    <row r="104" spans="1:11" x14ac:dyDescent="0.2">
      <c r="A104" s="362">
        <f t="shared" si="21"/>
        <v>96</v>
      </c>
      <c r="B104" s="137" t="str">
        <f>+B101</f>
        <v>54E</v>
      </c>
      <c r="C104" s="138" t="s">
        <v>127</v>
      </c>
      <c r="D104" s="140" t="s">
        <v>128</v>
      </c>
      <c r="E104" s="382">
        <v>0.86</v>
      </c>
      <c r="F104" s="384">
        <f t="shared" si="30"/>
        <v>0.13</v>
      </c>
      <c r="G104" s="385">
        <v>33052</v>
      </c>
      <c r="H104" s="370">
        <f t="shared" si="31"/>
        <v>28425</v>
      </c>
      <c r="I104" s="370">
        <f t="shared" si="32"/>
        <v>4297</v>
      </c>
      <c r="K104" s="362"/>
    </row>
    <row r="105" spans="1:11" x14ac:dyDescent="0.2">
      <c r="A105" s="362">
        <f t="shared" si="21"/>
        <v>97</v>
      </c>
      <c r="B105" s="137" t="str">
        <f t="shared" ref="B105:B112" si="33">+B104</f>
        <v>54E</v>
      </c>
      <c r="C105" s="138" t="s">
        <v>127</v>
      </c>
      <c r="D105" s="387" t="s">
        <v>129</v>
      </c>
      <c r="E105" s="382">
        <v>1.43</v>
      </c>
      <c r="F105" s="384">
        <f t="shared" si="30"/>
        <v>0.22</v>
      </c>
      <c r="G105" s="385">
        <v>2855</v>
      </c>
      <c r="H105" s="370">
        <f t="shared" si="31"/>
        <v>4083</v>
      </c>
      <c r="I105" s="370">
        <f t="shared" si="32"/>
        <v>628</v>
      </c>
      <c r="K105" s="362"/>
    </row>
    <row r="106" spans="1:11" x14ac:dyDescent="0.2">
      <c r="A106" s="362">
        <f t="shared" si="21"/>
        <v>98</v>
      </c>
      <c r="B106" s="137" t="str">
        <f t="shared" si="33"/>
        <v>54E</v>
      </c>
      <c r="C106" s="138" t="s">
        <v>127</v>
      </c>
      <c r="D106" s="387" t="s">
        <v>130</v>
      </c>
      <c r="E106" s="382">
        <v>2</v>
      </c>
      <c r="F106" s="384">
        <f t="shared" si="30"/>
        <v>0.31</v>
      </c>
      <c r="G106" s="385">
        <v>33778</v>
      </c>
      <c r="H106" s="370">
        <f t="shared" si="31"/>
        <v>67556</v>
      </c>
      <c r="I106" s="370">
        <f t="shared" si="32"/>
        <v>10471</v>
      </c>
      <c r="K106" s="362"/>
    </row>
    <row r="107" spans="1:11" x14ac:dyDescent="0.2">
      <c r="A107" s="362">
        <f t="shared" si="21"/>
        <v>99</v>
      </c>
      <c r="B107" s="137" t="str">
        <f t="shared" si="33"/>
        <v>54E</v>
      </c>
      <c r="C107" s="138" t="s">
        <v>127</v>
      </c>
      <c r="D107" s="387" t="s">
        <v>131</v>
      </c>
      <c r="E107" s="382">
        <v>2.58</v>
      </c>
      <c r="F107" s="384">
        <f t="shared" si="30"/>
        <v>0.4</v>
      </c>
      <c r="G107" s="385">
        <v>12548</v>
      </c>
      <c r="H107" s="370">
        <f t="shared" si="31"/>
        <v>32374</v>
      </c>
      <c r="I107" s="370">
        <f t="shared" si="32"/>
        <v>5019</v>
      </c>
      <c r="K107" s="362"/>
    </row>
    <row r="108" spans="1:11" x14ac:dyDescent="0.2">
      <c r="A108" s="362">
        <f t="shared" si="21"/>
        <v>100</v>
      </c>
      <c r="B108" s="137" t="str">
        <f t="shared" si="33"/>
        <v>54E</v>
      </c>
      <c r="C108" s="138" t="s">
        <v>127</v>
      </c>
      <c r="D108" s="387" t="s">
        <v>132</v>
      </c>
      <c r="E108" s="382">
        <v>3.15</v>
      </c>
      <c r="F108" s="384">
        <f t="shared" si="30"/>
        <v>0.48</v>
      </c>
      <c r="G108" s="385">
        <v>5036</v>
      </c>
      <c r="H108" s="370">
        <f t="shared" si="31"/>
        <v>15863</v>
      </c>
      <c r="I108" s="370">
        <f t="shared" si="32"/>
        <v>2417</v>
      </c>
      <c r="K108" s="362"/>
    </row>
    <row r="109" spans="1:11" x14ac:dyDescent="0.2">
      <c r="A109" s="362">
        <f t="shared" si="21"/>
        <v>101</v>
      </c>
      <c r="B109" s="137" t="str">
        <f t="shared" si="33"/>
        <v>54E</v>
      </c>
      <c r="C109" s="138" t="s">
        <v>127</v>
      </c>
      <c r="D109" s="387" t="s">
        <v>133</v>
      </c>
      <c r="E109" s="382">
        <v>3.72</v>
      </c>
      <c r="F109" s="384">
        <f t="shared" si="30"/>
        <v>0.56999999999999995</v>
      </c>
      <c r="G109" s="385">
        <v>2164</v>
      </c>
      <c r="H109" s="370">
        <f t="shared" si="31"/>
        <v>8050</v>
      </c>
      <c r="I109" s="370">
        <f t="shared" si="32"/>
        <v>1233</v>
      </c>
      <c r="K109" s="362"/>
    </row>
    <row r="110" spans="1:11" x14ac:dyDescent="0.2">
      <c r="A110" s="362">
        <f t="shared" si="21"/>
        <v>102</v>
      </c>
      <c r="B110" s="137" t="str">
        <f t="shared" si="33"/>
        <v>54E</v>
      </c>
      <c r="C110" s="138" t="s">
        <v>127</v>
      </c>
      <c r="D110" s="387" t="s">
        <v>134</v>
      </c>
      <c r="E110" s="382">
        <v>4.3</v>
      </c>
      <c r="F110" s="384">
        <f t="shared" si="30"/>
        <v>0.66</v>
      </c>
      <c r="G110" s="385">
        <v>468</v>
      </c>
      <c r="H110" s="370">
        <f t="shared" si="31"/>
        <v>2012</v>
      </c>
      <c r="I110" s="370">
        <f t="shared" si="32"/>
        <v>309</v>
      </c>
      <c r="K110" s="362"/>
    </row>
    <row r="111" spans="1:11" x14ac:dyDescent="0.2">
      <c r="A111" s="362">
        <f t="shared" si="21"/>
        <v>103</v>
      </c>
      <c r="B111" s="137" t="str">
        <f t="shared" si="33"/>
        <v>54E</v>
      </c>
      <c r="C111" s="138" t="s">
        <v>127</v>
      </c>
      <c r="D111" s="387" t="s">
        <v>135</v>
      </c>
      <c r="E111" s="382">
        <v>4.87</v>
      </c>
      <c r="F111" s="384">
        <f t="shared" si="30"/>
        <v>0.75</v>
      </c>
      <c r="G111" s="385">
        <v>47</v>
      </c>
      <c r="H111" s="370">
        <f t="shared" si="31"/>
        <v>229</v>
      </c>
      <c r="I111" s="370">
        <f t="shared" si="32"/>
        <v>35</v>
      </c>
      <c r="K111" s="362"/>
    </row>
    <row r="112" spans="1:11" x14ac:dyDescent="0.2">
      <c r="A112" s="362">
        <f t="shared" si="21"/>
        <v>104</v>
      </c>
      <c r="B112" s="137" t="str">
        <f t="shared" si="33"/>
        <v>54E</v>
      </c>
      <c r="C112" s="138" t="s">
        <v>127</v>
      </c>
      <c r="D112" s="387" t="s">
        <v>136</v>
      </c>
      <c r="E112" s="382">
        <v>5.44</v>
      </c>
      <c r="F112" s="384">
        <f t="shared" si="30"/>
        <v>0.83</v>
      </c>
      <c r="G112" s="388">
        <v>0</v>
      </c>
      <c r="H112" s="370">
        <f t="shared" si="31"/>
        <v>0</v>
      </c>
      <c r="I112" s="370">
        <f t="shared" si="32"/>
        <v>0</v>
      </c>
      <c r="K112" s="362"/>
    </row>
    <row r="113" spans="1:11" x14ac:dyDescent="0.2">
      <c r="A113" s="362">
        <f t="shared" si="21"/>
        <v>105</v>
      </c>
      <c r="B113" s="141"/>
      <c r="C113" s="138"/>
      <c r="D113" s="387"/>
      <c r="E113" s="383"/>
      <c r="F113" s="384"/>
      <c r="G113" s="385"/>
      <c r="H113" s="138"/>
      <c r="I113" s="138"/>
      <c r="K113" s="362"/>
    </row>
    <row r="114" spans="1:11" x14ac:dyDescent="0.2">
      <c r="A114" s="362">
        <f t="shared" si="21"/>
        <v>106</v>
      </c>
      <c r="B114" s="365" t="s">
        <v>143</v>
      </c>
      <c r="C114" s="138"/>
      <c r="D114" s="387"/>
      <c r="E114" s="383"/>
      <c r="F114" s="384"/>
      <c r="G114" s="385"/>
      <c r="H114" s="138"/>
      <c r="I114" s="138"/>
      <c r="K114" s="362"/>
    </row>
    <row r="115" spans="1:11" x14ac:dyDescent="0.2">
      <c r="A115" s="362">
        <f t="shared" si="21"/>
        <v>107</v>
      </c>
      <c r="B115" s="137" t="s">
        <v>144</v>
      </c>
      <c r="C115" s="138" t="s">
        <v>18</v>
      </c>
      <c r="D115" s="387">
        <v>70</v>
      </c>
      <c r="E115" s="382">
        <v>1.34</v>
      </c>
      <c r="F115" s="384">
        <f t="shared" ref="F115:F120" si="34">ROUND(+E115*$J$9,2)</f>
        <v>0.21</v>
      </c>
      <c r="G115" s="385">
        <v>168</v>
      </c>
      <c r="H115" s="370">
        <f t="shared" ref="H115:H120" si="35">ROUND($G115*E115,0)</f>
        <v>225</v>
      </c>
      <c r="I115" s="370">
        <f t="shared" ref="I115:I120" si="36">ROUND($G115*F115,0)</f>
        <v>35</v>
      </c>
      <c r="K115" s="362"/>
    </row>
    <row r="116" spans="1:11" x14ac:dyDescent="0.2">
      <c r="A116" s="362">
        <f t="shared" si="21"/>
        <v>108</v>
      </c>
      <c r="B116" s="141" t="str">
        <f>+B115</f>
        <v>55E &amp; 56E</v>
      </c>
      <c r="C116" s="138" t="s">
        <v>18</v>
      </c>
      <c r="D116" s="387">
        <v>100</v>
      </c>
      <c r="E116" s="382">
        <v>1.91</v>
      </c>
      <c r="F116" s="384">
        <f t="shared" si="34"/>
        <v>0.28999999999999998</v>
      </c>
      <c r="G116" s="385">
        <v>42096</v>
      </c>
      <c r="H116" s="370">
        <f t="shared" si="35"/>
        <v>80403</v>
      </c>
      <c r="I116" s="370">
        <f t="shared" si="36"/>
        <v>12208</v>
      </c>
      <c r="K116" s="362"/>
    </row>
    <row r="117" spans="1:11" x14ac:dyDescent="0.2">
      <c r="A117" s="362">
        <f t="shared" si="21"/>
        <v>109</v>
      </c>
      <c r="B117" s="141" t="str">
        <f>+B116</f>
        <v>55E &amp; 56E</v>
      </c>
      <c r="C117" s="138" t="s">
        <v>18</v>
      </c>
      <c r="D117" s="387">
        <v>150</v>
      </c>
      <c r="E117" s="382">
        <v>2.86</v>
      </c>
      <c r="F117" s="384">
        <f t="shared" si="34"/>
        <v>0.44</v>
      </c>
      <c r="G117" s="385">
        <v>5603</v>
      </c>
      <c r="H117" s="370">
        <f t="shared" si="35"/>
        <v>16025</v>
      </c>
      <c r="I117" s="370">
        <f t="shared" si="36"/>
        <v>2465</v>
      </c>
      <c r="K117" s="362"/>
    </row>
    <row r="118" spans="1:11" x14ac:dyDescent="0.2">
      <c r="A118" s="362">
        <f t="shared" si="21"/>
        <v>110</v>
      </c>
      <c r="B118" s="141" t="str">
        <f>+B117</f>
        <v>55E &amp; 56E</v>
      </c>
      <c r="C118" s="138" t="s">
        <v>18</v>
      </c>
      <c r="D118" s="387">
        <v>200</v>
      </c>
      <c r="E118" s="382">
        <v>3.82</v>
      </c>
      <c r="F118" s="384">
        <f t="shared" si="34"/>
        <v>0.57999999999999996</v>
      </c>
      <c r="G118" s="385">
        <v>11751</v>
      </c>
      <c r="H118" s="370">
        <f t="shared" si="35"/>
        <v>44889</v>
      </c>
      <c r="I118" s="370">
        <f t="shared" si="36"/>
        <v>6816</v>
      </c>
      <c r="K118" s="362"/>
    </row>
    <row r="119" spans="1:11" x14ac:dyDescent="0.2">
      <c r="A119" s="362">
        <f t="shared" si="21"/>
        <v>111</v>
      </c>
      <c r="B119" s="141" t="str">
        <f>+B118</f>
        <v>55E &amp; 56E</v>
      </c>
      <c r="C119" s="138" t="s">
        <v>18</v>
      </c>
      <c r="D119" s="387">
        <v>250</v>
      </c>
      <c r="E119" s="382">
        <v>4.7699999999999996</v>
      </c>
      <c r="F119" s="384">
        <f t="shared" si="34"/>
        <v>0.73</v>
      </c>
      <c r="G119" s="385">
        <v>1233</v>
      </c>
      <c r="H119" s="370">
        <f t="shared" si="35"/>
        <v>5881</v>
      </c>
      <c r="I119" s="370">
        <f t="shared" si="36"/>
        <v>900</v>
      </c>
      <c r="K119" s="362"/>
    </row>
    <row r="120" spans="1:11" x14ac:dyDescent="0.2">
      <c r="A120" s="362">
        <f t="shared" si="21"/>
        <v>112</v>
      </c>
      <c r="B120" s="141" t="str">
        <f>+B119</f>
        <v>55E &amp; 56E</v>
      </c>
      <c r="C120" s="138" t="s">
        <v>18</v>
      </c>
      <c r="D120" s="387">
        <v>400</v>
      </c>
      <c r="E120" s="382">
        <v>7.64</v>
      </c>
      <c r="F120" s="384">
        <f t="shared" si="34"/>
        <v>1.17</v>
      </c>
      <c r="G120" s="385">
        <v>449</v>
      </c>
      <c r="H120" s="370">
        <f t="shared" si="35"/>
        <v>3430</v>
      </c>
      <c r="I120" s="370">
        <f t="shared" si="36"/>
        <v>525</v>
      </c>
      <c r="K120" s="362"/>
    </row>
    <row r="121" spans="1:11" x14ac:dyDescent="0.2">
      <c r="A121" s="362">
        <f t="shared" si="21"/>
        <v>113</v>
      </c>
      <c r="B121" s="141"/>
      <c r="C121" s="138"/>
      <c r="D121" s="387"/>
      <c r="E121" s="382"/>
      <c r="F121" s="384"/>
      <c r="G121" s="385"/>
      <c r="H121" s="138"/>
      <c r="I121" s="138"/>
      <c r="K121" s="362"/>
    </row>
    <row r="122" spans="1:11" x14ac:dyDescent="0.2">
      <c r="A122" s="362">
        <f t="shared" si="21"/>
        <v>114</v>
      </c>
      <c r="B122" s="141" t="str">
        <f>+B120</f>
        <v>55E &amp; 56E</v>
      </c>
      <c r="C122" s="138" t="s">
        <v>139</v>
      </c>
      <c r="D122" s="387">
        <v>250</v>
      </c>
      <c r="E122" s="382">
        <v>4.7699999999999996</v>
      </c>
      <c r="F122" s="384">
        <f>ROUND(+E122*$J$9,2)</f>
        <v>0.73</v>
      </c>
      <c r="G122" s="385">
        <v>82</v>
      </c>
      <c r="H122" s="370">
        <f>ROUND($G122*E122,0)</f>
        <v>391</v>
      </c>
      <c r="I122" s="370">
        <f>ROUND($G122*F122,0)</f>
        <v>60</v>
      </c>
      <c r="K122" s="362"/>
    </row>
    <row r="123" spans="1:11" x14ac:dyDescent="0.2">
      <c r="A123" s="362">
        <f t="shared" si="21"/>
        <v>115</v>
      </c>
      <c r="B123" s="141"/>
      <c r="C123" s="138"/>
      <c r="D123" s="387"/>
      <c r="E123" s="382"/>
      <c r="F123" s="384"/>
      <c r="G123" s="385"/>
      <c r="H123" s="138"/>
      <c r="I123" s="138"/>
      <c r="K123" s="362"/>
    </row>
    <row r="124" spans="1:11" x14ac:dyDescent="0.2">
      <c r="A124" s="362">
        <f t="shared" si="21"/>
        <v>116</v>
      </c>
      <c r="B124" s="141" t="s">
        <v>144</v>
      </c>
      <c r="C124" s="138" t="s">
        <v>127</v>
      </c>
      <c r="D124" s="139" t="s">
        <v>262</v>
      </c>
      <c r="E124" s="382">
        <v>0.28999999999999998</v>
      </c>
      <c r="F124" s="384">
        <f t="shared" ref="F124:F133" si="37">ROUND(+E124*$J$9,2)</f>
        <v>0.04</v>
      </c>
      <c r="G124" s="385">
        <v>1</v>
      </c>
      <c r="H124" s="370">
        <f t="shared" ref="H124:H133" si="38">ROUND($G124*E124,0)</f>
        <v>0</v>
      </c>
      <c r="I124" s="370">
        <f t="shared" ref="I124:I133" si="39">ROUND($G124*F124,0)</f>
        <v>0</v>
      </c>
      <c r="K124" s="362"/>
    </row>
    <row r="125" spans="1:11" x14ac:dyDescent="0.2">
      <c r="A125" s="362">
        <f t="shared" si="21"/>
        <v>117</v>
      </c>
      <c r="B125" s="141" t="s">
        <v>144</v>
      </c>
      <c r="C125" s="138" t="s">
        <v>127</v>
      </c>
      <c r="D125" s="140" t="s">
        <v>128</v>
      </c>
      <c r="E125" s="382">
        <v>0.86</v>
      </c>
      <c r="F125" s="384">
        <f t="shared" si="37"/>
        <v>0.13</v>
      </c>
      <c r="G125" s="385">
        <v>9533</v>
      </c>
      <c r="H125" s="370">
        <f t="shared" si="38"/>
        <v>8198</v>
      </c>
      <c r="I125" s="370">
        <f t="shared" si="39"/>
        <v>1239</v>
      </c>
      <c r="K125" s="362"/>
    </row>
    <row r="126" spans="1:11" x14ac:dyDescent="0.2">
      <c r="A126" s="362">
        <f t="shared" si="21"/>
        <v>118</v>
      </c>
      <c r="B126" s="141" t="s">
        <v>144</v>
      </c>
      <c r="C126" s="138" t="s">
        <v>127</v>
      </c>
      <c r="D126" s="387" t="s">
        <v>129</v>
      </c>
      <c r="E126" s="382">
        <v>1.43</v>
      </c>
      <c r="F126" s="384">
        <f t="shared" si="37"/>
        <v>0.22</v>
      </c>
      <c r="G126" s="385">
        <v>356</v>
      </c>
      <c r="H126" s="370">
        <f t="shared" si="38"/>
        <v>509</v>
      </c>
      <c r="I126" s="370">
        <f t="shared" si="39"/>
        <v>78</v>
      </c>
      <c r="K126" s="362"/>
    </row>
    <row r="127" spans="1:11" x14ac:dyDescent="0.2">
      <c r="A127" s="362">
        <f t="shared" si="21"/>
        <v>119</v>
      </c>
      <c r="B127" s="141" t="s">
        <v>144</v>
      </c>
      <c r="C127" s="138" t="s">
        <v>127</v>
      </c>
      <c r="D127" s="387" t="s">
        <v>130</v>
      </c>
      <c r="E127" s="382">
        <v>2</v>
      </c>
      <c r="F127" s="384">
        <f t="shared" si="37"/>
        <v>0.31</v>
      </c>
      <c r="G127" s="385">
        <v>2004</v>
      </c>
      <c r="H127" s="370">
        <f t="shared" si="38"/>
        <v>4008</v>
      </c>
      <c r="I127" s="370">
        <f t="shared" si="39"/>
        <v>621</v>
      </c>
      <c r="K127" s="362"/>
    </row>
    <row r="128" spans="1:11" x14ac:dyDescent="0.2">
      <c r="A128" s="362">
        <f t="shared" si="21"/>
        <v>120</v>
      </c>
      <c r="B128" s="141" t="s">
        <v>144</v>
      </c>
      <c r="C128" s="138" t="s">
        <v>127</v>
      </c>
      <c r="D128" s="387" t="s">
        <v>131</v>
      </c>
      <c r="E128" s="382">
        <v>2.58</v>
      </c>
      <c r="F128" s="384">
        <f t="shared" si="37"/>
        <v>0.4</v>
      </c>
      <c r="G128" s="388">
        <v>0</v>
      </c>
      <c r="H128" s="370">
        <f t="shared" si="38"/>
        <v>0</v>
      </c>
      <c r="I128" s="370">
        <f t="shared" si="39"/>
        <v>0</v>
      </c>
      <c r="K128" s="362"/>
    </row>
    <row r="129" spans="1:13" x14ac:dyDescent="0.2">
      <c r="A129" s="362">
        <f t="shared" si="21"/>
        <v>121</v>
      </c>
      <c r="B129" s="141" t="s">
        <v>144</v>
      </c>
      <c r="C129" s="138" t="s">
        <v>127</v>
      </c>
      <c r="D129" s="387" t="s">
        <v>132</v>
      </c>
      <c r="E129" s="382">
        <v>3.15</v>
      </c>
      <c r="F129" s="384">
        <f t="shared" si="37"/>
        <v>0.48</v>
      </c>
      <c r="G129" s="388">
        <v>0</v>
      </c>
      <c r="H129" s="370">
        <f t="shared" si="38"/>
        <v>0</v>
      </c>
      <c r="I129" s="370">
        <f t="shared" si="39"/>
        <v>0</v>
      </c>
      <c r="K129" s="362"/>
    </row>
    <row r="130" spans="1:13" x14ac:dyDescent="0.2">
      <c r="A130" s="362">
        <f t="shared" si="21"/>
        <v>122</v>
      </c>
      <c r="B130" s="141" t="s">
        <v>144</v>
      </c>
      <c r="C130" s="138" t="s">
        <v>127</v>
      </c>
      <c r="D130" s="387" t="s">
        <v>133</v>
      </c>
      <c r="E130" s="382">
        <v>3.72</v>
      </c>
      <c r="F130" s="384">
        <f t="shared" si="37"/>
        <v>0.56999999999999995</v>
      </c>
      <c r="G130" s="388">
        <v>0</v>
      </c>
      <c r="H130" s="370">
        <f t="shared" si="38"/>
        <v>0</v>
      </c>
      <c r="I130" s="370">
        <f t="shared" si="39"/>
        <v>0</v>
      </c>
      <c r="K130" s="362"/>
    </row>
    <row r="131" spans="1:13" x14ac:dyDescent="0.2">
      <c r="A131" s="362">
        <f t="shared" si="21"/>
        <v>123</v>
      </c>
      <c r="B131" s="141" t="s">
        <v>144</v>
      </c>
      <c r="C131" s="138" t="s">
        <v>127</v>
      </c>
      <c r="D131" s="387" t="s">
        <v>134</v>
      </c>
      <c r="E131" s="382">
        <v>4.3</v>
      </c>
      <c r="F131" s="384">
        <f t="shared" si="37"/>
        <v>0.66</v>
      </c>
      <c r="G131" s="388">
        <v>0</v>
      </c>
      <c r="H131" s="370">
        <f t="shared" si="38"/>
        <v>0</v>
      </c>
      <c r="I131" s="370">
        <f t="shared" si="39"/>
        <v>0</v>
      </c>
      <c r="K131" s="362"/>
    </row>
    <row r="132" spans="1:13" x14ac:dyDescent="0.2">
      <c r="A132" s="362">
        <f t="shared" si="21"/>
        <v>124</v>
      </c>
      <c r="B132" s="141" t="s">
        <v>144</v>
      </c>
      <c r="C132" s="138" t="s">
        <v>127</v>
      </c>
      <c r="D132" s="387" t="s">
        <v>135</v>
      </c>
      <c r="E132" s="382">
        <v>4.87</v>
      </c>
      <c r="F132" s="384">
        <f t="shared" si="37"/>
        <v>0.75</v>
      </c>
      <c r="G132" s="388">
        <v>0</v>
      </c>
      <c r="H132" s="370">
        <f t="shared" si="38"/>
        <v>0</v>
      </c>
      <c r="I132" s="370">
        <f t="shared" si="39"/>
        <v>0</v>
      </c>
      <c r="K132" s="362"/>
    </row>
    <row r="133" spans="1:13" x14ac:dyDescent="0.2">
      <c r="A133" s="362">
        <f t="shared" si="21"/>
        <v>125</v>
      </c>
      <c r="B133" s="141" t="s">
        <v>144</v>
      </c>
      <c r="C133" s="138" t="s">
        <v>127</v>
      </c>
      <c r="D133" s="387" t="s">
        <v>136</v>
      </c>
      <c r="E133" s="382">
        <v>5.44</v>
      </c>
      <c r="F133" s="384">
        <f t="shared" si="37"/>
        <v>0.83</v>
      </c>
      <c r="G133" s="388">
        <v>0</v>
      </c>
      <c r="H133" s="370">
        <f t="shared" si="38"/>
        <v>0</v>
      </c>
      <c r="I133" s="370">
        <f t="shared" si="39"/>
        <v>0</v>
      </c>
      <c r="K133" s="362"/>
    </row>
    <row r="134" spans="1:13" x14ac:dyDescent="0.2">
      <c r="A134" s="362">
        <f t="shared" si="21"/>
        <v>126</v>
      </c>
      <c r="B134" s="141"/>
      <c r="C134" s="138"/>
      <c r="D134" s="387"/>
      <c r="E134" s="382"/>
      <c r="F134" s="384"/>
      <c r="G134" s="385"/>
      <c r="H134" s="138"/>
      <c r="I134" s="138"/>
      <c r="K134" s="362"/>
    </row>
    <row r="135" spans="1:13" x14ac:dyDescent="0.2">
      <c r="A135" s="362">
        <f t="shared" si="21"/>
        <v>127</v>
      </c>
      <c r="B135" s="365" t="s">
        <v>145</v>
      </c>
      <c r="C135" s="138"/>
      <c r="D135" s="387"/>
      <c r="E135" s="382"/>
      <c r="F135" s="384"/>
      <c r="G135" s="385"/>
      <c r="H135" s="138"/>
      <c r="I135" s="138"/>
      <c r="K135" s="362"/>
    </row>
    <row r="136" spans="1:13" x14ac:dyDescent="0.2">
      <c r="A136" s="362">
        <f t="shared" si="21"/>
        <v>128</v>
      </c>
      <c r="B136" s="141" t="s">
        <v>146</v>
      </c>
      <c r="C136" s="138" t="s">
        <v>147</v>
      </c>
      <c r="D136" s="387">
        <v>0</v>
      </c>
      <c r="E136" s="394">
        <v>3.9829999999999997E-2</v>
      </c>
      <c r="F136" s="395">
        <f>ROUND(+E136*$J$9,2)</f>
        <v>0.01</v>
      </c>
      <c r="G136" s="385">
        <v>6934890</v>
      </c>
      <c r="H136" s="370">
        <f>ROUND($G136*E136,0)</f>
        <v>276217</v>
      </c>
      <c r="I136" s="370">
        <f>ROUND($G136*F136,0)</f>
        <v>69349</v>
      </c>
      <c r="K136" s="362"/>
    </row>
    <row r="137" spans="1:13" x14ac:dyDescent="0.2">
      <c r="A137" s="362">
        <f t="shared" si="21"/>
        <v>129</v>
      </c>
      <c r="B137" s="141"/>
      <c r="C137" s="138"/>
      <c r="D137" s="387"/>
      <c r="E137" s="383"/>
      <c r="F137" s="384"/>
      <c r="G137" s="385"/>
      <c r="H137" s="138"/>
      <c r="I137" s="138"/>
      <c r="K137" s="362"/>
    </row>
    <row r="138" spans="1:13" x14ac:dyDescent="0.2">
      <c r="A138" s="362">
        <f t="shared" si="21"/>
        <v>130</v>
      </c>
      <c r="B138" s="365" t="s">
        <v>148</v>
      </c>
      <c r="C138" s="138"/>
      <c r="D138" s="387"/>
      <c r="E138" s="383"/>
      <c r="F138" s="384"/>
      <c r="G138" s="385"/>
      <c r="H138" s="138"/>
      <c r="I138" s="138"/>
      <c r="K138" s="362"/>
    </row>
    <row r="139" spans="1:13" x14ac:dyDescent="0.2">
      <c r="A139" s="362">
        <f t="shared" ref="A139:A175" si="40">+A138+1</f>
        <v>131</v>
      </c>
      <c r="B139" s="137" t="s">
        <v>149</v>
      </c>
      <c r="C139" s="138" t="s">
        <v>18</v>
      </c>
      <c r="D139" s="387">
        <v>70</v>
      </c>
      <c r="E139" s="382">
        <v>1.34</v>
      </c>
      <c r="F139" s="384">
        <f t="shared" ref="F139:F144" si="41">ROUND(+E139*$J$9,2)</f>
        <v>0.21</v>
      </c>
      <c r="G139" s="385">
        <v>610</v>
      </c>
      <c r="H139" s="370">
        <f t="shared" ref="H139:H144" si="42">ROUND($G139*E139,0)</f>
        <v>817</v>
      </c>
      <c r="I139" s="370">
        <f t="shared" ref="I139:I144" si="43">ROUND($G139*F139,0)</f>
        <v>128</v>
      </c>
      <c r="K139" s="362"/>
    </row>
    <row r="140" spans="1:13" x14ac:dyDescent="0.2">
      <c r="A140" s="362">
        <f t="shared" si="40"/>
        <v>132</v>
      </c>
      <c r="B140" s="141" t="str">
        <f>+B139</f>
        <v>58E &amp; 59E - Directional</v>
      </c>
      <c r="C140" s="138" t="s">
        <v>18</v>
      </c>
      <c r="D140" s="387">
        <v>100</v>
      </c>
      <c r="E140" s="382">
        <v>1.91</v>
      </c>
      <c r="F140" s="384">
        <f t="shared" si="41"/>
        <v>0.28999999999999998</v>
      </c>
      <c r="G140" s="385">
        <v>121</v>
      </c>
      <c r="H140" s="370">
        <f t="shared" si="42"/>
        <v>231</v>
      </c>
      <c r="I140" s="370">
        <f t="shared" si="43"/>
        <v>35</v>
      </c>
      <c r="K140" s="362"/>
      <c r="M140" s="396"/>
    </row>
    <row r="141" spans="1:13" x14ac:dyDescent="0.2">
      <c r="A141" s="362">
        <f t="shared" si="40"/>
        <v>133</v>
      </c>
      <c r="B141" s="141" t="str">
        <f>+B140</f>
        <v>58E &amp; 59E - Directional</v>
      </c>
      <c r="C141" s="138" t="s">
        <v>18</v>
      </c>
      <c r="D141" s="387">
        <v>150</v>
      </c>
      <c r="E141" s="382">
        <v>2.86</v>
      </c>
      <c r="F141" s="384">
        <f t="shared" si="41"/>
        <v>0.44</v>
      </c>
      <c r="G141" s="385">
        <v>1699</v>
      </c>
      <c r="H141" s="370">
        <f t="shared" si="42"/>
        <v>4859</v>
      </c>
      <c r="I141" s="370">
        <f t="shared" si="43"/>
        <v>748</v>
      </c>
      <c r="K141" s="362"/>
      <c r="M141" s="396"/>
    </row>
    <row r="142" spans="1:13" x14ac:dyDescent="0.2">
      <c r="A142" s="362">
        <f t="shared" si="40"/>
        <v>134</v>
      </c>
      <c r="B142" s="141" t="str">
        <f>+B141</f>
        <v>58E &amp; 59E - Directional</v>
      </c>
      <c r="C142" s="138" t="s">
        <v>18</v>
      </c>
      <c r="D142" s="387">
        <v>200</v>
      </c>
      <c r="E142" s="382">
        <v>3.82</v>
      </c>
      <c r="F142" s="384">
        <f t="shared" si="41"/>
        <v>0.57999999999999996</v>
      </c>
      <c r="G142" s="385">
        <v>3055</v>
      </c>
      <c r="H142" s="370">
        <f t="shared" si="42"/>
        <v>11670</v>
      </c>
      <c r="I142" s="370">
        <f t="shared" si="43"/>
        <v>1772</v>
      </c>
      <c r="K142" s="362"/>
      <c r="M142" s="396"/>
    </row>
    <row r="143" spans="1:13" x14ac:dyDescent="0.2">
      <c r="A143" s="362">
        <f t="shared" si="40"/>
        <v>135</v>
      </c>
      <c r="B143" s="141" t="str">
        <f>+B142</f>
        <v>58E &amp; 59E - Directional</v>
      </c>
      <c r="C143" s="138" t="s">
        <v>18</v>
      </c>
      <c r="D143" s="387">
        <v>250</v>
      </c>
      <c r="E143" s="382">
        <v>4.7699999999999996</v>
      </c>
      <c r="F143" s="384">
        <f t="shared" si="41"/>
        <v>0.73</v>
      </c>
      <c r="G143" s="385">
        <v>456</v>
      </c>
      <c r="H143" s="370">
        <f t="shared" si="42"/>
        <v>2175</v>
      </c>
      <c r="I143" s="370">
        <f t="shared" si="43"/>
        <v>333</v>
      </c>
      <c r="K143" s="362"/>
      <c r="M143" s="396"/>
    </row>
    <row r="144" spans="1:13" x14ac:dyDescent="0.2">
      <c r="A144" s="362">
        <f t="shared" si="40"/>
        <v>136</v>
      </c>
      <c r="B144" s="141" t="str">
        <f>+B143</f>
        <v>58E &amp; 59E - Directional</v>
      </c>
      <c r="C144" s="138" t="s">
        <v>18</v>
      </c>
      <c r="D144" s="387">
        <v>400</v>
      </c>
      <c r="E144" s="382">
        <v>7.64</v>
      </c>
      <c r="F144" s="384">
        <f t="shared" si="41"/>
        <v>1.17</v>
      </c>
      <c r="G144" s="385">
        <v>3997</v>
      </c>
      <c r="H144" s="370">
        <f t="shared" si="42"/>
        <v>30537</v>
      </c>
      <c r="I144" s="370">
        <f t="shared" si="43"/>
        <v>4676</v>
      </c>
      <c r="K144" s="362"/>
      <c r="M144" s="396"/>
    </row>
    <row r="145" spans="1:13" x14ac:dyDescent="0.2">
      <c r="A145" s="362">
        <f t="shared" si="40"/>
        <v>137</v>
      </c>
      <c r="B145" s="141"/>
      <c r="C145" s="138"/>
      <c r="D145" s="387"/>
      <c r="E145" s="383"/>
      <c r="F145" s="384"/>
      <c r="G145" s="385"/>
      <c r="H145" s="138"/>
      <c r="I145" s="138"/>
      <c r="K145" s="362"/>
      <c r="M145" s="396"/>
    </row>
    <row r="146" spans="1:13" x14ac:dyDescent="0.2">
      <c r="A146" s="362">
        <f t="shared" si="40"/>
        <v>138</v>
      </c>
      <c r="B146" s="137" t="s">
        <v>150</v>
      </c>
      <c r="C146" s="138" t="s">
        <v>18</v>
      </c>
      <c r="D146" s="387">
        <v>100</v>
      </c>
      <c r="E146" s="382">
        <v>1.91</v>
      </c>
      <c r="F146" s="384">
        <f>ROUND(+E146*$J$9,2)</f>
        <v>0.28999999999999998</v>
      </c>
      <c r="G146" s="388">
        <v>0</v>
      </c>
      <c r="H146" s="370">
        <f>ROUND($G146*E146,0)</f>
        <v>0</v>
      </c>
      <c r="I146" s="370">
        <f t="shared" ref="I146:I150" si="44">ROUND($G146*F146,0)</f>
        <v>0</v>
      </c>
      <c r="K146" s="362"/>
      <c r="M146" s="396"/>
    </row>
    <row r="147" spans="1:13" x14ac:dyDescent="0.2">
      <c r="A147" s="362">
        <f t="shared" si="40"/>
        <v>139</v>
      </c>
      <c r="B147" s="141" t="str">
        <f>B146</f>
        <v>58E &amp; 59E - Horizontal</v>
      </c>
      <c r="C147" s="138" t="s">
        <v>18</v>
      </c>
      <c r="D147" s="387">
        <v>150</v>
      </c>
      <c r="E147" s="382">
        <v>2.86</v>
      </c>
      <c r="F147" s="384">
        <f>ROUND(+E147*$J$9,2)</f>
        <v>0.44</v>
      </c>
      <c r="G147" s="385">
        <v>168</v>
      </c>
      <c r="H147" s="370">
        <f>ROUND($G147*E147,0)</f>
        <v>480</v>
      </c>
      <c r="I147" s="370">
        <f t="shared" si="44"/>
        <v>74</v>
      </c>
      <c r="K147" s="362"/>
      <c r="M147" s="396"/>
    </row>
    <row r="148" spans="1:13" x14ac:dyDescent="0.2">
      <c r="A148" s="362">
        <f t="shared" si="40"/>
        <v>140</v>
      </c>
      <c r="B148" s="141" t="str">
        <f>B147</f>
        <v>58E &amp; 59E - Horizontal</v>
      </c>
      <c r="C148" s="138" t="s">
        <v>18</v>
      </c>
      <c r="D148" s="387">
        <v>200</v>
      </c>
      <c r="E148" s="382">
        <v>3.82</v>
      </c>
      <c r="F148" s="384">
        <f>ROUND(+E148*$J$9,2)</f>
        <v>0.57999999999999996</v>
      </c>
      <c r="G148" s="385">
        <v>95</v>
      </c>
      <c r="H148" s="370">
        <f>ROUND($G148*E148,0)</f>
        <v>363</v>
      </c>
      <c r="I148" s="370">
        <f t="shared" si="44"/>
        <v>55</v>
      </c>
      <c r="K148" s="362"/>
      <c r="M148" s="396"/>
    </row>
    <row r="149" spans="1:13" x14ac:dyDescent="0.2">
      <c r="A149" s="362">
        <f t="shared" si="40"/>
        <v>141</v>
      </c>
      <c r="B149" s="141" t="str">
        <f>B148</f>
        <v>58E &amp; 59E - Horizontal</v>
      </c>
      <c r="C149" s="138" t="s">
        <v>18</v>
      </c>
      <c r="D149" s="387">
        <v>250</v>
      </c>
      <c r="E149" s="382">
        <v>4.7699999999999996</v>
      </c>
      <c r="F149" s="384">
        <f>ROUND(+E149*$J$9,2)</f>
        <v>0.73</v>
      </c>
      <c r="G149" s="385">
        <v>377</v>
      </c>
      <c r="H149" s="370">
        <f>ROUND($G149*E149,0)</f>
        <v>1798</v>
      </c>
      <c r="I149" s="370">
        <f t="shared" si="44"/>
        <v>275</v>
      </c>
      <c r="K149" s="362"/>
      <c r="M149" s="396"/>
    </row>
    <row r="150" spans="1:13" x14ac:dyDescent="0.2">
      <c r="A150" s="362">
        <f t="shared" si="40"/>
        <v>142</v>
      </c>
      <c r="B150" s="141" t="str">
        <f>B149</f>
        <v>58E &amp; 59E - Horizontal</v>
      </c>
      <c r="C150" s="138" t="s">
        <v>18</v>
      </c>
      <c r="D150" s="387">
        <v>400</v>
      </c>
      <c r="E150" s="382">
        <v>7.64</v>
      </c>
      <c r="F150" s="384">
        <f>ROUND(+E150*$J$9,2)</f>
        <v>1.17</v>
      </c>
      <c r="G150" s="385">
        <v>502</v>
      </c>
      <c r="H150" s="370">
        <f>ROUND($G150*E150,0)</f>
        <v>3835</v>
      </c>
      <c r="I150" s="370">
        <f t="shared" si="44"/>
        <v>587</v>
      </c>
      <c r="K150" s="362"/>
      <c r="M150" s="396"/>
    </row>
    <row r="151" spans="1:13" x14ac:dyDescent="0.2">
      <c r="A151" s="362">
        <f t="shared" si="40"/>
        <v>143</v>
      </c>
      <c r="B151" s="141"/>
      <c r="C151" s="138"/>
      <c r="D151" s="387"/>
      <c r="E151" s="382"/>
      <c r="F151" s="384"/>
      <c r="G151" s="385"/>
      <c r="H151" s="138"/>
      <c r="I151" s="138"/>
      <c r="K151" s="362"/>
      <c r="M151" s="396"/>
    </row>
    <row r="152" spans="1:13" x14ac:dyDescent="0.2">
      <c r="A152" s="362">
        <f t="shared" si="40"/>
        <v>144</v>
      </c>
      <c r="B152" s="141" t="str">
        <f>B140</f>
        <v>58E &amp; 59E - Directional</v>
      </c>
      <c r="C152" s="138" t="s">
        <v>139</v>
      </c>
      <c r="D152" s="387">
        <v>175</v>
      </c>
      <c r="E152" s="382">
        <v>3.34</v>
      </c>
      <c r="F152" s="384">
        <f>ROUND(+E152*$J$9,2)</f>
        <v>0.51</v>
      </c>
      <c r="G152" s="385">
        <v>36</v>
      </c>
      <c r="H152" s="370">
        <f>ROUND($G152*E152,0)</f>
        <v>120</v>
      </c>
      <c r="I152" s="370">
        <f t="shared" ref="I152:I155" si="45">ROUND($G152*F152,0)</f>
        <v>18</v>
      </c>
      <c r="K152" s="362"/>
      <c r="M152" s="396"/>
    </row>
    <row r="153" spans="1:13" x14ac:dyDescent="0.2">
      <c r="A153" s="362">
        <f t="shared" si="40"/>
        <v>145</v>
      </c>
      <c r="B153" s="141" t="str">
        <f>B152</f>
        <v>58E &amp; 59E - Directional</v>
      </c>
      <c r="C153" s="138" t="s">
        <v>139</v>
      </c>
      <c r="D153" s="387">
        <v>250</v>
      </c>
      <c r="E153" s="382">
        <v>4.7699999999999996</v>
      </c>
      <c r="F153" s="384">
        <f>ROUND(+E153*$J$9,2)</f>
        <v>0.73</v>
      </c>
      <c r="G153" s="385">
        <v>189</v>
      </c>
      <c r="H153" s="370">
        <f>ROUND($G153*E153,0)</f>
        <v>902</v>
      </c>
      <c r="I153" s="370">
        <f t="shared" si="45"/>
        <v>138</v>
      </c>
      <c r="K153" s="362"/>
      <c r="M153" s="396"/>
    </row>
    <row r="154" spans="1:13" x14ac:dyDescent="0.2">
      <c r="A154" s="362">
        <f t="shared" si="40"/>
        <v>146</v>
      </c>
      <c r="B154" s="141" t="str">
        <f>B153</f>
        <v>58E &amp; 59E - Directional</v>
      </c>
      <c r="C154" s="138" t="s">
        <v>139</v>
      </c>
      <c r="D154" s="387">
        <v>400</v>
      </c>
      <c r="E154" s="382">
        <v>7.64</v>
      </c>
      <c r="F154" s="384">
        <f>ROUND(+E154*$J$9,2)</f>
        <v>1.17</v>
      </c>
      <c r="G154" s="385">
        <v>928</v>
      </c>
      <c r="H154" s="370">
        <f>ROUND($G154*E154,0)</f>
        <v>7090</v>
      </c>
      <c r="I154" s="370">
        <f t="shared" si="45"/>
        <v>1086</v>
      </c>
      <c r="K154" s="362"/>
      <c r="M154" s="396"/>
    </row>
    <row r="155" spans="1:13" x14ac:dyDescent="0.2">
      <c r="A155" s="362">
        <f t="shared" si="40"/>
        <v>147</v>
      </c>
      <c r="B155" s="141" t="str">
        <f>B154</f>
        <v>58E &amp; 59E - Directional</v>
      </c>
      <c r="C155" s="138" t="s">
        <v>139</v>
      </c>
      <c r="D155" s="387">
        <v>1000</v>
      </c>
      <c r="E155" s="382">
        <v>19.09</v>
      </c>
      <c r="F155" s="384">
        <f>ROUND(+E155*$J$9,2)</f>
        <v>2.92</v>
      </c>
      <c r="G155" s="385">
        <v>1385</v>
      </c>
      <c r="H155" s="370">
        <f>ROUND($G155*E155,0)</f>
        <v>26440</v>
      </c>
      <c r="I155" s="370">
        <f t="shared" si="45"/>
        <v>4044</v>
      </c>
      <c r="K155" s="362"/>
      <c r="M155" s="396"/>
    </row>
    <row r="156" spans="1:13" x14ac:dyDescent="0.2">
      <c r="A156" s="362">
        <f t="shared" si="40"/>
        <v>148</v>
      </c>
      <c r="B156" s="141"/>
      <c r="C156" s="138"/>
      <c r="D156" s="387"/>
      <c r="E156" s="382"/>
      <c r="F156" s="384"/>
      <c r="G156" s="385"/>
      <c r="H156" s="138"/>
      <c r="I156" s="138"/>
      <c r="K156" s="362"/>
      <c r="M156" s="396"/>
    </row>
    <row r="157" spans="1:13" x14ac:dyDescent="0.2">
      <c r="A157" s="362">
        <f t="shared" si="40"/>
        <v>149</v>
      </c>
      <c r="B157" s="141" t="str">
        <f>B146</f>
        <v>58E &amp; 59E - Horizontal</v>
      </c>
      <c r="C157" s="138" t="s">
        <v>139</v>
      </c>
      <c r="D157" s="387">
        <v>250</v>
      </c>
      <c r="E157" s="382">
        <v>4.7699999999999996</v>
      </c>
      <c r="F157" s="384">
        <f>ROUND(+E157*$J$9,2)</f>
        <v>0.73</v>
      </c>
      <c r="G157" s="385">
        <v>86</v>
      </c>
      <c r="H157" s="370">
        <f>ROUND($G157*E157,0)</f>
        <v>410</v>
      </c>
      <c r="I157" s="370">
        <f t="shared" ref="I157:I158" si="46">ROUND($G157*F157,0)</f>
        <v>63</v>
      </c>
      <c r="K157" s="362"/>
      <c r="M157" s="396"/>
    </row>
    <row r="158" spans="1:13" x14ac:dyDescent="0.2">
      <c r="A158" s="362">
        <f t="shared" si="40"/>
        <v>150</v>
      </c>
      <c r="B158" s="141" t="str">
        <f>B157</f>
        <v>58E &amp; 59E - Horizontal</v>
      </c>
      <c r="C158" s="138" t="s">
        <v>139</v>
      </c>
      <c r="D158" s="387">
        <v>400</v>
      </c>
      <c r="E158" s="382">
        <v>7.64</v>
      </c>
      <c r="F158" s="384">
        <f>ROUND(+E158*$J$9,2)</f>
        <v>1.17</v>
      </c>
      <c r="G158" s="385">
        <v>468</v>
      </c>
      <c r="H158" s="370">
        <f>ROUND($G158*E158,0)</f>
        <v>3576</v>
      </c>
      <c r="I158" s="370">
        <f t="shared" si="46"/>
        <v>548</v>
      </c>
      <c r="K158" s="362"/>
    </row>
    <row r="159" spans="1:13" x14ac:dyDescent="0.2">
      <c r="A159" s="362">
        <f t="shared" si="40"/>
        <v>151</v>
      </c>
      <c r="B159" s="141"/>
      <c r="C159" s="138"/>
      <c r="D159" s="387"/>
      <c r="E159" s="382"/>
      <c r="F159" s="384"/>
      <c r="G159" s="385"/>
      <c r="H159" s="138"/>
      <c r="I159" s="138"/>
      <c r="K159" s="362"/>
    </row>
    <row r="160" spans="1:13" x14ac:dyDescent="0.2">
      <c r="A160" s="362">
        <f t="shared" si="40"/>
        <v>152</v>
      </c>
      <c r="B160" s="141" t="s">
        <v>151</v>
      </c>
      <c r="C160" s="138" t="s">
        <v>127</v>
      </c>
      <c r="D160" s="139" t="s">
        <v>262</v>
      </c>
      <c r="E160" s="382">
        <v>0.28999999999999998</v>
      </c>
      <c r="F160" s="384">
        <f t="shared" ref="F160:F175" si="47">ROUND(+E160*$J$9,2)</f>
        <v>0.04</v>
      </c>
      <c r="G160" s="393">
        <v>0</v>
      </c>
      <c r="H160" s="370">
        <f t="shared" ref="H160:H175" si="48">ROUND($G160*E160,0)</f>
        <v>0</v>
      </c>
      <c r="I160" s="370">
        <f t="shared" ref="I160:I175" si="49">ROUND($G160*F160,0)</f>
        <v>0</v>
      </c>
      <c r="K160" s="362"/>
    </row>
    <row r="161" spans="1:11" x14ac:dyDescent="0.2">
      <c r="A161" s="362">
        <f t="shared" si="40"/>
        <v>153</v>
      </c>
      <c r="B161" s="141" t="s">
        <v>151</v>
      </c>
      <c r="C161" s="138" t="s">
        <v>127</v>
      </c>
      <c r="D161" s="140" t="s">
        <v>378</v>
      </c>
      <c r="E161" s="382">
        <v>0.86</v>
      </c>
      <c r="F161" s="384">
        <f t="shared" si="47"/>
        <v>0.13</v>
      </c>
      <c r="G161" s="385">
        <v>58</v>
      </c>
      <c r="H161" s="370">
        <f t="shared" si="48"/>
        <v>50</v>
      </c>
      <c r="I161" s="370">
        <f t="shared" si="49"/>
        <v>8</v>
      </c>
      <c r="K161" s="362"/>
    </row>
    <row r="162" spans="1:11" x14ac:dyDescent="0.2">
      <c r="A162" s="362">
        <f t="shared" si="40"/>
        <v>154</v>
      </c>
      <c r="B162" s="141" t="str">
        <f t="shared" ref="B162:B175" si="50">B161</f>
        <v>58E &amp; 59E</v>
      </c>
      <c r="C162" s="138" t="s">
        <v>127</v>
      </c>
      <c r="D162" s="387" t="s">
        <v>129</v>
      </c>
      <c r="E162" s="382">
        <v>1.43</v>
      </c>
      <c r="F162" s="384">
        <f t="shared" si="47"/>
        <v>0.22</v>
      </c>
      <c r="G162" s="385">
        <v>843</v>
      </c>
      <c r="H162" s="370">
        <f t="shared" si="48"/>
        <v>1205</v>
      </c>
      <c r="I162" s="370">
        <f t="shared" si="49"/>
        <v>185</v>
      </c>
      <c r="K162" s="362"/>
    </row>
    <row r="163" spans="1:11" x14ac:dyDescent="0.2">
      <c r="A163" s="362">
        <f t="shared" si="40"/>
        <v>155</v>
      </c>
      <c r="B163" s="141" t="str">
        <f t="shared" si="50"/>
        <v>58E &amp; 59E</v>
      </c>
      <c r="C163" s="138" t="s">
        <v>127</v>
      </c>
      <c r="D163" s="387" t="s">
        <v>130</v>
      </c>
      <c r="E163" s="382">
        <v>2</v>
      </c>
      <c r="F163" s="384">
        <f t="shared" si="47"/>
        <v>0.31</v>
      </c>
      <c r="G163" s="385">
        <v>196</v>
      </c>
      <c r="H163" s="370">
        <f t="shared" si="48"/>
        <v>392</v>
      </c>
      <c r="I163" s="370">
        <f t="shared" si="49"/>
        <v>61</v>
      </c>
      <c r="K163" s="362"/>
    </row>
    <row r="164" spans="1:11" x14ac:dyDescent="0.2">
      <c r="A164" s="362">
        <f t="shared" si="40"/>
        <v>156</v>
      </c>
      <c r="B164" s="141" t="str">
        <f t="shared" si="50"/>
        <v>58E &amp; 59E</v>
      </c>
      <c r="C164" s="138" t="s">
        <v>127</v>
      </c>
      <c r="D164" s="387" t="s">
        <v>131</v>
      </c>
      <c r="E164" s="382">
        <v>2.58</v>
      </c>
      <c r="F164" s="384">
        <f t="shared" si="47"/>
        <v>0.4</v>
      </c>
      <c r="G164" s="385">
        <v>1740</v>
      </c>
      <c r="H164" s="370">
        <f t="shared" si="48"/>
        <v>4489</v>
      </c>
      <c r="I164" s="370">
        <f t="shared" si="49"/>
        <v>696</v>
      </c>
      <c r="K164" s="362"/>
    </row>
    <row r="165" spans="1:11" x14ac:dyDescent="0.2">
      <c r="A165" s="362">
        <f t="shared" si="40"/>
        <v>157</v>
      </c>
      <c r="B165" s="141" t="str">
        <f t="shared" si="50"/>
        <v>58E &amp; 59E</v>
      </c>
      <c r="C165" s="138" t="s">
        <v>127</v>
      </c>
      <c r="D165" s="387" t="s">
        <v>132</v>
      </c>
      <c r="E165" s="382">
        <v>3.15</v>
      </c>
      <c r="F165" s="384">
        <f t="shared" si="47"/>
        <v>0.48</v>
      </c>
      <c r="G165" s="385">
        <v>356</v>
      </c>
      <c r="H165" s="370">
        <f t="shared" si="48"/>
        <v>1121</v>
      </c>
      <c r="I165" s="370">
        <f t="shared" si="49"/>
        <v>171</v>
      </c>
      <c r="K165" s="362"/>
    </row>
    <row r="166" spans="1:11" x14ac:dyDescent="0.2">
      <c r="A166" s="362">
        <f t="shared" si="40"/>
        <v>158</v>
      </c>
      <c r="B166" s="141" t="str">
        <f t="shared" si="50"/>
        <v>58E &amp; 59E</v>
      </c>
      <c r="C166" s="138" t="s">
        <v>127</v>
      </c>
      <c r="D166" s="387" t="s">
        <v>133</v>
      </c>
      <c r="E166" s="382">
        <v>3.72</v>
      </c>
      <c r="F166" s="384">
        <f t="shared" si="47"/>
        <v>0.56999999999999995</v>
      </c>
      <c r="G166" s="393">
        <v>0</v>
      </c>
      <c r="H166" s="370">
        <f t="shared" si="48"/>
        <v>0</v>
      </c>
      <c r="I166" s="370">
        <f t="shared" si="49"/>
        <v>0</v>
      </c>
      <c r="K166" s="362"/>
    </row>
    <row r="167" spans="1:11" x14ac:dyDescent="0.2">
      <c r="A167" s="362">
        <f t="shared" si="40"/>
        <v>159</v>
      </c>
      <c r="B167" s="141" t="str">
        <f t="shared" si="50"/>
        <v>58E &amp; 59E</v>
      </c>
      <c r="C167" s="138" t="s">
        <v>127</v>
      </c>
      <c r="D167" s="387" t="s">
        <v>134</v>
      </c>
      <c r="E167" s="382">
        <v>4.3</v>
      </c>
      <c r="F167" s="384">
        <f t="shared" si="47"/>
        <v>0.66</v>
      </c>
      <c r="G167" s="385">
        <v>180</v>
      </c>
      <c r="H167" s="370">
        <f t="shared" si="48"/>
        <v>774</v>
      </c>
      <c r="I167" s="370">
        <f t="shared" si="49"/>
        <v>119</v>
      </c>
      <c r="K167" s="362"/>
    </row>
    <row r="168" spans="1:11" x14ac:dyDescent="0.2">
      <c r="A168" s="362">
        <f t="shared" si="40"/>
        <v>160</v>
      </c>
      <c r="B168" s="141" t="str">
        <f t="shared" si="50"/>
        <v>58E &amp; 59E</v>
      </c>
      <c r="C168" s="138" t="s">
        <v>127</v>
      </c>
      <c r="D168" s="387" t="s">
        <v>135</v>
      </c>
      <c r="E168" s="382">
        <v>4.87</v>
      </c>
      <c r="F168" s="384">
        <f t="shared" si="47"/>
        <v>0.75</v>
      </c>
      <c r="G168" s="385">
        <v>264</v>
      </c>
      <c r="H168" s="370">
        <f t="shared" si="48"/>
        <v>1286</v>
      </c>
      <c r="I168" s="370">
        <f t="shared" si="49"/>
        <v>198</v>
      </c>
      <c r="K168" s="362"/>
    </row>
    <row r="169" spans="1:11" x14ac:dyDescent="0.2">
      <c r="A169" s="362">
        <f t="shared" si="40"/>
        <v>161</v>
      </c>
      <c r="B169" s="141" t="str">
        <f t="shared" si="50"/>
        <v>58E &amp; 59E</v>
      </c>
      <c r="C169" s="138" t="s">
        <v>127</v>
      </c>
      <c r="D169" s="387" t="s">
        <v>136</v>
      </c>
      <c r="E169" s="382">
        <v>5.44</v>
      </c>
      <c r="F169" s="384">
        <f t="shared" si="47"/>
        <v>0.83</v>
      </c>
      <c r="G169" s="393">
        <v>0</v>
      </c>
      <c r="H169" s="370">
        <f t="shared" si="48"/>
        <v>0</v>
      </c>
      <c r="I169" s="370">
        <f t="shared" si="49"/>
        <v>0</v>
      </c>
      <c r="K169" s="362"/>
    </row>
    <row r="170" spans="1:11" x14ac:dyDescent="0.2">
      <c r="A170" s="362">
        <f t="shared" si="40"/>
        <v>162</v>
      </c>
      <c r="B170" s="141" t="str">
        <f t="shared" si="50"/>
        <v>58E &amp; 59E</v>
      </c>
      <c r="C170" s="138" t="s">
        <v>127</v>
      </c>
      <c r="D170" s="387" t="s">
        <v>152</v>
      </c>
      <c r="E170" s="382">
        <v>6.68</v>
      </c>
      <c r="F170" s="384">
        <f t="shared" si="47"/>
        <v>1.02</v>
      </c>
      <c r="G170" s="393">
        <v>0</v>
      </c>
      <c r="H170" s="370">
        <f t="shared" si="48"/>
        <v>0</v>
      </c>
      <c r="I170" s="370">
        <f t="shared" si="49"/>
        <v>0</v>
      </c>
      <c r="K170" s="362"/>
    </row>
    <row r="171" spans="1:11" x14ac:dyDescent="0.2">
      <c r="A171" s="362">
        <f t="shared" si="40"/>
        <v>163</v>
      </c>
      <c r="B171" s="141" t="str">
        <f t="shared" si="50"/>
        <v>58E &amp; 59E</v>
      </c>
      <c r="C171" s="138" t="s">
        <v>127</v>
      </c>
      <c r="D171" s="387" t="s">
        <v>153</v>
      </c>
      <c r="E171" s="382">
        <v>8.59</v>
      </c>
      <c r="F171" s="384">
        <f t="shared" si="47"/>
        <v>1.32</v>
      </c>
      <c r="G171" s="393">
        <v>0</v>
      </c>
      <c r="H171" s="370">
        <f t="shared" si="48"/>
        <v>0</v>
      </c>
      <c r="I171" s="370">
        <f t="shared" si="49"/>
        <v>0</v>
      </c>
      <c r="K171" s="362"/>
    </row>
    <row r="172" spans="1:11" x14ac:dyDescent="0.2">
      <c r="A172" s="362">
        <f t="shared" si="40"/>
        <v>164</v>
      </c>
      <c r="B172" s="141" t="str">
        <f t="shared" si="50"/>
        <v>58E &amp; 59E</v>
      </c>
      <c r="C172" s="138" t="s">
        <v>127</v>
      </c>
      <c r="D172" s="387" t="s">
        <v>154</v>
      </c>
      <c r="E172" s="382">
        <v>10.5</v>
      </c>
      <c r="F172" s="384">
        <f t="shared" si="47"/>
        <v>1.61</v>
      </c>
      <c r="G172" s="393">
        <v>0</v>
      </c>
      <c r="H172" s="370">
        <f t="shared" si="48"/>
        <v>0</v>
      </c>
      <c r="I172" s="370">
        <f t="shared" si="49"/>
        <v>0</v>
      </c>
      <c r="K172" s="362"/>
    </row>
    <row r="173" spans="1:11" x14ac:dyDescent="0.2">
      <c r="A173" s="362">
        <f t="shared" si="40"/>
        <v>165</v>
      </c>
      <c r="B173" s="141" t="str">
        <f t="shared" si="50"/>
        <v>58E &amp; 59E</v>
      </c>
      <c r="C173" s="138" t="s">
        <v>127</v>
      </c>
      <c r="D173" s="387" t="s">
        <v>155</v>
      </c>
      <c r="E173" s="382">
        <v>12.41</v>
      </c>
      <c r="F173" s="384">
        <f t="shared" si="47"/>
        <v>1.9</v>
      </c>
      <c r="G173" s="393">
        <v>0</v>
      </c>
      <c r="H173" s="370">
        <f t="shared" si="48"/>
        <v>0</v>
      </c>
      <c r="I173" s="370">
        <f t="shared" si="49"/>
        <v>0</v>
      </c>
      <c r="K173" s="362"/>
    </row>
    <row r="174" spans="1:11" x14ac:dyDescent="0.2">
      <c r="A174" s="362">
        <f t="shared" si="40"/>
        <v>166</v>
      </c>
      <c r="B174" s="141" t="str">
        <f t="shared" si="50"/>
        <v>58E &amp; 59E</v>
      </c>
      <c r="C174" s="138" t="s">
        <v>127</v>
      </c>
      <c r="D174" s="387" t="s">
        <v>156</v>
      </c>
      <c r="E174" s="382">
        <v>14.32</v>
      </c>
      <c r="F174" s="384">
        <f t="shared" si="47"/>
        <v>2.19</v>
      </c>
      <c r="G174" s="393">
        <v>0</v>
      </c>
      <c r="H174" s="370">
        <f t="shared" si="48"/>
        <v>0</v>
      </c>
      <c r="I174" s="370">
        <f t="shared" si="49"/>
        <v>0</v>
      </c>
      <c r="K174" s="362"/>
    </row>
    <row r="175" spans="1:11" x14ac:dyDescent="0.2">
      <c r="A175" s="362">
        <f t="shared" si="40"/>
        <v>167</v>
      </c>
      <c r="B175" s="141" t="str">
        <f t="shared" si="50"/>
        <v>58E &amp; 59E</v>
      </c>
      <c r="C175" s="138" t="s">
        <v>127</v>
      </c>
      <c r="D175" s="387" t="s">
        <v>157</v>
      </c>
      <c r="E175" s="382">
        <v>16.23</v>
      </c>
      <c r="F175" s="384">
        <f t="shared" si="47"/>
        <v>2.4900000000000002</v>
      </c>
      <c r="G175" s="393">
        <v>0</v>
      </c>
      <c r="H175" s="370">
        <f t="shared" si="48"/>
        <v>0</v>
      </c>
      <c r="I175" s="370">
        <f t="shared" si="49"/>
        <v>0</v>
      </c>
      <c r="K175" s="362"/>
    </row>
    <row r="176" spans="1:11" ht="12" thickBot="1" x14ac:dyDescent="0.25">
      <c r="F176" s="397"/>
      <c r="G176" s="398"/>
      <c r="K176" s="362"/>
    </row>
    <row r="177" spans="7:11" x14ac:dyDescent="0.2">
      <c r="G177" s="379">
        <v>0</v>
      </c>
      <c r="H177" s="380" t="s">
        <v>204</v>
      </c>
      <c r="K177" s="362"/>
    </row>
    <row r="178" spans="7:11" x14ac:dyDescent="0.2">
      <c r="G178" s="380"/>
    </row>
    <row r="179" spans="7:11" x14ac:dyDescent="0.2">
      <c r="K179" s="362"/>
    </row>
    <row r="180" spans="7:11" x14ac:dyDescent="0.2">
      <c r="K180" s="362"/>
    </row>
    <row r="181" spans="7:11" x14ac:dyDescent="0.2">
      <c r="K181" s="362"/>
    </row>
    <row r="182" spans="7:11" x14ac:dyDescent="0.2">
      <c r="G182" s="138"/>
      <c r="K182" s="362"/>
    </row>
    <row r="183" spans="7:11" x14ac:dyDescent="0.2">
      <c r="K183" s="362"/>
    </row>
  </sheetData>
  <mergeCells count="5">
    <mergeCell ref="A1:J1"/>
    <mergeCell ref="A2:J2"/>
    <mergeCell ref="A4:J4"/>
    <mergeCell ref="B5:F5"/>
    <mergeCell ref="A3:J3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AH43"/>
  <sheetViews>
    <sheetView zoomScaleNormal="100" workbookViewId="0">
      <pane xSplit="4" ySplit="7" topLeftCell="M8" activePane="bottomRight" state="frozen"/>
      <selection activeCell="J37" sqref="J37"/>
      <selection pane="topRight" activeCell="J37" sqref="J37"/>
      <selection pane="bottomLeft" activeCell="J37" sqref="J37"/>
      <selection pane="bottomRight" activeCell="AH34" sqref="AH34"/>
    </sheetView>
  </sheetViews>
  <sheetFormatPr defaultColWidth="6.42578125" defaultRowHeight="11.25" x14ac:dyDescent="0.2"/>
  <cols>
    <col min="1" max="1" width="4.5703125" style="10" customWidth="1"/>
    <col min="2" max="2" width="17.42578125" style="10" bestFit="1" customWidth="1"/>
    <col min="3" max="3" width="14.5703125" style="10" customWidth="1"/>
    <col min="4" max="4" width="15.42578125" style="10" bestFit="1" customWidth="1"/>
    <col min="5" max="5" width="12.7109375" style="10" customWidth="1"/>
    <col min="6" max="6" width="11.5703125" style="10" bestFit="1" customWidth="1"/>
    <col min="7" max="7" width="12.42578125" style="10" customWidth="1"/>
    <col min="8" max="8" width="12.140625" style="10" customWidth="1"/>
    <col min="9" max="9" width="10.42578125" style="10" customWidth="1"/>
    <col min="10" max="10" width="13.42578125" style="10" customWidth="1"/>
    <col min="11" max="11" width="13" style="10" customWidth="1"/>
    <col min="12" max="12" width="13.5703125" style="10" customWidth="1"/>
    <col min="13" max="15" width="11.5703125" style="10" bestFit="1" customWidth="1"/>
    <col min="16" max="16" width="11.42578125" style="10" bestFit="1" customWidth="1"/>
    <col min="17" max="17" width="13" style="10" customWidth="1"/>
    <col min="18" max="18" width="12.5703125" style="10" customWidth="1"/>
    <col min="19" max="22" width="12.42578125" style="10" customWidth="1"/>
    <col min="23" max="23" width="13" style="10" bestFit="1" customWidth="1"/>
    <col min="24" max="24" width="13" style="10" customWidth="1"/>
    <col min="25" max="25" width="13" style="10" bestFit="1" customWidth="1"/>
    <col min="26" max="26" width="14.140625" style="10" customWidth="1"/>
    <col min="27" max="27" width="1" style="10" customWidth="1"/>
    <col min="28" max="29" width="13.42578125" style="36" customWidth="1"/>
    <col min="30" max="30" width="12.42578125" style="36" bestFit="1" customWidth="1"/>
    <col min="31" max="31" width="12.85546875" style="36" bestFit="1" customWidth="1"/>
    <col min="32" max="32" width="10" style="36" customWidth="1"/>
    <col min="33" max="33" width="9.42578125" style="36" customWidth="1"/>
    <col min="34" max="34" width="7.42578125" style="36" bestFit="1" customWidth="1"/>
    <col min="35" max="16384" width="6.42578125" style="10"/>
  </cols>
  <sheetData>
    <row r="1" spans="1:34" x14ac:dyDescent="0.2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5"/>
      <c r="Z1" s="35"/>
    </row>
    <row r="2" spans="1:34" x14ac:dyDescent="0.2">
      <c r="A2" s="34" t="s">
        <v>184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5"/>
      <c r="Z2" s="35"/>
    </row>
    <row r="3" spans="1:34" x14ac:dyDescent="0.2">
      <c r="A3" s="242" t="str">
        <f>'Sch 95'!A3</f>
        <v>Proposed Impacts of Rate Change Effective January 1, 2024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5"/>
      <c r="Z3" s="35"/>
    </row>
    <row r="4" spans="1:34" x14ac:dyDescent="0.2">
      <c r="A4" s="433"/>
      <c r="B4" s="433"/>
    </row>
    <row r="5" spans="1:34" ht="12" thickBot="1" x14ac:dyDescent="0.25">
      <c r="A5" s="21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423"/>
      <c r="Y5" s="270"/>
    </row>
    <row r="6" spans="1:34" ht="12" thickBot="1" x14ac:dyDescent="0.25">
      <c r="A6" s="21"/>
      <c r="B6" s="270"/>
      <c r="C6" s="270"/>
      <c r="D6" s="270"/>
      <c r="E6" s="426" t="s">
        <v>392</v>
      </c>
      <c r="F6" s="426" t="s">
        <v>393</v>
      </c>
      <c r="G6" s="426" t="s">
        <v>394</v>
      </c>
      <c r="H6" s="426" t="s">
        <v>395</v>
      </c>
      <c r="I6" s="426" t="s">
        <v>396</v>
      </c>
      <c r="J6" s="426" t="s">
        <v>396</v>
      </c>
      <c r="K6" s="426" t="s">
        <v>392</v>
      </c>
      <c r="L6" s="426" t="s">
        <v>394</v>
      </c>
      <c r="M6" s="426" t="s">
        <v>392</v>
      </c>
      <c r="N6" s="426" t="s">
        <v>395</v>
      </c>
      <c r="O6" s="426" t="s">
        <v>393</v>
      </c>
      <c r="P6" s="426" t="s">
        <v>397</v>
      </c>
      <c r="Q6" s="426" t="s">
        <v>393</v>
      </c>
      <c r="R6" s="426" t="s">
        <v>398</v>
      </c>
      <c r="S6" s="426" t="s">
        <v>398</v>
      </c>
      <c r="T6" s="426" t="s">
        <v>399</v>
      </c>
      <c r="U6" s="426" t="s">
        <v>396</v>
      </c>
      <c r="V6" s="426" t="s">
        <v>395</v>
      </c>
      <c r="W6" s="426" t="s">
        <v>400</v>
      </c>
      <c r="X6" s="426" t="s">
        <v>401</v>
      </c>
      <c r="Y6" s="270"/>
      <c r="Z6" s="37"/>
      <c r="AB6" s="38" t="s">
        <v>185</v>
      </c>
      <c r="AC6" s="39" t="s">
        <v>186</v>
      </c>
      <c r="AD6" s="40"/>
    </row>
    <row r="7" spans="1:34" ht="57" thickBot="1" x14ac:dyDescent="0.25">
      <c r="A7" s="12" t="s">
        <v>20</v>
      </c>
      <c r="B7" s="12" t="s">
        <v>13</v>
      </c>
      <c r="C7" s="243" t="s">
        <v>404</v>
      </c>
      <c r="D7" s="425" t="s">
        <v>405</v>
      </c>
      <c r="E7" s="425" t="s">
        <v>406</v>
      </c>
      <c r="F7" s="425" t="s">
        <v>407</v>
      </c>
      <c r="G7" s="425" t="s">
        <v>408</v>
      </c>
      <c r="H7" s="425" t="s">
        <v>409</v>
      </c>
      <c r="I7" s="425" t="s">
        <v>410</v>
      </c>
      <c r="J7" s="425" t="s">
        <v>411</v>
      </c>
      <c r="K7" s="425" t="s">
        <v>412</v>
      </c>
      <c r="L7" s="425" t="s">
        <v>413</v>
      </c>
      <c r="M7" s="425" t="s">
        <v>414</v>
      </c>
      <c r="N7" s="425" t="s">
        <v>415</v>
      </c>
      <c r="O7" s="425" t="s">
        <v>416</v>
      </c>
      <c r="P7" s="425" t="s">
        <v>367</v>
      </c>
      <c r="Q7" s="425" t="s">
        <v>417</v>
      </c>
      <c r="R7" s="425" t="s">
        <v>418</v>
      </c>
      <c r="S7" s="425" t="s">
        <v>419</v>
      </c>
      <c r="T7" s="425" t="s">
        <v>420</v>
      </c>
      <c r="U7" s="425" t="s">
        <v>421</v>
      </c>
      <c r="V7" s="425" t="s">
        <v>422</v>
      </c>
      <c r="W7" s="425" t="s">
        <v>423</v>
      </c>
      <c r="X7" s="425" t="s">
        <v>424</v>
      </c>
      <c r="Y7" s="425" t="s">
        <v>425</v>
      </c>
      <c r="Z7" s="425" t="s">
        <v>426</v>
      </c>
      <c r="AB7" s="41" t="str">
        <f>F7</f>
        <v>Schedule 95</v>
      </c>
      <c r="AC7" s="42" t="str">
        <f>AB7</f>
        <v>Schedule 95</v>
      </c>
      <c r="AD7" s="43" t="s">
        <v>187</v>
      </c>
      <c r="AE7" s="43" t="s">
        <v>188</v>
      </c>
      <c r="AF7" s="43" t="s">
        <v>189</v>
      </c>
      <c r="AG7" s="43" t="s">
        <v>190</v>
      </c>
      <c r="AH7" s="44" t="s">
        <v>191</v>
      </c>
    </row>
    <row r="8" spans="1:34" x14ac:dyDescent="0.2">
      <c r="A8" s="270">
        <v>1</v>
      </c>
      <c r="B8" s="287" t="s">
        <v>427</v>
      </c>
      <c r="C8" s="244">
        <v>11231237165.043671</v>
      </c>
      <c r="D8" s="249">
        <v>1195987664.8649354</v>
      </c>
      <c r="E8" s="249">
        <v>23974494.502337527</v>
      </c>
      <c r="F8" s="249">
        <v>0</v>
      </c>
      <c r="G8" s="249">
        <v>0</v>
      </c>
      <c r="H8" s="249">
        <v>56650360.26048027</v>
      </c>
      <c r="I8" s="249">
        <v>16038206.671682362</v>
      </c>
      <c r="J8" s="249">
        <v>6817360.959181508</v>
      </c>
      <c r="K8" s="249">
        <v>0</v>
      </c>
      <c r="L8" s="249">
        <v>0</v>
      </c>
      <c r="M8" s="249">
        <v>0</v>
      </c>
      <c r="N8" s="249">
        <v>29335991.475094069</v>
      </c>
      <c r="O8" s="249">
        <v>20530701.53769983</v>
      </c>
      <c r="P8" s="249">
        <v>14039046.456304589</v>
      </c>
      <c r="Q8" s="249">
        <v>29976171.993501555</v>
      </c>
      <c r="R8" s="249">
        <v>95779990.543492436</v>
      </c>
      <c r="S8" s="249">
        <v>91029177.222678944</v>
      </c>
      <c r="T8" s="249">
        <v>3582764.6556489309</v>
      </c>
      <c r="U8" s="249">
        <v>0</v>
      </c>
      <c r="V8" s="249">
        <v>-39039780.385691799</v>
      </c>
      <c r="W8" s="249">
        <v>0</v>
      </c>
      <c r="X8" s="249">
        <v>-84616140.801439017</v>
      </c>
      <c r="Y8" s="28">
        <f>SUM(E8:X8)</f>
        <v>264098345.09097114</v>
      </c>
      <c r="Z8" s="28">
        <f>SUM(Y8,D8)</f>
        <v>1460086009.9559066</v>
      </c>
      <c r="AB8" s="46">
        <f>-F8</f>
        <v>0</v>
      </c>
      <c r="AC8" s="47">
        <f>'Sch 95'!K8</f>
        <v>88311217.828738391</v>
      </c>
      <c r="AD8" s="48">
        <f>SUM(AB8:AC8)</f>
        <v>88311217.828738391</v>
      </c>
      <c r="AE8" s="48">
        <f>SUM(Z8,AD8)</f>
        <v>1548397227.7846451</v>
      </c>
      <c r="AF8" s="49">
        <f>Z8/C8</f>
        <v>0.1300022418278467</v>
      </c>
      <c r="AG8" s="49">
        <f>AE8/C8</f>
        <v>0.13786524182784671</v>
      </c>
      <c r="AH8" s="50">
        <f>AD8/Z8</f>
        <v>6.0483572355717122E-2</v>
      </c>
    </row>
    <row r="9" spans="1:34" x14ac:dyDescent="0.2">
      <c r="A9" s="270">
        <f>+A8+1</f>
        <v>2</v>
      </c>
      <c r="B9" s="270" t="s">
        <v>0</v>
      </c>
      <c r="C9" s="4">
        <f>SUM(C8:C8)</f>
        <v>11231237165.043671</v>
      </c>
      <c r="D9" s="51">
        <f t="shared" ref="D9:W9" si="0">SUM(D8:D8)</f>
        <v>1195987664.8649354</v>
      </c>
      <c r="E9" s="51">
        <f t="shared" si="0"/>
        <v>23974494.502337527</v>
      </c>
      <c r="F9" s="51">
        <f t="shared" si="0"/>
        <v>0</v>
      </c>
      <c r="G9" s="51">
        <f t="shared" si="0"/>
        <v>0</v>
      </c>
      <c r="H9" s="51">
        <f t="shared" si="0"/>
        <v>56650360.26048027</v>
      </c>
      <c r="I9" s="51">
        <f t="shared" si="0"/>
        <v>16038206.671682362</v>
      </c>
      <c r="J9" s="51">
        <f t="shared" si="0"/>
        <v>6817360.959181508</v>
      </c>
      <c r="K9" s="51">
        <f t="shared" si="0"/>
        <v>0</v>
      </c>
      <c r="L9" s="51">
        <f t="shared" si="0"/>
        <v>0</v>
      </c>
      <c r="M9" s="51">
        <f t="shared" si="0"/>
        <v>0</v>
      </c>
      <c r="N9" s="51">
        <f t="shared" si="0"/>
        <v>29335991.475094069</v>
      </c>
      <c r="O9" s="51">
        <f t="shared" si="0"/>
        <v>20530701.53769983</v>
      </c>
      <c r="P9" s="51">
        <f t="shared" si="0"/>
        <v>14039046.456304589</v>
      </c>
      <c r="Q9" s="51">
        <f t="shared" si="0"/>
        <v>29976171.993501555</v>
      </c>
      <c r="R9" s="51">
        <f t="shared" si="0"/>
        <v>95779990.543492436</v>
      </c>
      <c r="S9" s="51">
        <f t="shared" si="0"/>
        <v>91029177.222678944</v>
      </c>
      <c r="T9" s="51">
        <f t="shared" si="0"/>
        <v>3582764.6556489309</v>
      </c>
      <c r="U9" s="51">
        <f t="shared" si="0"/>
        <v>0</v>
      </c>
      <c r="V9" s="51">
        <f t="shared" si="0"/>
        <v>-39039780.385691799</v>
      </c>
      <c r="W9" s="51">
        <f t="shared" si="0"/>
        <v>0</v>
      </c>
      <c r="X9" s="51">
        <f t="shared" ref="X9" si="1">SUM(X8:X8)</f>
        <v>-84616140.801439017</v>
      </c>
      <c r="Y9" s="51">
        <f t="shared" ref="Y9:Z9" si="2">SUM(Y8:Y8)</f>
        <v>264098345.09097114</v>
      </c>
      <c r="Z9" s="51">
        <f t="shared" si="2"/>
        <v>1460086009.9559066</v>
      </c>
      <c r="AB9" s="52">
        <f t="shared" ref="AB9:AE9" si="3">SUM(AB8:AB8)</f>
        <v>0</v>
      </c>
      <c r="AC9" s="53">
        <f t="shared" si="3"/>
        <v>88311217.828738391</v>
      </c>
      <c r="AD9" s="54">
        <f t="shared" si="3"/>
        <v>88311217.828738391</v>
      </c>
      <c r="AE9" s="54">
        <f t="shared" si="3"/>
        <v>1548397227.7846451</v>
      </c>
      <c r="AF9" s="55">
        <f>Z9/C9</f>
        <v>0.1300022418278467</v>
      </c>
      <c r="AG9" s="55">
        <f>AE9/C9</f>
        <v>0.13786524182784671</v>
      </c>
      <c r="AH9" s="56">
        <f>AD9/Z9</f>
        <v>6.0483572355717122E-2</v>
      </c>
    </row>
    <row r="10" spans="1:34" x14ac:dyDescent="0.2">
      <c r="A10" s="270">
        <f t="shared" ref="A10:A38" si="4">+A9+1</f>
        <v>3</v>
      </c>
      <c r="B10" s="270"/>
      <c r="C10" s="7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28"/>
      <c r="Z10" s="28"/>
      <c r="AB10" s="46"/>
      <c r="AC10" s="47"/>
      <c r="AD10" s="48"/>
      <c r="AE10" s="48"/>
      <c r="AF10" s="49"/>
      <c r="AG10" s="49"/>
      <c r="AH10" s="50"/>
    </row>
    <row r="11" spans="1:34" x14ac:dyDescent="0.2">
      <c r="A11" s="270">
        <f t="shared" si="4"/>
        <v>4</v>
      </c>
      <c r="B11" s="287" t="s">
        <v>428</v>
      </c>
      <c r="C11" s="244">
        <v>2762363777.023735</v>
      </c>
      <c r="D11" s="249">
        <v>275895023.98780704</v>
      </c>
      <c r="E11" s="249">
        <v>5952401.5927281398</v>
      </c>
      <c r="F11" s="249">
        <v>0</v>
      </c>
      <c r="G11" s="249">
        <v>0</v>
      </c>
      <c r="H11" s="249">
        <v>11811867.510553492</v>
      </c>
      <c r="I11" s="249">
        <v>3632508.3667862117</v>
      </c>
      <c r="J11" s="249">
        <v>1544161.3513562679</v>
      </c>
      <c r="K11" s="249">
        <v>0</v>
      </c>
      <c r="L11" s="249">
        <v>-156549.03513952065</v>
      </c>
      <c r="M11" s="249">
        <v>-177663.167065938</v>
      </c>
      <c r="N11" s="249">
        <v>5781627.3853106787</v>
      </c>
      <c r="O11" s="249">
        <v>4667485.7109257914</v>
      </c>
      <c r="P11" s="249">
        <v>2737502.5030305213</v>
      </c>
      <c r="Q11" s="249">
        <v>6480505.4208976831</v>
      </c>
      <c r="R11" s="249">
        <v>18317234.205444388</v>
      </c>
      <c r="S11" s="249">
        <v>17408416.522803579</v>
      </c>
      <c r="T11" s="249">
        <v>765174.76623557473</v>
      </c>
      <c r="U11" s="249">
        <v>0</v>
      </c>
      <c r="V11" s="249">
        <v>-6118635.7661075732</v>
      </c>
      <c r="W11" s="249">
        <v>0</v>
      </c>
      <c r="X11" s="249">
        <v>-1940382.3937259028</v>
      </c>
      <c r="Y11" s="28">
        <f t="shared" ref="Y11:Y14" si="5">SUM(E11:X11)</f>
        <v>70705654.9740334</v>
      </c>
      <c r="Z11" s="28">
        <f>SUM(Y11,D11)</f>
        <v>346600678.96184045</v>
      </c>
      <c r="AB11" s="46">
        <f t="shared" ref="AB11:AB14" si="6">-F11</f>
        <v>0</v>
      </c>
      <c r="AC11" s="47">
        <f>'Sch 95'!K12</f>
        <v>20731540.146563131</v>
      </c>
      <c r="AD11" s="48">
        <f>SUM(AB11:AC11)</f>
        <v>20731540.146563131</v>
      </c>
      <c r="AE11" s="48">
        <f>SUM(Z11,AD11)</f>
        <v>367332219.10840356</v>
      </c>
      <c r="AF11" s="49">
        <f>Z11/C11</f>
        <v>0.12547249636153274</v>
      </c>
      <c r="AG11" s="49">
        <f>AE11/C11</f>
        <v>0.13297749636153275</v>
      </c>
      <c r="AH11" s="50">
        <f>AD11/Z11</f>
        <v>5.9813905179469086E-2</v>
      </c>
    </row>
    <row r="12" spans="1:34" x14ac:dyDescent="0.2">
      <c r="A12" s="270">
        <f t="shared" si="4"/>
        <v>5</v>
      </c>
      <c r="B12" s="21" t="s">
        <v>192</v>
      </c>
      <c r="C12" s="244">
        <v>2961290332.0764241</v>
      </c>
      <c r="D12" s="249">
        <v>271040737.09336877</v>
      </c>
      <c r="E12" s="249">
        <v>6584434.8775088107</v>
      </c>
      <c r="F12" s="249">
        <v>0</v>
      </c>
      <c r="G12" s="249">
        <v>0</v>
      </c>
      <c r="H12" s="249">
        <v>12875690.363868292</v>
      </c>
      <c r="I12" s="249">
        <v>3618696.7857973902</v>
      </c>
      <c r="J12" s="249">
        <v>1539870.9726797403</v>
      </c>
      <c r="K12" s="249">
        <v>0</v>
      </c>
      <c r="L12" s="249">
        <v>743341.87149714772</v>
      </c>
      <c r="M12" s="249">
        <v>-273140.04027007206</v>
      </c>
      <c r="N12" s="249">
        <v>5863354.8575113202</v>
      </c>
      <c r="O12" s="249">
        <v>4920531.1993182944</v>
      </c>
      <c r="P12" s="249">
        <v>3063786.3471302344</v>
      </c>
      <c r="Q12" s="249">
        <v>6806061.8759456314</v>
      </c>
      <c r="R12" s="249">
        <v>20293656.418852307</v>
      </c>
      <c r="S12" s="249">
        <v>19296342.449946418</v>
      </c>
      <c r="T12" s="249">
        <v>849890.32530593371</v>
      </c>
      <c r="U12" s="249">
        <v>0</v>
      </c>
      <c r="V12" s="249">
        <v>9360638.7396935765</v>
      </c>
      <c r="W12" s="249">
        <v>0</v>
      </c>
      <c r="X12" s="249">
        <v>-1017427.7490778532</v>
      </c>
      <c r="Y12" s="28">
        <f t="shared" si="5"/>
        <v>94525729.295707166</v>
      </c>
      <c r="Z12" s="28">
        <f>SUM(Y12,D12)</f>
        <v>365566466.38907593</v>
      </c>
      <c r="AB12" s="46">
        <f t="shared" si="6"/>
        <v>0</v>
      </c>
      <c r="AC12" s="47">
        <f>'Sch 95'!K13</f>
        <v>22280748.458543018</v>
      </c>
      <c r="AD12" s="48">
        <f>SUM(AB12:AC12)</f>
        <v>22280748.458543018</v>
      </c>
      <c r="AE12" s="48">
        <f>SUM(Z12,AD12)</f>
        <v>387847214.84761894</v>
      </c>
      <c r="AF12" s="49">
        <f>Z12/C12</f>
        <v>0.12344837060699305</v>
      </c>
      <c r="AG12" s="49">
        <f>AE12/C12</f>
        <v>0.13097237060699304</v>
      </c>
      <c r="AH12" s="50">
        <f>AD12/Z12</f>
        <v>6.0948556574741734E-2</v>
      </c>
    </row>
    <row r="13" spans="1:34" x14ac:dyDescent="0.2">
      <c r="A13" s="270">
        <f t="shared" si="4"/>
        <v>6</v>
      </c>
      <c r="B13" s="21" t="s">
        <v>193</v>
      </c>
      <c r="C13" s="244">
        <v>1964892733.640949</v>
      </c>
      <c r="D13" s="249">
        <v>164185183.99574861</v>
      </c>
      <c r="E13" s="249">
        <v>4571813.0266122567</v>
      </c>
      <c r="F13" s="249">
        <v>0</v>
      </c>
      <c r="G13" s="249">
        <v>0</v>
      </c>
      <c r="H13" s="249">
        <v>7822237.9726246176</v>
      </c>
      <c r="I13" s="249">
        <v>2206574.5398787856</v>
      </c>
      <c r="J13" s="249">
        <v>939218.72668037366</v>
      </c>
      <c r="K13" s="249">
        <v>0</v>
      </c>
      <c r="L13" s="249">
        <v>1280556.035166746</v>
      </c>
      <c r="M13" s="249">
        <v>-455534.03108758503</v>
      </c>
      <c r="N13" s="249">
        <v>3369791.038194227</v>
      </c>
      <c r="O13" s="249">
        <v>2961946.6835628254</v>
      </c>
      <c r="P13" s="249">
        <v>1713667.5693741031</v>
      </c>
      <c r="Q13" s="249">
        <v>4269025.5467574112</v>
      </c>
      <c r="R13" s="249">
        <v>11918812.432278359</v>
      </c>
      <c r="S13" s="249">
        <v>11361420.737198601</v>
      </c>
      <c r="T13" s="249">
        <v>477468.93427475059</v>
      </c>
      <c r="U13" s="249">
        <v>0</v>
      </c>
      <c r="V13" s="249">
        <v>3601089.0162261976</v>
      </c>
      <c r="W13" s="249">
        <v>0</v>
      </c>
      <c r="X13" s="249">
        <v>-127670.7490389537</v>
      </c>
      <c r="Y13" s="28">
        <f t="shared" si="5"/>
        <v>55910417.478702709</v>
      </c>
      <c r="Z13" s="28">
        <f>SUM(Y13,D13)</f>
        <v>220095601.4744513</v>
      </c>
      <c r="AB13" s="46">
        <f t="shared" si="6"/>
        <v>0</v>
      </c>
      <c r="AC13" s="47">
        <f>'Sch 95'!K14</f>
        <v>13779792.741023976</v>
      </c>
      <c r="AD13" s="48">
        <f>SUM(AB13:AC13)</f>
        <v>13779792.741023976</v>
      </c>
      <c r="AE13" s="48">
        <f>SUM(Z13,AD13)</f>
        <v>233875394.21547529</v>
      </c>
      <c r="AF13" s="49">
        <f>Z13/C13</f>
        <v>0.11201405435838416</v>
      </c>
      <c r="AG13" s="49">
        <f>AE13/C13</f>
        <v>0.11902705435838416</v>
      </c>
      <c r="AH13" s="50">
        <f>AD13/Z13</f>
        <v>6.2608215015253432E-2</v>
      </c>
    </row>
    <row r="14" spans="1:34" x14ac:dyDescent="0.2">
      <c r="A14" s="270">
        <f t="shared" si="4"/>
        <v>7</v>
      </c>
      <c r="B14" s="270">
        <v>29</v>
      </c>
      <c r="C14" s="244">
        <v>15040573.846487813</v>
      </c>
      <c r="D14" s="249">
        <v>1291170.0369053327</v>
      </c>
      <c r="E14" s="249">
        <v>27862.464465540641</v>
      </c>
      <c r="F14" s="249">
        <v>0</v>
      </c>
      <c r="G14" s="249">
        <v>0</v>
      </c>
      <c r="H14" s="249">
        <v>68133.799524589791</v>
      </c>
      <c r="I14" s="249">
        <v>17356.822218846937</v>
      </c>
      <c r="J14" s="249">
        <v>7384.9217586255163</v>
      </c>
      <c r="K14" s="249">
        <v>0</v>
      </c>
      <c r="L14" s="249">
        <v>0</v>
      </c>
      <c r="M14" s="249">
        <v>0</v>
      </c>
      <c r="N14" s="249">
        <v>29780.336216045867</v>
      </c>
      <c r="O14" s="249">
        <v>24991.677467639838</v>
      </c>
      <c r="P14" s="249">
        <v>12962.332427821304</v>
      </c>
      <c r="Q14" s="249">
        <v>37190.957051109188</v>
      </c>
      <c r="R14" s="249">
        <v>103458.01024102664</v>
      </c>
      <c r="S14" s="249">
        <v>98317.415022299247</v>
      </c>
      <c r="T14" s="249">
        <v>5565.0123232004908</v>
      </c>
      <c r="U14" s="249">
        <v>0</v>
      </c>
      <c r="V14" s="249">
        <v>47543.253928747974</v>
      </c>
      <c r="W14" s="249">
        <v>0</v>
      </c>
      <c r="X14" s="249">
        <v>-113315.68335943918</v>
      </c>
      <c r="Y14" s="28">
        <f t="shared" si="5"/>
        <v>367231.31928605417</v>
      </c>
      <c r="Z14" s="28">
        <f>SUM(Y14,D14)</f>
        <v>1658401.3561913869</v>
      </c>
      <c r="AB14" s="46">
        <f t="shared" si="6"/>
        <v>0</v>
      </c>
      <c r="AC14" s="47">
        <f>'Sch 95'!K15</f>
        <v>118970.93912571861</v>
      </c>
      <c r="AD14" s="48">
        <f>SUM(AB14:AC14)</f>
        <v>118970.93912571861</v>
      </c>
      <c r="AE14" s="48">
        <f>SUM(Z14,AD14)</f>
        <v>1777372.2953171055</v>
      </c>
      <c r="AF14" s="49">
        <f>Z14/C14</f>
        <v>0.11026184061312576</v>
      </c>
      <c r="AG14" s="49">
        <f>AE14/C14</f>
        <v>0.11817184061312574</v>
      </c>
      <c r="AH14" s="50">
        <f>AD14/Z14</f>
        <v>7.1738327203821242E-2</v>
      </c>
    </row>
    <row r="15" spans="1:34" x14ac:dyDescent="0.2">
      <c r="A15" s="270">
        <f t="shared" si="4"/>
        <v>8</v>
      </c>
      <c r="B15" s="21" t="s">
        <v>194</v>
      </c>
      <c r="C15" s="4">
        <f>SUM(C11:C14)</f>
        <v>7703587416.5875959</v>
      </c>
      <c r="D15" s="51">
        <f t="shared" ref="D15:W15" si="7">SUM(D11:D14)</f>
        <v>712412115.11382973</v>
      </c>
      <c r="E15" s="51">
        <f t="shared" si="7"/>
        <v>17136511.961314745</v>
      </c>
      <c r="F15" s="51">
        <f t="shared" si="7"/>
        <v>0</v>
      </c>
      <c r="G15" s="51">
        <f t="shared" si="7"/>
        <v>0</v>
      </c>
      <c r="H15" s="51">
        <f t="shared" si="7"/>
        <v>32577929.646570992</v>
      </c>
      <c r="I15" s="51">
        <f t="shared" si="7"/>
        <v>9475136.514681235</v>
      </c>
      <c r="J15" s="51">
        <f t="shared" si="7"/>
        <v>4030635.9724750076</v>
      </c>
      <c r="K15" s="51">
        <f t="shared" si="7"/>
        <v>0</v>
      </c>
      <c r="L15" s="51">
        <f t="shared" si="7"/>
        <v>1867348.8715243731</v>
      </c>
      <c r="M15" s="51">
        <f t="shared" si="7"/>
        <v>-906337.23842359509</v>
      </c>
      <c r="N15" s="51">
        <f t="shared" si="7"/>
        <v>15044553.617232272</v>
      </c>
      <c r="O15" s="51">
        <f t="shared" si="7"/>
        <v>12574955.271274552</v>
      </c>
      <c r="P15" s="51">
        <f t="shared" si="7"/>
        <v>7527918.7519626794</v>
      </c>
      <c r="Q15" s="51">
        <f t="shared" si="7"/>
        <v>17592783.800651837</v>
      </c>
      <c r="R15" s="51">
        <f t="shared" si="7"/>
        <v>50633161.066816077</v>
      </c>
      <c r="S15" s="51">
        <f t="shared" si="7"/>
        <v>48164497.124970891</v>
      </c>
      <c r="T15" s="51">
        <f t="shared" si="7"/>
        <v>2098099.0381394597</v>
      </c>
      <c r="U15" s="51">
        <f t="shared" si="7"/>
        <v>0</v>
      </c>
      <c r="V15" s="51">
        <f t="shared" si="7"/>
        <v>6890635.2437409488</v>
      </c>
      <c r="W15" s="51">
        <f t="shared" si="7"/>
        <v>0</v>
      </c>
      <c r="X15" s="51">
        <f t="shared" ref="X15" si="8">SUM(X11:X14)</f>
        <v>-3198796.5752021489</v>
      </c>
      <c r="Y15" s="51">
        <f t="shared" ref="Y15:Z15" si="9">SUM(Y11:Y14)</f>
        <v>221509033.06772935</v>
      </c>
      <c r="Z15" s="51">
        <f t="shared" si="9"/>
        <v>933921148.18155909</v>
      </c>
      <c r="AB15" s="52">
        <f t="shared" ref="AB15:AE15" si="10">SUM(AB11:AB14)</f>
        <v>0</v>
      </c>
      <c r="AC15" s="53">
        <f t="shared" si="10"/>
        <v>56911052.285255834</v>
      </c>
      <c r="AD15" s="54">
        <f t="shared" si="10"/>
        <v>56911052.285255834</v>
      </c>
      <c r="AE15" s="54">
        <f t="shared" si="10"/>
        <v>990832200.46681488</v>
      </c>
      <c r="AF15" s="55">
        <f>Z15/C15</f>
        <v>0.12123197903493793</v>
      </c>
      <c r="AG15" s="55">
        <f>AE15/C15</f>
        <v>0.1286195829144906</v>
      </c>
      <c r="AH15" s="56">
        <f>AD15/Z15</f>
        <v>6.0937748755414231E-2</v>
      </c>
    </row>
    <row r="16" spans="1:34" x14ac:dyDescent="0.2">
      <c r="A16" s="270">
        <f t="shared" si="4"/>
        <v>9</v>
      </c>
      <c r="B16" s="270"/>
      <c r="C16" s="7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28"/>
      <c r="Z16" s="28"/>
      <c r="AB16" s="46"/>
      <c r="AC16" s="47"/>
      <c r="AD16" s="48"/>
      <c r="AE16" s="48"/>
      <c r="AF16" s="49"/>
      <c r="AG16" s="49"/>
      <c r="AH16" s="50"/>
    </row>
    <row r="17" spans="1:34" x14ac:dyDescent="0.2">
      <c r="A17" s="270">
        <f t="shared" si="4"/>
        <v>10</v>
      </c>
      <c r="B17" s="270" t="s">
        <v>195</v>
      </c>
      <c r="C17" s="244">
        <v>1416593830.9637725</v>
      </c>
      <c r="D17" s="249">
        <v>115404202.61775398</v>
      </c>
      <c r="E17" s="249">
        <v>3016365.128124164</v>
      </c>
      <c r="F17" s="249">
        <v>0</v>
      </c>
      <c r="G17" s="249">
        <v>0</v>
      </c>
      <c r="H17" s="249">
        <v>5436887.1232389593</v>
      </c>
      <c r="I17" s="249">
        <v>1559669.8078911135</v>
      </c>
      <c r="J17" s="249">
        <v>662965.91289104556</v>
      </c>
      <c r="K17" s="249">
        <v>0</v>
      </c>
      <c r="L17" s="249">
        <v>557156.35249099927</v>
      </c>
      <c r="M17" s="249">
        <v>-201374.64947077501</v>
      </c>
      <c r="N17" s="249">
        <v>2445040.9522434715</v>
      </c>
      <c r="O17" s="249">
        <v>2171097.6911794953</v>
      </c>
      <c r="P17" s="249">
        <v>1208628.5705919231</v>
      </c>
      <c r="Q17" s="249">
        <v>2845931.9588103774</v>
      </c>
      <c r="R17" s="249">
        <v>8268673.8349076975</v>
      </c>
      <c r="S17" s="249">
        <v>7879808.4827241423</v>
      </c>
      <c r="T17" s="249">
        <v>356981.64540287066</v>
      </c>
      <c r="U17" s="249">
        <v>0</v>
      </c>
      <c r="V17" s="249">
        <v>485845.25408873515</v>
      </c>
      <c r="W17" s="249">
        <v>0</v>
      </c>
      <c r="X17" s="249">
        <v>-178746.59777905536</v>
      </c>
      <c r="Y17" s="28">
        <f t="shared" ref="Y17:Y19" si="11">SUM(E17:X17)</f>
        <v>36514931.467335165</v>
      </c>
      <c r="Z17" s="28">
        <f>SUM(Y17,D17)</f>
        <v>151919134.08508915</v>
      </c>
      <c r="AB17" s="46">
        <f t="shared" ref="AB17:AB19" si="12">-F17</f>
        <v>0</v>
      </c>
      <c r="AC17" s="47">
        <f>'Sch 95'!K19</f>
        <v>9737665.9940449726</v>
      </c>
      <c r="AD17" s="48">
        <f>SUM(AB17:AC17)</f>
        <v>9737665.9940449726</v>
      </c>
      <c r="AE17" s="48">
        <f>SUM(Z17,AD17)</f>
        <v>161656800.07913411</v>
      </c>
      <c r="AF17" s="49">
        <f>Z17/C17</f>
        <v>0.10724254953286907</v>
      </c>
      <c r="AG17" s="49">
        <f>AE17/C17</f>
        <v>0.11411654953286907</v>
      </c>
      <c r="AH17" s="50">
        <f>AD17/Z17</f>
        <v>6.409769284618852E-2</v>
      </c>
    </row>
    <row r="18" spans="1:34" x14ac:dyDescent="0.2">
      <c r="A18" s="270">
        <f t="shared" si="4"/>
        <v>11</v>
      </c>
      <c r="B18" s="270">
        <v>35</v>
      </c>
      <c r="C18" s="244">
        <v>4440266.6219169199</v>
      </c>
      <c r="D18" s="249">
        <v>273910.58897433063</v>
      </c>
      <c r="E18" s="249">
        <v>7054.9009495967784</v>
      </c>
      <c r="F18" s="249">
        <v>0</v>
      </c>
      <c r="G18" s="249">
        <v>0</v>
      </c>
      <c r="H18" s="249">
        <v>11651.259615909998</v>
      </c>
      <c r="I18" s="249">
        <v>4049.5231591882311</v>
      </c>
      <c r="J18" s="249">
        <v>1722.8234493037648</v>
      </c>
      <c r="K18" s="249">
        <v>0</v>
      </c>
      <c r="L18" s="249">
        <v>0</v>
      </c>
      <c r="M18" s="249">
        <v>0</v>
      </c>
      <c r="N18" s="249">
        <v>7663.9001894286039</v>
      </c>
      <c r="O18" s="249">
        <v>7060.0239288479033</v>
      </c>
      <c r="P18" s="249">
        <v>5527.0378327727894</v>
      </c>
      <c r="Q18" s="249">
        <v>6375.5139714292936</v>
      </c>
      <c r="R18" s="249">
        <v>36793.399768219373</v>
      </c>
      <c r="S18" s="249">
        <v>34929.453112159674</v>
      </c>
      <c r="T18" s="249">
        <v>2628.6378401748166</v>
      </c>
      <c r="U18" s="249">
        <v>0</v>
      </c>
      <c r="V18" s="249">
        <v>14035.682791879382</v>
      </c>
      <c r="W18" s="249">
        <v>0</v>
      </c>
      <c r="X18" s="249">
        <v>-33452.968729522072</v>
      </c>
      <c r="Y18" s="28">
        <f t="shared" si="11"/>
        <v>106039.18787938854</v>
      </c>
      <c r="Z18" s="28">
        <f>SUM(Y18,D18)</f>
        <v>379949.77685371914</v>
      </c>
      <c r="AB18" s="46">
        <f t="shared" si="12"/>
        <v>0</v>
      </c>
      <c r="AC18" s="47">
        <f>'Sch 95'!K20</f>
        <v>32662.601270820862</v>
      </c>
      <c r="AD18" s="48">
        <f>SUM(AB18:AC18)</f>
        <v>32662.601270820862</v>
      </c>
      <c r="AE18" s="48">
        <f>SUM(Z18,AD18)</f>
        <v>412612.37812454003</v>
      </c>
      <c r="AF18" s="49">
        <f>Z18/C18</f>
        <v>8.5569135641158853E-2</v>
      </c>
      <c r="AG18" s="49">
        <f>AE18/C18</f>
        <v>9.2925135641158854E-2</v>
      </c>
      <c r="AH18" s="50">
        <f>AD18/Z18</f>
        <v>8.5965575611841927E-2</v>
      </c>
    </row>
    <row r="19" spans="1:34" x14ac:dyDescent="0.2">
      <c r="A19" s="270">
        <f t="shared" si="4"/>
        <v>12</v>
      </c>
      <c r="B19" s="270">
        <v>43</v>
      </c>
      <c r="C19" s="244">
        <v>123233807.4336848</v>
      </c>
      <c r="D19" s="249">
        <v>10766322.383334879</v>
      </c>
      <c r="E19" s="249">
        <v>209534.23350390725</v>
      </c>
      <c r="F19" s="249">
        <v>0</v>
      </c>
      <c r="G19" s="249">
        <v>0</v>
      </c>
      <c r="H19" s="249">
        <v>100435.55305845311</v>
      </c>
      <c r="I19" s="249">
        <v>138884.50097776277</v>
      </c>
      <c r="J19" s="249">
        <v>59028.993760735015</v>
      </c>
      <c r="K19" s="249">
        <v>0</v>
      </c>
      <c r="L19" s="249">
        <v>43677.179999999993</v>
      </c>
      <c r="M19" s="249">
        <v>-14924.789999999999</v>
      </c>
      <c r="N19" s="249">
        <v>188424.49156610406</v>
      </c>
      <c r="O19" s="249">
        <v>185231.42595796983</v>
      </c>
      <c r="P19" s="249">
        <v>97196.747114446727</v>
      </c>
      <c r="Q19" s="249">
        <v>51684.934629638068</v>
      </c>
      <c r="R19" s="249">
        <v>637734.52183802379</v>
      </c>
      <c r="S19" s="249">
        <v>603637.29472067207</v>
      </c>
      <c r="T19" s="249">
        <v>52990.53719648446</v>
      </c>
      <c r="U19" s="249">
        <v>0</v>
      </c>
      <c r="V19" s="249">
        <v>389542.06529787759</v>
      </c>
      <c r="W19" s="249">
        <v>0</v>
      </c>
      <c r="X19" s="249">
        <v>0</v>
      </c>
      <c r="Y19" s="28">
        <f t="shared" si="11"/>
        <v>2743077.6896220744</v>
      </c>
      <c r="Z19" s="28">
        <f>SUM(Y19,D19)</f>
        <v>13509400.072956953</v>
      </c>
      <c r="AB19" s="46">
        <f t="shared" si="12"/>
        <v>0</v>
      </c>
      <c r="AC19" s="47">
        <f>'Sch 95'!K21</f>
        <v>833430.23967401031</v>
      </c>
      <c r="AD19" s="48">
        <f>SUM(AB19:AC19)</f>
        <v>833430.23967401031</v>
      </c>
      <c r="AE19" s="48">
        <f>SUM(Z19,AD19)</f>
        <v>14342830.312630963</v>
      </c>
      <c r="AF19" s="49">
        <f>Z19/C19</f>
        <v>0.10962413930306179</v>
      </c>
      <c r="AG19" s="49">
        <f>AE19/C19</f>
        <v>0.11638713930306178</v>
      </c>
      <c r="AH19" s="50">
        <f>AD19/Z19</f>
        <v>6.1692616635313557E-2</v>
      </c>
    </row>
    <row r="20" spans="1:34" x14ac:dyDescent="0.2">
      <c r="A20" s="270">
        <f t="shared" si="4"/>
        <v>13</v>
      </c>
      <c r="B20" s="21" t="s">
        <v>196</v>
      </c>
      <c r="C20" s="4">
        <f>SUM(C17:C19)</f>
        <v>1544267905.0193744</v>
      </c>
      <c r="D20" s="51">
        <f t="shared" ref="D20:W20" si="13">SUM(D17:D19)</f>
        <v>126444435.59006318</v>
      </c>
      <c r="E20" s="51">
        <f t="shared" si="13"/>
        <v>3232954.2625776683</v>
      </c>
      <c r="F20" s="51">
        <f t="shared" si="13"/>
        <v>0</v>
      </c>
      <c r="G20" s="51">
        <f t="shared" si="13"/>
        <v>0</v>
      </c>
      <c r="H20" s="51">
        <f t="shared" si="13"/>
        <v>5548973.9359133225</v>
      </c>
      <c r="I20" s="51">
        <f t="shared" si="13"/>
        <v>1702603.8320280644</v>
      </c>
      <c r="J20" s="51">
        <f t="shared" si="13"/>
        <v>723717.73010108434</v>
      </c>
      <c r="K20" s="51">
        <f t="shared" si="13"/>
        <v>0</v>
      </c>
      <c r="L20" s="51">
        <f t="shared" si="13"/>
        <v>600833.53249099921</v>
      </c>
      <c r="M20" s="51">
        <f t="shared" si="13"/>
        <v>-216299.43947077502</v>
      </c>
      <c r="N20" s="51">
        <f t="shared" si="13"/>
        <v>2641129.343999004</v>
      </c>
      <c r="O20" s="51">
        <f t="shared" si="13"/>
        <v>2363389.1410663133</v>
      </c>
      <c r="P20" s="51">
        <f t="shared" si="13"/>
        <v>1311352.3555391426</v>
      </c>
      <c r="Q20" s="51">
        <f t="shared" si="13"/>
        <v>2903992.4074114449</v>
      </c>
      <c r="R20" s="51">
        <f t="shared" si="13"/>
        <v>8943201.7565139402</v>
      </c>
      <c r="S20" s="51">
        <f t="shared" si="13"/>
        <v>8518375.2305569742</v>
      </c>
      <c r="T20" s="51">
        <f t="shared" si="13"/>
        <v>412600.82043952995</v>
      </c>
      <c r="U20" s="51">
        <f t="shared" si="13"/>
        <v>0</v>
      </c>
      <c r="V20" s="51">
        <f t="shared" si="13"/>
        <v>889423.00217849214</v>
      </c>
      <c r="W20" s="51">
        <f t="shared" si="13"/>
        <v>0</v>
      </c>
      <c r="X20" s="51">
        <f t="shared" ref="X20" si="14">SUM(X17:X19)</f>
        <v>-212199.56650857744</v>
      </c>
      <c r="Y20" s="51">
        <f t="shared" ref="Y20:Z20" si="15">SUM(Y17:Y19)</f>
        <v>39364048.34483663</v>
      </c>
      <c r="Z20" s="51">
        <f t="shared" si="15"/>
        <v>165808483.93489981</v>
      </c>
      <c r="AB20" s="52">
        <f t="shared" ref="AB20:AE20" si="16">SUM(AB17:AB19)</f>
        <v>0</v>
      </c>
      <c r="AC20" s="53">
        <f t="shared" si="16"/>
        <v>10603758.834989805</v>
      </c>
      <c r="AD20" s="54">
        <f t="shared" si="16"/>
        <v>10603758.834989805</v>
      </c>
      <c r="AE20" s="54">
        <f t="shared" si="16"/>
        <v>176412242.76988959</v>
      </c>
      <c r="AF20" s="55">
        <f>Z20/C20</f>
        <v>0.10737028425959522</v>
      </c>
      <c r="AG20" s="55">
        <f>AE20/C20</f>
        <v>0.11423681227621986</v>
      </c>
      <c r="AH20" s="56">
        <f>AD20/Z20</f>
        <v>6.3951847235712511E-2</v>
      </c>
    </row>
    <row r="21" spans="1:34" x14ac:dyDescent="0.2">
      <c r="A21" s="270">
        <f t="shared" si="4"/>
        <v>14</v>
      </c>
      <c r="B21" s="270"/>
      <c r="C21" s="7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28"/>
      <c r="Z21" s="28"/>
      <c r="AB21" s="46"/>
      <c r="AC21" s="47"/>
      <c r="AD21" s="48"/>
      <c r="AE21" s="48"/>
      <c r="AF21" s="49"/>
      <c r="AG21" s="49"/>
      <c r="AH21" s="50"/>
    </row>
    <row r="22" spans="1:34" x14ac:dyDescent="0.2">
      <c r="A22" s="270">
        <f t="shared" si="4"/>
        <v>15</v>
      </c>
      <c r="B22" s="270">
        <v>46</v>
      </c>
      <c r="C22" s="244">
        <v>97204322.458226442</v>
      </c>
      <c r="D22" s="249">
        <v>6287794.4661451252</v>
      </c>
      <c r="E22" s="249">
        <v>176672.27830376479</v>
      </c>
      <c r="F22" s="249">
        <v>0</v>
      </c>
      <c r="G22" s="249">
        <v>0</v>
      </c>
      <c r="H22" s="249">
        <v>94579.805751854336</v>
      </c>
      <c r="I22" s="249">
        <v>78929.909836079867</v>
      </c>
      <c r="J22" s="249">
        <v>33535.491248088118</v>
      </c>
      <c r="K22" s="249">
        <v>0</v>
      </c>
      <c r="L22" s="249">
        <v>66112.663426560059</v>
      </c>
      <c r="M22" s="249">
        <v>-26126.360827200006</v>
      </c>
      <c r="N22" s="249">
        <v>92344.106335315126</v>
      </c>
      <c r="O22" s="249">
        <v>129067.69678434927</v>
      </c>
      <c r="P22" s="249">
        <v>43726.831684315664</v>
      </c>
      <c r="Q22" s="249">
        <v>55525.305336674341</v>
      </c>
      <c r="R22" s="249">
        <v>324735.93828030286</v>
      </c>
      <c r="S22" s="249">
        <v>307635.53423859813</v>
      </c>
      <c r="T22" s="249">
        <v>30910.974541716005</v>
      </c>
      <c r="U22" s="249">
        <v>0</v>
      </c>
      <c r="V22" s="249">
        <v>0</v>
      </c>
      <c r="W22" s="249">
        <v>0</v>
      </c>
      <c r="X22" s="249">
        <v>0</v>
      </c>
      <c r="Y22" s="28">
        <f t="shared" ref="Y22:Y23" si="17">SUM(E22:X22)</f>
        <v>1407650.1749404187</v>
      </c>
      <c r="Z22" s="28">
        <f>SUM(Y22,D22)</f>
        <v>7695444.6410855437</v>
      </c>
      <c r="AB22" s="46">
        <f t="shared" ref="AB22:AB23" si="18">-F22</f>
        <v>0</v>
      </c>
      <c r="AC22" s="47">
        <f>'Sch 95'!K25</f>
        <v>733795.43023715145</v>
      </c>
      <c r="AD22" s="48">
        <f>SUM(AB22:AC22)</f>
        <v>733795.43023715145</v>
      </c>
      <c r="AE22" s="48">
        <f>SUM(Z22,AD22)</f>
        <v>8429240.0713226944</v>
      </c>
      <c r="AF22" s="49">
        <f>Z22/C22</f>
        <v>7.9167720595888738E-2</v>
      </c>
      <c r="AG22" s="49">
        <f>AE22/C22</f>
        <v>8.6716720595888724E-2</v>
      </c>
      <c r="AH22" s="50">
        <f>AD22/Z22</f>
        <v>9.5354520038966842E-2</v>
      </c>
    </row>
    <row r="23" spans="1:34" x14ac:dyDescent="0.2">
      <c r="A23" s="270">
        <f t="shared" si="4"/>
        <v>16</v>
      </c>
      <c r="B23" s="270">
        <v>49</v>
      </c>
      <c r="C23" s="244">
        <v>536308452.81444013</v>
      </c>
      <c r="D23" s="249">
        <v>34548061.520480059</v>
      </c>
      <c r="E23" s="249">
        <v>1054899.3955997371</v>
      </c>
      <c r="F23" s="249">
        <v>0</v>
      </c>
      <c r="G23" s="249">
        <v>0</v>
      </c>
      <c r="H23" s="249">
        <v>1914084.8680947369</v>
      </c>
      <c r="I23" s="249">
        <v>448890.17500568635</v>
      </c>
      <c r="J23" s="249">
        <v>190925.80920194066</v>
      </c>
      <c r="K23" s="249">
        <v>0</v>
      </c>
      <c r="L23" s="249">
        <v>726532.59202114865</v>
      </c>
      <c r="M23" s="249">
        <v>-268768.30364225997</v>
      </c>
      <c r="N23" s="249">
        <v>509493.03017371811</v>
      </c>
      <c r="O23" s="249">
        <v>712109.24596984859</v>
      </c>
      <c r="P23" s="249">
        <v>244067.87442438566</v>
      </c>
      <c r="Q23" s="249">
        <v>1029644.4568286424</v>
      </c>
      <c r="R23" s="249">
        <v>1734217.926705793</v>
      </c>
      <c r="S23" s="249">
        <v>1653357.5453455623</v>
      </c>
      <c r="T23" s="249">
        <v>117987.85961917683</v>
      </c>
      <c r="U23" s="249">
        <v>0</v>
      </c>
      <c r="V23" s="249">
        <v>0</v>
      </c>
      <c r="W23" s="249">
        <v>0</v>
      </c>
      <c r="X23" s="249">
        <v>0</v>
      </c>
      <c r="Y23" s="28">
        <f t="shared" si="17"/>
        <v>10067442.475348115</v>
      </c>
      <c r="Z23" s="28">
        <f>SUM(Y23,D23)</f>
        <v>44615503.995828174</v>
      </c>
      <c r="AB23" s="46">
        <f t="shared" si="18"/>
        <v>0</v>
      </c>
      <c r="AC23" s="47">
        <f>'Sch 95'!K26</f>
        <v>3735924.68230539</v>
      </c>
      <c r="AD23" s="48">
        <f>SUM(AB23:AC23)</f>
        <v>3735924.68230539</v>
      </c>
      <c r="AE23" s="48">
        <f>SUM(Z23,AD23)</f>
        <v>48351428.678133562</v>
      </c>
      <c r="AF23" s="49">
        <f>Z23/C23</f>
        <v>8.3190007097025745E-2</v>
      </c>
      <c r="AG23" s="49">
        <f>AE23/C23</f>
        <v>9.0156007097025745E-2</v>
      </c>
      <c r="AH23" s="50">
        <f>AD23/Z23</f>
        <v>8.3736018821052027E-2</v>
      </c>
    </row>
    <row r="24" spans="1:34" x14ac:dyDescent="0.2">
      <c r="A24" s="270">
        <f t="shared" si="4"/>
        <v>17</v>
      </c>
      <c r="B24" s="270" t="s">
        <v>103</v>
      </c>
      <c r="C24" s="4">
        <f>SUM(C22:C23)</f>
        <v>633512775.27266657</v>
      </c>
      <c r="D24" s="51">
        <f t="shared" ref="D24:W24" si="19">SUM(D22:D23)</f>
        <v>40835855.986625187</v>
      </c>
      <c r="E24" s="51">
        <f t="shared" si="19"/>
        <v>1231571.6739035018</v>
      </c>
      <c r="F24" s="51">
        <f t="shared" si="19"/>
        <v>0</v>
      </c>
      <c r="G24" s="51">
        <f t="shared" si="19"/>
        <v>0</v>
      </c>
      <c r="H24" s="51">
        <f t="shared" si="19"/>
        <v>2008664.6738465913</v>
      </c>
      <c r="I24" s="51">
        <f t="shared" si="19"/>
        <v>527820.08484176616</v>
      </c>
      <c r="J24" s="51">
        <f t="shared" si="19"/>
        <v>224461.30045002879</v>
      </c>
      <c r="K24" s="51">
        <f t="shared" si="19"/>
        <v>0</v>
      </c>
      <c r="L24" s="51">
        <f t="shared" si="19"/>
        <v>792645.25544770877</v>
      </c>
      <c r="M24" s="51">
        <f t="shared" si="19"/>
        <v>-294894.66446945997</v>
      </c>
      <c r="N24" s="51">
        <f t="shared" si="19"/>
        <v>601837.13650903327</v>
      </c>
      <c r="O24" s="51">
        <f t="shared" si="19"/>
        <v>841176.94275419787</v>
      </c>
      <c r="P24" s="51">
        <f t="shared" si="19"/>
        <v>287794.7061087013</v>
      </c>
      <c r="Q24" s="51">
        <f t="shared" si="19"/>
        <v>1085169.7621653168</v>
      </c>
      <c r="R24" s="51">
        <f t="shared" si="19"/>
        <v>2058953.8649860958</v>
      </c>
      <c r="S24" s="51">
        <f t="shared" si="19"/>
        <v>1960993.0795841604</v>
      </c>
      <c r="T24" s="51">
        <f t="shared" si="19"/>
        <v>148898.83416089285</v>
      </c>
      <c r="U24" s="51">
        <f t="shared" si="19"/>
        <v>0</v>
      </c>
      <c r="V24" s="51">
        <f t="shared" si="19"/>
        <v>0</v>
      </c>
      <c r="W24" s="51">
        <f t="shared" si="19"/>
        <v>0</v>
      </c>
      <c r="X24" s="51">
        <f t="shared" ref="X24" si="20">SUM(X22:X23)</f>
        <v>0</v>
      </c>
      <c r="Y24" s="51">
        <f t="shared" ref="Y24:Z24" si="21">SUM(Y22:Y23)</f>
        <v>11475092.650288533</v>
      </c>
      <c r="Z24" s="51">
        <f t="shared" si="21"/>
        <v>52310948.636913717</v>
      </c>
      <c r="AB24" s="52">
        <f t="shared" ref="AB24:AE24" si="22">SUM(AB22:AB23)</f>
        <v>0</v>
      </c>
      <c r="AC24" s="53">
        <f t="shared" si="22"/>
        <v>4469720.1125425417</v>
      </c>
      <c r="AD24" s="54">
        <f t="shared" si="22"/>
        <v>4469720.1125425417</v>
      </c>
      <c r="AE24" s="54">
        <f t="shared" si="22"/>
        <v>56780668.749456257</v>
      </c>
      <c r="AF24" s="55">
        <f>Z24/C24</f>
        <v>8.2572839378651619E-2</v>
      </c>
      <c r="AG24" s="55">
        <f>AE24/C24</f>
        <v>8.9628293170595674E-2</v>
      </c>
      <c r="AH24" s="56">
        <f>AD24/Z24</f>
        <v>8.5445212312369373E-2</v>
      </c>
    </row>
    <row r="25" spans="1:34" x14ac:dyDescent="0.2">
      <c r="A25" s="270">
        <f t="shared" si="4"/>
        <v>18</v>
      </c>
      <c r="B25" s="270"/>
      <c r="C25" s="7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28"/>
      <c r="Z25" s="28"/>
      <c r="AB25" s="46"/>
      <c r="AC25" s="47"/>
      <c r="AD25" s="48"/>
      <c r="AE25" s="48"/>
      <c r="AF25" s="49"/>
      <c r="AG25" s="49"/>
      <c r="AH25" s="50"/>
    </row>
    <row r="26" spans="1:34" x14ac:dyDescent="0.2">
      <c r="A26" s="270">
        <f t="shared" si="4"/>
        <v>19</v>
      </c>
      <c r="B26" s="270" t="s">
        <v>71</v>
      </c>
      <c r="C26" s="244">
        <v>67490752.881634608</v>
      </c>
      <c r="D26" s="249">
        <v>16841951.461265463</v>
      </c>
      <c r="E26" s="249">
        <v>143785.15847152899</v>
      </c>
      <c r="F26" s="249">
        <v>0</v>
      </c>
      <c r="G26" s="249">
        <v>0</v>
      </c>
      <c r="H26" s="249">
        <v>156781.01894403721</v>
      </c>
      <c r="I26" s="249">
        <v>234462.87551079862</v>
      </c>
      <c r="J26" s="249">
        <v>99683.842006174324</v>
      </c>
      <c r="K26" s="249">
        <v>0</v>
      </c>
      <c r="L26" s="249">
        <v>0</v>
      </c>
      <c r="M26" s="249">
        <v>0</v>
      </c>
      <c r="N26" s="249">
        <v>579543.09499459644</v>
      </c>
      <c r="O26" s="249">
        <v>133631.69070563652</v>
      </c>
      <c r="P26" s="249">
        <v>282853.74532693066</v>
      </c>
      <c r="Q26" s="249">
        <v>82541.190774239119</v>
      </c>
      <c r="R26" s="249">
        <v>2086071.6808184441</v>
      </c>
      <c r="S26" s="249">
        <v>1982608.3566508982</v>
      </c>
      <c r="T26" s="249">
        <v>0</v>
      </c>
      <c r="U26" s="249">
        <v>0</v>
      </c>
      <c r="V26" s="249">
        <v>0</v>
      </c>
      <c r="W26" s="249">
        <v>0</v>
      </c>
      <c r="X26" s="249">
        <v>-13255.030674169271</v>
      </c>
      <c r="Y26" s="28">
        <f t="shared" ref="Y26:Y28" si="23">SUM(E26:X26)</f>
        <v>5768707.6235291157</v>
      </c>
      <c r="Z26" s="28">
        <f>SUM(Y26,D26)</f>
        <v>22610659.084794581</v>
      </c>
      <c r="AB26" s="46">
        <f t="shared" ref="AB26:AB28" si="24">-F26</f>
        <v>0</v>
      </c>
      <c r="AC26" s="47">
        <f>'Sch 95'!K29</f>
        <v>546877.57059988531</v>
      </c>
      <c r="AD26" s="48">
        <f>SUM(AB26:AC26)</f>
        <v>546877.57059988531</v>
      </c>
      <c r="AE26" s="48">
        <f>SUM(Z26,AD26)</f>
        <v>23157536.655394465</v>
      </c>
      <c r="AF26" s="49">
        <f>Z26/C26</f>
        <v>0.33501862283932721</v>
      </c>
      <c r="AG26" s="49">
        <f>AE26/C26</f>
        <v>0.34312162283932718</v>
      </c>
      <c r="AH26" s="50">
        <f>AD26/Z26</f>
        <v>2.4186715148328181E-2</v>
      </c>
    </row>
    <row r="27" spans="1:34" x14ac:dyDescent="0.2">
      <c r="A27" s="270">
        <f t="shared" si="4"/>
        <v>20</v>
      </c>
      <c r="B27" s="270" t="s">
        <v>197</v>
      </c>
      <c r="C27" s="244">
        <v>1978304514.9769657</v>
      </c>
      <c r="D27" s="249">
        <v>9197506</v>
      </c>
      <c r="E27" s="249">
        <v>0</v>
      </c>
      <c r="F27" s="249">
        <v>0</v>
      </c>
      <c r="G27" s="249">
        <v>0</v>
      </c>
      <c r="H27" s="249">
        <v>2672689.3997338805</v>
      </c>
      <c r="I27" s="249">
        <v>108806.74832373312</v>
      </c>
      <c r="J27" s="249">
        <v>45501.003844470208</v>
      </c>
      <c r="K27" s="249">
        <v>0</v>
      </c>
      <c r="L27" s="249">
        <v>0</v>
      </c>
      <c r="M27" s="249">
        <v>0</v>
      </c>
      <c r="N27" s="249">
        <v>33631.176754608416</v>
      </c>
      <c r="O27" s="249">
        <v>0</v>
      </c>
      <c r="P27" s="249">
        <v>0</v>
      </c>
      <c r="Q27" s="249">
        <v>0</v>
      </c>
      <c r="R27" s="249">
        <v>99840</v>
      </c>
      <c r="S27" s="249">
        <v>95040</v>
      </c>
      <c r="T27" s="249">
        <v>0</v>
      </c>
      <c r="U27" s="249">
        <v>0</v>
      </c>
      <c r="V27" s="249">
        <v>0</v>
      </c>
      <c r="W27" s="249">
        <v>0</v>
      </c>
      <c r="X27" s="249">
        <v>0</v>
      </c>
      <c r="Y27" s="28">
        <f t="shared" si="23"/>
        <v>3055508.3286566921</v>
      </c>
      <c r="Z27" s="28">
        <f>SUM(Y27,D27)</f>
        <v>12253014.328656692</v>
      </c>
      <c r="AB27" s="46">
        <f t="shared" si="24"/>
        <v>0</v>
      </c>
      <c r="AC27" s="47">
        <v>0</v>
      </c>
      <c r="AD27" s="48">
        <f>SUM(AB27:AC27)</f>
        <v>0</v>
      </c>
      <c r="AE27" s="48">
        <f>SUM(Z27,AD27)</f>
        <v>12253014.328656692</v>
      </c>
      <c r="AF27" s="49">
        <f>Z27/C27</f>
        <v>6.1936947703924942E-3</v>
      </c>
      <c r="AG27" s="49">
        <f>AE27/C27</f>
        <v>6.1936947703924942E-3</v>
      </c>
      <c r="AH27" s="50">
        <f>AD27/Z27</f>
        <v>0</v>
      </c>
    </row>
    <row r="28" spans="1:34" x14ac:dyDescent="0.2">
      <c r="A28" s="270">
        <f t="shared" si="4"/>
        <v>21</v>
      </c>
      <c r="B28" s="21" t="s">
        <v>29</v>
      </c>
      <c r="C28" s="244">
        <v>304641655.46200001</v>
      </c>
      <c r="D28" s="249">
        <v>3297886.6134481477</v>
      </c>
      <c r="E28" s="249">
        <v>0</v>
      </c>
      <c r="F28" s="249">
        <v>0</v>
      </c>
      <c r="G28" s="249">
        <v>0</v>
      </c>
      <c r="H28" s="249">
        <v>1288938.8442597222</v>
      </c>
      <c r="I28" s="249">
        <v>187049.976453668</v>
      </c>
      <c r="J28" s="249">
        <v>19801.707605029998</v>
      </c>
      <c r="K28" s="249">
        <v>0</v>
      </c>
      <c r="L28" s="249">
        <v>0</v>
      </c>
      <c r="M28" s="249">
        <v>0</v>
      </c>
      <c r="N28" s="249">
        <v>156890.45256293003</v>
      </c>
      <c r="O28" s="249">
        <v>0</v>
      </c>
      <c r="P28" s="249">
        <v>0</v>
      </c>
      <c r="Q28" s="249">
        <v>0</v>
      </c>
      <c r="R28" s="249">
        <v>472499.20762156206</v>
      </c>
      <c r="S28" s="249">
        <v>449041.80015098804</v>
      </c>
      <c r="T28" s="249">
        <v>0</v>
      </c>
      <c r="U28" s="249">
        <v>0</v>
      </c>
      <c r="V28" s="249">
        <v>367397.83648717206</v>
      </c>
      <c r="W28" s="249">
        <v>0</v>
      </c>
      <c r="X28" s="249">
        <v>0</v>
      </c>
      <c r="Y28" s="28">
        <f t="shared" si="23"/>
        <v>2941619.8251410727</v>
      </c>
      <c r="Z28" s="28">
        <f>SUM(Y28,D28)</f>
        <v>6239506.4385892209</v>
      </c>
      <c r="AB28" s="46">
        <f t="shared" si="24"/>
        <v>0</v>
      </c>
      <c r="AC28" s="47">
        <v>0</v>
      </c>
      <c r="AD28" s="48">
        <f>SUM(AB28:AC28)</f>
        <v>0</v>
      </c>
      <c r="AE28" s="48">
        <f>SUM(Z28,AD28)</f>
        <v>6239506.4385892209</v>
      </c>
      <c r="AF28" s="49">
        <f>Z28/C28</f>
        <v>2.0481461831366381E-2</v>
      </c>
      <c r="AG28" s="49">
        <f>AE28/C28</f>
        <v>2.0481461831366381E-2</v>
      </c>
      <c r="AH28" s="50">
        <f>AD28/Z28</f>
        <v>0</v>
      </c>
    </row>
    <row r="29" spans="1:34" x14ac:dyDescent="0.2">
      <c r="A29" s="270">
        <f t="shared" si="4"/>
        <v>22</v>
      </c>
      <c r="B29" s="270"/>
      <c r="C29" s="5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28"/>
      <c r="Z29" s="28"/>
      <c r="AB29" s="46"/>
      <c r="AC29" s="47"/>
      <c r="AD29" s="48"/>
      <c r="AE29" s="48"/>
      <c r="AF29" s="49"/>
      <c r="AG29" s="49"/>
      <c r="AH29" s="50"/>
    </row>
    <row r="30" spans="1:34" ht="12" thickBot="1" x14ac:dyDescent="0.25">
      <c r="A30" s="270">
        <f t="shared" si="4"/>
        <v>23</v>
      </c>
      <c r="B30" s="270" t="s">
        <v>198</v>
      </c>
      <c r="C30" s="9">
        <f>SUM(C9,C15,C20,C24,C26:C28)</f>
        <v>23463042185.243912</v>
      </c>
      <c r="D30" s="58">
        <f t="shared" ref="D30:W30" si="25">SUM(D9,D15,D20,D24,D26:D28)</f>
        <v>2105017415.630167</v>
      </c>
      <c r="E30" s="58">
        <f t="shared" si="25"/>
        <v>45719317.558604971</v>
      </c>
      <c r="F30" s="58">
        <f t="shared" si="25"/>
        <v>0</v>
      </c>
      <c r="G30" s="58">
        <f t="shared" si="25"/>
        <v>0</v>
      </c>
      <c r="H30" s="58">
        <f t="shared" si="25"/>
        <v>100904337.77974883</v>
      </c>
      <c r="I30" s="58">
        <f t="shared" si="25"/>
        <v>28274086.703521628</v>
      </c>
      <c r="J30" s="58">
        <f t="shared" si="25"/>
        <v>11961162.515663303</v>
      </c>
      <c r="K30" s="58">
        <f t="shared" si="25"/>
        <v>0</v>
      </c>
      <c r="L30" s="58">
        <f t="shared" si="25"/>
        <v>3260827.6594630815</v>
      </c>
      <c r="M30" s="58">
        <f t="shared" si="25"/>
        <v>-1417531.3423638302</v>
      </c>
      <c r="N30" s="58">
        <f t="shared" si="25"/>
        <v>48393576.297146514</v>
      </c>
      <c r="O30" s="58">
        <f t="shared" si="25"/>
        <v>36443854.583500527</v>
      </c>
      <c r="P30" s="58">
        <f t="shared" si="25"/>
        <v>23448966.01524204</v>
      </c>
      <c r="Q30" s="58">
        <f t="shared" si="25"/>
        <v>51640659.154504389</v>
      </c>
      <c r="R30" s="58">
        <f t="shared" si="25"/>
        <v>160073718.12024859</v>
      </c>
      <c r="S30" s="58">
        <f t="shared" si="25"/>
        <v>152199732.81459284</v>
      </c>
      <c r="T30" s="58">
        <f t="shared" si="25"/>
        <v>6242363.3483888134</v>
      </c>
      <c r="U30" s="58">
        <f t="shared" si="25"/>
        <v>0</v>
      </c>
      <c r="V30" s="58">
        <f t="shared" si="25"/>
        <v>-30892324.303285185</v>
      </c>
      <c r="W30" s="58">
        <f t="shared" si="25"/>
        <v>0</v>
      </c>
      <c r="X30" s="58">
        <f t="shared" ref="X30" si="26">SUM(X9,X15,X20,X24,X26:X28)</f>
        <v>-88040391.97382392</v>
      </c>
      <c r="Y30" s="58">
        <f t="shared" ref="Y30:Z30" si="27">SUM(Y9,Y15,Y20,Y24,Y26:Y28)</f>
        <v>548212354.93115246</v>
      </c>
      <c r="Z30" s="58">
        <f t="shared" si="27"/>
        <v>2653229770.5613194</v>
      </c>
      <c r="AB30" s="59">
        <f t="shared" ref="AB30:AE30" si="28">SUM(AB9,AB15,AB20,AB24,AB26:AB28)</f>
        <v>0</v>
      </c>
      <c r="AC30" s="60">
        <f t="shared" si="28"/>
        <v>160842626.63212648</v>
      </c>
      <c r="AD30" s="61">
        <f t="shared" si="28"/>
        <v>160842626.63212648</v>
      </c>
      <c r="AE30" s="61">
        <f t="shared" si="28"/>
        <v>2814072397.1934466</v>
      </c>
      <c r="AF30" s="62">
        <f>Z30/C30</f>
        <v>0.11308123429236965</v>
      </c>
      <c r="AG30" s="62">
        <f>AE30/C30</f>
        <v>0.11993638228904684</v>
      </c>
      <c r="AH30" s="63">
        <f>AD30/Z30</f>
        <v>6.0621446516521821E-2</v>
      </c>
    </row>
    <row r="31" spans="1:34" ht="12" thickTop="1" x14ac:dyDescent="0.2">
      <c r="A31" s="270">
        <f t="shared" si="4"/>
        <v>24</v>
      </c>
      <c r="B31" s="270"/>
      <c r="C31" s="5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28"/>
      <c r="Z31" s="28"/>
      <c r="AB31" s="46"/>
      <c r="AC31" s="47"/>
      <c r="AD31" s="48"/>
      <c r="AE31" s="48"/>
      <c r="AF31" s="49"/>
      <c r="AG31" s="49"/>
      <c r="AH31" s="50"/>
    </row>
    <row r="32" spans="1:34" x14ac:dyDescent="0.2">
      <c r="A32" s="270">
        <f t="shared" si="4"/>
        <v>25</v>
      </c>
      <c r="B32" s="270">
        <v>5</v>
      </c>
      <c r="C32" s="245">
        <v>6782580.058544145</v>
      </c>
      <c r="D32" s="250">
        <v>309992.4415824787</v>
      </c>
      <c r="E32" s="250">
        <v>13819.732893147968</v>
      </c>
      <c r="F32" s="250">
        <v>0</v>
      </c>
      <c r="G32" s="250">
        <v>0</v>
      </c>
      <c r="H32" s="250">
        <v>0</v>
      </c>
      <c r="I32" s="250">
        <v>0</v>
      </c>
      <c r="J32" s="250">
        <v>0</v>
      </c>
      <c r="K32" s="250">
        <v>0</v>
      </c>
      <c r="L32" s="250">
        <v>0</v>
      </c>
      <c r="M32" s="250">
        <v>0</v>
      </c>
      <c r="N32" s="250">
        <v>0</v>
      </c>
      <c r="O32" s="250">
        <v>11096.300975778222</v>
      </c>
      <c r="P32" s="250">
        <v>6330.1732094742101</v>
      </c>
      <c r="Q32" s="250">
        <v>12900.467271350964</v>
      </c>
      <c r="R32" s="250">
        <v>37432.515102140642</v>
      </c>
      <c r="S32" s="250">
        <v>35602.515731389911</v>
      </c>
      <c r="T32" s="250">
        <v>0</v>
      </c>
      <c r="U32" s="250">
        <v>0</v>
      </c>
      <c r="V32" s="250">
        <v>0</v>
      </c>
      <c r="W32" s="250">
        <v>0</v>
      </c>
      <c r="X32" s="250">
        <v>0</v>
      </c>
      <c r="Y32" s="51">
        <f>SUM(E32:X32)</f>
        <v>117181.70518328193</v>
      </c>
      <c r="Z32" s="51">
        <f>SUM(Y32,D32)</f>
        <v>427174.14676576061</v>
      </c>
      <c r="AB32" s="64">
        <f>-F32</f>
        <v>0</v>
      </c>
      <c r="AC32" s="65">
        <f>'Sch 95'!K31</f>
        <v>54219.944988001887</v>
      </c>
      <c r="AD32" s="54">
        <f>SUM(AB32:AC32)</f>
        <v>54219.944988001887</v>
      </c>
      <c r="AE32" s="54">
        <f>SUM(Z32,AD32)</f>
        <v>481394.09175376251</v>
      </c>
      <c r="AF32" s="55">
        <f>Z32/C32</f>
        <v>6.2981069604573447E-2</v>
      </c>
      <c r="AG32" s="55">
        <f>AE32/C32</f>
        <v>7.0975069604573449E-2</v>
      </c>
      <c r="AH32" s="56">
        <f>AD32/Z32</f>
        <v>0.12692702823547325</v>
      </c>
    </row>
    <row r="33" spans="1:34" ht="12" thickBot="1" x14ac:dyDescent="0.25">
      <c r="A33" s="270">
        <f t="shared" si="4"/>
        <v>26</v>
      </c>
      <c r="B33" s="270"/>
      <c r="C33" s="5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28"/>
      <c r="Z33" s="28"/>
      <c r="AB33" s="46"/>
      <c r="AC33" s="47"/>
      <c r="AD33" s="66"/>
      <c r="AE33" s="66"/>
      <c r="AF33" s="67"/>
      <c r="AG33" s="67"/>
      <c r="AH33" s="68"/>
    </row>
    <row r="34" spans="1:34" ht="12" thickBot="1" x14ac:dyDescent="0.25">
      <c r="A34" s="270">
        <f t="shared" si="4"/>
        <v>27</v>
      </c>
      <c r="B34" s="270" t="s">
        <v>199</v>
      </c>
      <c r="C34" s="9">
        <f>SUM(C30,C32)</f>
        <v>23469824765.302456</v>
      </c>
      <c r="D34" s="58">
        <f t="shared" ref="D34:W34" si="29">SUM(D30,D32)</f>
        <v>2105327408.0717494</v>
      </c>
      <c r="E34" s="58">
        <f t="shared" si="29"/>
        <v>45733137.291498117</v>
      </c>
      <c r="F34" s="58">
        <f t="shared" si="29"/>
        <v>0</v>
      </c>
      <c r="G34" s="58">
        <f t="shared" si="29"/>
        <v>0</v>
      </c>
      <c r="H34" s="58">
        <f t="shared" si="29"/>
        <v>100904337.77974883</v>
      </c>
      <c r="I34" s="58">
        <f t="shared" si="29"/>
        <v>28274086.703521628</v>
      </c>
      <c r="J34" s="58">
        <f t="shared" si="29"/>
        <v>11961162.515663303</v>
      </c>
      <c r="K34" s="58">
        <f t="shared" si="29"/>
        <v>0</v>
      </c>
      <c r="L34" s="58">
        <f t="shared" si="29"/>
        <v>3260827.6594630815</v>
      </c>
      <c r="M34" s="58">
        <f t="shared" si="29"/>
        <v>-1417531.3423638302</v>
      </c>
      <c r="N34" s="58">
        <f t="shared" si="29"/>
        <v>48393576.297146514</v>
      </c>
      <c r="O34" s="58">
        <f t="shared" si="29"/>
        <v>36454950.884476304</v>
      </c>
      <c r="P34" s="58">
        <f t="shared" si="29"/>
        <v>23455296.188451514</v>
      </c>
      <c r="Q34" s="58">
        <f t="shared" si="29"/>
        <v>51653559.621775739</v>
      </c>
      <c r="R34" s="58">
        <f t="shared" si="29"/>
        <v>160111150.63535073</v>
      </c>
      <c r="S34" s="58">
        <f t="shared" si="29"/>
        <v>152235335.33032423</v>
      </c>
      <c r="T34" s="58">
        <f t="shared" si="29"/>
        <v>6242363.3483888134</v>
      </c>
      <c r="U34" s="58">
        <f t="shared" si="29"/>
        <v>0</v>
      </c>
      <c r="V34" s="58">
        <f t="shared" si="29"/>
        <v>-30892324.303285185</v>
      </c>
      <c r="W34" s="58">
        <f t="shared" si="29"/>
        <v>0</v>
      </c>
      <c r="X34" s="58">
        <f t="shared" ref="X34" si="30">SUM(X30,X32)</f>
        <v>-88040391.97382392</v>
      </c>
      <c r="Y34" s="58">
        <f t="shared" ref="Y34:Z34" si="31">SUM(Y30,Y32)</f>
        <v>548329536.63633573</v>
      </c>
      <c r="Z34" s="58">
        <f t="shared" si="31"/>
        <v>2653656944.7080851</v>
      </c>
      <c r="AB34" s="59">
        <f t="shared" ref="AB34:AE34" si="32">SUM(AB30,AB32)</f>
        <v>0</v>
      </c>
      <c r="AC34" s="60">
        <f t="shared" si="32"/>
        <v>160896846.57711449</v>
      </c>
      <c r="AD34" s="69">
        <f t="shared" si="32"/>
        <v>160896846.57711449</v>
      </c>
      <c r="AE34" s="69">
        <f t="shared" si="32"/>
        <v>2814553791.2852006</v>
      </c>
      <c r="AF34" s="67">
        <f>Z34/C34</f>
        <v>0.11306675577021026</v>
      </c>
      <c r="AG34" s="67">
        <f>AE34/C34</f>
        <v>0.11992223288544564</v>
      </c>
      <c r="AH34" s="70">
        <f>AD34/Z34</f>
        <v>6.0632120100518085E-2</v>
      </c>
    </row>
    <row r="35" spans="1:34" ht="12" thickTop="1" x14ac:dyDescent="0.2">
      <c r="A35" s="270">
        <f t="shared" si="4"/>
        <v>28</v>
      </c>
      <c r="AB35" s="71"/>
      <c r="AC35" s="72"/>
    </row>
    <row r="36" spans="1:34" x14ac:dyDescent="0.2">
      <c r="A36" s="270">
        <f t="shared" si="4"/>
        <v>29</v>
      </c>
      <c r="B36" s="10" t="s">
        <v>200</v>
      </c>
      <c r="C36" s="73">
        <f>-C27</f>
        <v>-1978304514.9769657</v>
      </c>
      <c r="D36" s="45">
        <f t="shared" ref="D36:W36" si="33">-D27</f>
        <v>-9197506</v>
      </c>
      <c r="E36" s="45">
        <f t="shared" si="33"/>
        <v>0</v>
      </c>
      <c r="F36" s="45">
        <f t="shared" si="33"/>
        <v>0</v>
      </c>
      <c r="G36" s="45">
        <f t="shared" si="33"/>
        <v>0</v>
      </c>
      <c r="H36" s="45">
        <f t="shared" si="33"/>
        <v>-2672689.3997338805</v>
      </c>
      <c r="I36" s="45">
        <f t="shared" si="33"/>
        <v>-108806.74832373312</v>
      </c>
      <c r="J36" s="45">
        <f t="shared" si="33"/>
        <v>-45501.003844470208</v>
      </c>
      <c r="K36" s="45">
        <f t="shared" si="33"/>
        <v>0</v>
      </c>
      <c r="L36" s="45">
        <f t="shared" si="33"/>
        <v>0</v>
      </c>
      <c r="M36" s="45">
        <f t="shared" si="33"/>
        <v>0</v>
      </c>
      <c r="N36" s="45">
        <f t="shared" si="33"/>
        <v>-33631.176754608416</v>
      </c>
      <c r="O36" s="45">
        <f t="shared" si="33"/>
        <v>0</v>
      </c>
      <c r="P36" s="45">
        <f t="shared" si="33"/>
        <v>0</v>
      </c>
      <c r="Q36" s="45">
        <f t="shared" si="33"/>
        <v>0</v>
      </c>
      <c r="R36" s="45">
        <f t="shared" si="33"/>
        <v>-99840</v>
      </c>
      <c r="S36" s="45">
        <f t="shared" si="33"/>
        <v>-95040</v>
      </c>
      <c r="T36" s="45">
        <f t="shared" si="33"/>
        <v>0</v>
      </c>
      <c r="U36" s="45">
        <f t="shared" si="33"/>
        <v>0</v>
      </c>
      <c r="V36" s="45">
        <f t="shared" si="33"/>
        <v>0</v>
      </c>
      <c r="W36" s="45">
        <f t="shared" si="33"/>
        <v>0</v>
      </c>
      <c r="X36" s="45">
        <f t="shared" ref="X36" si="34">-X27</f>
        <v>0</v>
      </c>
      <c r="Y36" s="45">
        <f t="shared" ref="Y36:Y37" si="35">SUM(E36:X36)</f>
        <v>-3055508.3286566921</v>
      </c>
      <c r="Z36" s="45">
        <f t="shared" ref="Z36:AC37" si="36">-Z27</f>
        <v>-12253014.328656692</v>
      </c>
      <c r="AB36" s="74">
        <f t="shared" si="36"/>
        <v>0</v>
      </c>
      <c r="AC36" s="75">
        <f t="shared" si="36"/>
        <v>0</v>
      </c>
    </row>
    <row r="37" spans="1:34" x14ac:dyDescent="0.2">
      <c r="A37" s="270">
        <f t="shared" si="4"/>
        <v>30</v>
      </c>
      <c r="B37" s="30" t="s">
        <v>201</v>
      </c>
      <c r="C37" s="73">
        <f>-C28</f>
        <v>-304641655.46200001</v>
      </c>
      <c r="D37" s="45">
        <f t="shared" ref="D37:W37" si="37">-D28</f>
        <v>-3297886.6134481477</v>
      </c>
      <c r="E37" s="45">
        <f t="shared" si="37"/>
        <v>0</v>
      </c>
      <c r="F37" s="45">
        <f t="shared" si="37"/>
        <v>0</v>
      </c>
      <c r="G37" s="45">
        <f t="shared" si="37"/>
        <v>0</v>
      </c>
      <c r="H37" s="45">
        <f t="shared" si="37"/>
        <v>-1288938.8442597222</v>
      </c>
      <c r="I37" s="45">
        <f t="shared" si="37"/>
        <v>-187049.976453668</v>
      </c>
      <c r="J37" s="45">
        <f t="shared" si="37"/>
        <v>-19801.707605029998</v>
      </c>
      <c r="K37" s="45">
        <f t="shared" si="37"/>
        <v>0</v>
      </c>
      <c r="L37" s="45">
        <f t="shared" si="37"/>
        <v>0</v>
      </c>
      <c r="M37" s="45">
        <f t="shared" si="37"/>
        <v>0</v>
      </c>
      <c r="N37" s="45">
        <f t="shared" si="37"/>
        <v>-156890.45256293003</v>
      </c>
      <c r="O37" s="45">
        <f t="shared" si="37"/>
        <v>0</v>
      </c>
      <c r="P37" s="45">
        <f t="shared" si="37"/>
        <v>0</v>
      </c>
      <c r="Q37" s="45">
        <f t="shared" si="37"/>
        <v>0</v>
      </c>
      <c r="R37" s="45">
        <f t="shared" si="37"/>
        <v>-472499.20762156206</v>
      </c>
      <c r="S37" s="45">
        <f t="shared" si="37"/>
        <v>-449041.80015098804</v>
      </c>
      <c r="T37" s="45">
        <f t="shared" si="37"/>
        <v>0</v>
      </c>
      <c r="U37" s="45">
        <f t="shared" si="37"/>
        <v>0</v>
      </c>
      <c r="V37" s="45">
        <f t="shared" si="37"/>
        <v>-367397.83648717206</v>
      </c>
      <c r="W37" s="45">
        <f t="shared" si="37"/>
        <v>0</v>
      </c>
      <c r="X37" s="45">
        <f t="shared" ref="X37" si="38">-X28</f>
        <v>0</v>
      </c>
      <c r="Y37" s="45">
        <f t="shared" si="35"/>
        <v>-2941619.8251410727</v>
      </c>
      <c r="Z37" s="45">
        <f t="shared" si="36"/>
        <v>-6239506.4385892209</v>
      </c>
      <c r="AB37" s="74">
        <f t="shared" si="36"/>
        <v>0</v>
      </c>
      <c r="AC37" s="75">
        <f t="shared" si="36"/>
        <v>0</v>
      </c>
    </row>
    <row r="38" spans="1:34" ht="12" thickBot="1" x14ac:dyDescent="0.25">
      <c r="A38" s="270">
        <f t="shared" si="4"/>
        <v>31</v>
      </c>
      <c r="B38" s="10" t="s">
        <v>202</v>
      </c>
      <c r="C38" s="9">
        <f>SUM(C34:C37)</f>
        <v>21186878594.863487</v>
      </c>
      <c r="D38" s="58">
        <f t="shared" ref="D38:W38" si="39">SUM(D34:D37)</f>
        <v>2092832015.4583013</v>
      </c>
      <c r="E38" s="58">
        <f t="shared" si="39"/>
        <v>45733137.291498117</v>
      </c>
      <c r="F38" s="58">
        <f t="shared" si="39"/>
        <v>0</v>
      </c>
      <c r="G38" s="58">
        <f t="shared" si="39"/>
        <v>0</v>
      </c>
      <c r="H38" s="58">
        <f t="shared" si="39"/>
        <v>96942709.535755217</v>
      </c>
      <c r="I38" s="58">
        <f t="shared" si="39"/>
        <v>27978229.978744224</v>
      </c>
      <c r="J38" s="58">
        <f t="shared" si="39"/>
        <v>11895859.804213803</v>
      </c>
      <c r="K38" s="58">
        <f t="shared" si="39"/>
        <v>0</v>
      </c>
      <c r="L38" s="58">
        <f t="shared" si="39"/>
        <v>3260827.6594630815</v>
      </c>
      <c r="M38" s="58">
        <f t="shared" si="39"/>
        <v>-1417531.3423638302</v>
      </c>
      <c r="N38" s="58">
        <f t="shared" si="39"/>
        <v>48203054.667828977</v>
      </c>
      <c r="O38" s="58">
        <f t="shared" si="39"/>
        <v>36454950.884476304</v>
      </c>
      <c r="P38" s="58">
        <f t="shared" si="39"/>
        <v>23455296.188451514</v>
      </c>
      <c r="Q38" s="58">
        <f t="shared" si="39"/>
        <v>51653559.621775739</v>
      </c>
      <c r="R38" s="58">
        <f t="shared" si="39"/>
        <v>159538811.42772916</v>
      </c>
      <c r="S38" s="58">
        <f t="shared" si="39"/>
        <v>151691253.53017324</v>
      </c>
      <c r="T38" s="58">
        <f t="shared" si="39"/>
        <v>6242363.3483888134</v>
      </c>
      <c r="U38" s="58">
        <f t="shared" si="39"/>
        <v>0</v>
      </c>
      <c r="V38" s="58">
        <f t="shared" si="39"/>
        <v>-31259722.139772356</v>
      </c>
      <c r="W38" s="58">
        <f t="shared" si="39"/>
        <v>0</v>
      </c>
      <c r="X38" s="58">
        <f t="shared" ref="X38" si="40">SUM(X34:X37)</f>
        <v>-88040391.97382392</v>
      </c>
      <c r="Y38" s="58">
        <f>SUM(Y34:Y37)</f>
        <v>542332408.48253798</v>
      </c>
      <c r="Z38" s="58">
        <f>SUM(Z34:Z37)</f>
        <v>2635164423.9408393</v>
      </c>
      <c r="AB38" s="76">
        <f>SUM(AB34:AB37)</f>
        <v>0</v>
      </c>
      <c r="AC38" s="77">
        <f>SUM(AC34:AC37)</f>
        <v>160896846.57711449</v>
      </c>
    </row>
    <row r="39" spans="1:34" ht="12.75" thickTop="1" thickBot="1" x14ac:dyDescent="0.25">
      <c r="AB39" s="78"/>
      <c r="AC39" s="79"/>
    </row>
    <row r="40" spans="1:34" s="246" customFormat="1" x14ac:dyDescent="0.2">
      <c r="B40" s="246" t="s">
        <v>203</v>
      </c>
      <c r="C40" s="247">
        <v>0</v>
      </c>
      <c r="D40" s="247">
        <v>0</v>
      </c>
      <c r="E40" s="247">
        <v>0</v>
      </c>
      <c r="F40" s="247">
        <v>0</v>
      </c>
      <c r="G40" s="247">
        <v>0</v>
      </c>
      <c r="H40" s="247">
        <v>0</v>
      </c>
      <c r="I40" s="247">
        <v>0</v>
      </c>
      <c r="J40" s="247">
        <v>0</v>
      </c>
      <c r="K40" s="247">
        <v>0</v>
      </c>
      <c r="L40" s="247">
        <v>0</v>
      </c>
      <c r="M40" s="247">
        <v>0</v>
      </c>
      <c r="N40" s="247">
        <v>0</v>
      </c>
      <c r="O40" s="247">
        <v>0</v>
      </c>
      <c r="P40" s="247">
        <v>0</v>
      </c>
      <c r="Q40" s="247">
        <v>0</v>
      </c>
      <c r="R40" s="247">
        <v>0</v>
      </c>
      <c r="S40" s="247">
        <v>0</v>
      </c>
      <c r="T40" s="247">
        <v>0</v>
      </c>
      <c r="U40" s="247">
        <v>0</v>
      </c>
      <c r="V40" s="247">
        <v>0</v>
      </c>
      <c r="W40" s="247">
        <v>0</v>
      </c>
      <c r="X40" s="247">
        <v>0</v>
      </c>
      <c r="Y40" s="247">
        <v>0</v>
      </c>
      <c r="Z40" s="247">
        <v>0</v>
      </c>
      <c r="AA40" s="247"/>
      <c r="AB40" s="248"/>
      <c r="AC40" s="248"/>
      <c r="AD40" s="248"/>
      <c r="AE40" s="248"/>
      <c r="AF40" s="248"/>
      <c r="AG40" s="248"/>
      <c r="AH40" s="248"/>
    </row>
    <row r="41" spans="1:34" x14ac:dyDescent="0.2">
      <c r="AC41" s="248" t="s">
        <v>204</v>
      </c>
      <c r="AD41" s="251">
        <f>SUM(AB34:AC34)-AD34</f>
        <v>0</v>
      </c>
    </row>
    <row r="42" spans="1:34" x14ac:dyDescent="0.2">
      <c r="B42" s="285" t="s">
        <v>368</v>
      </c>
      <c r="AB42" s="80"/>
      <c r="AC42" s="248" t="s">
        <v>204</v>
      </c>
      <c r="AD42" s="251">
        <f>AB38+'Sch 95'!J33</f>
        <v>0</v>
      </c>
    </row>
    <row r="43" spans="1:34" x14ac:dyDescent="0.2">
      <c r="AC43" s="248" t="s">
        <v>204</v>
      </c>
      <c r="AD43" s="251">
        <f>AC38-'Sch 95'!K33</f>
        <v>0</v>
      </c>
    </row>
  </sheetData>
  <mergeCells count="1">
    <mergeCell ref="A4:B4"/>
  </mergeCells>
  <printOptions horizontalCentered="1"/>
  <pageMargins left="0.25" right="0.25" top="0.75" bottom="0.75" header="0.3" footer="0.3"/>
  <pageSetup scale="60" fitToWidth="0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  <pageSetUpPr fitToPage="1"/>
  </sheetPr>
  <dimension ref="A1:K32"/>
  <sheetViews>
    <sheetView workbookViewId="0">
      <pane xSplit="1" ySplit="4" topLeftCell="B5" activePane="bottomRight" state="frozen"/>
      <selection activeCell="J37" sqref="J37"/>
      <selection pane="topRight" activeCell="J37" sqref="J37"/>
      <selection pane="bottomLeft" activeCell="J37" sqref="J37"/>
      <selection pane="bottomRight" activeCell="D8" sqref="D8"/>
    </sheetView>
  </sheetViews>
  <sheetFormatPr defaultColWidth="9.140625" defaultRowHeight="11.25" x14ac:dyDescent="0.2"/>
  <cols>
    <col min="1" max="1" width="4.140625" style="81" customWidth="1"/>
    <col min="2" max="2" width="37" style="81" bestFit="1" customWidth="1"/>
    <col min="3" max="3" width="18.85546875" style="81" bestFit="1" customWidth="1"/>
    <col min="4" max="4" width="11.140625" style="81" customWidth="1"/>
    <col min="5" max="6" width="11.5703125" style="81" bestFit="1" customWidth="1"/>
    <col min="7" max="7" width="14.140625" style="81" customWidth="1"/>
    <col min="8" max="8" width="11.5703125" style="81" customWidth="1"/>
    <col min="9" max="9" width="0.5703125" style="81" customWidth="1"/>
    <col min="10" max="10" width="10.85546875" style="81" bestFit="1" customWidth="1"/>
    <col min="11" max="16384" width="9.140625" style="81"/>
  </cols>
  <sheetData>
    <row r="1" spans="1:11" x14ac:dyDescent="0.2">
      <c r="A1" s="434" t="str">
        <f>'Sch 95'!A1</f>
        <v>Puget Sound Energy</v>
      </c>
      <c r="B1" s="435"/>
      <c r="C1" s="435"/>
      <c r="D1" s="436"/>
      <c r="E1" s="436"/>
      <c r="F1" s="436"/>
      <c r="G1" s="436"/>
      <c r="H1" s="436"/>
    </row>
    <row r="2" spans="1:11" x14ac:dyDescent="0.2">
      <c r="A2" s="434" t="str">
        <f>'Sch 95'!A2</f>
        <v>Electric Schedule 95 (2024 Variable Power Cost Recovery)</v>
      </c>
      <c r="B2" s="435"/>
      <c r="C2" s="435"/>
      <c r="D2" s="436"/>
      <c r="E2" s="436"/>
      <c r="F2" s="436"/>
      <c r="G2" s="436"/>
      <c r="H2" s="436"/>
    </row>
    <row r="3" spans="1:11" x14ac:dyDescent="0.2">
      <c r="A3" s="434" t="str">
        <f>'Sch 95'!A3</f>
        <v>Proposed Impacts of Rate Change Effective January 1, 2024</v>
      </c>
      <c r="B3" s="435"/>
      <c r="C3" s="435"/>
      <c r="D3" s="436"/>
      <c r="E3" s="436"/>
      <c r="F3" s="436"/>
      <c r="G3" s="436"/>
      <c r="H3" s="436"/>
    </row>
    <row r="4" spans="1:11" s="84" customFormat="1" ht="12" thickBot="1" x14ac:dyDescent="0.25">
      <c r="A4" s="82"/>
      <c r="B4" s="81"/>
      <c r="C4" s="83"/>
      <c r="D4" s="81"/>
      <c r="E4" s="81"/>
      <c r="F4" s="81"/>
      <c r="G4" s="81"/>
      <c r="H4" s="81"/>
    </row>
    <row r="5" spans="1:11" s="84" customFormat="1" ht="68.25" thickBot="1" x14ac:dyDescent="0.25">
      <c r="A5" s="85" t="s">
        <v>20</v>
      </c>
      <c r="B5" s="86" t="s">
        <v>11</v>
      </c>
      <c r="C5" s="87" t="s">
        <v>72</v>
      </c>
      <c r="D5" s="87" t="s">
        <v>205</v>
      </c>
      <c r="E5" s="87" t="s">
        <v>336</v>
      </c>
      <c r="F5" s="87" t="str">
        <f>E5</f>
        <v>2024 Variable PC Recovery</v>
      </c>
      <c r="G5" s="87" t="str">
        <f>'Sch 95'!D5</f>
        <v>F2023 kWh
January 2024
to December 2024</v>
      </c>
      <c r="H5" s="88" t="s">
        <v>337</v>
      </c>
    </row>
    <row r="6" spans="1:11" s="84" customFormat="1" x14ac:dyDescent="0.2">
      <c r="A6" s="89"/>
      <c r="B6" s="90"/>
      <c r="C6" s="90"/>
      <c r="D6" s="90" t="s">
        <v>19</v>
      </c>
      <c r="E6" s="90" t="s">
        <v>206</v>
      </c>
      <c r="F6" s="91" t="s">
        <v>207</v>
      </c>
      <c r="G6" s="90" t="s">
        <v>208</v>
      </c>
      <c r="H6" s="92" t="s">
        <v>209</v>
      </c>
    </row>
    <row r="7" spans="1:11" s="84" customFormat="1" x14ac:dyDescent="0.2">
      <c r="A7" s="93"/>
      <c r="H7" s="94"/>
    </row>
    <row r="8" spans="1:11" x14ac:dyDescent="0.2">
      <c r="A8" s="95">
        <v>1</v>
      </c>
      <c r="B8" s="81" t="s">
        <v>0</v>
      </c>
      <c r="C8" s="284" t="str">
        <f>'Sch 95'!C8</f>
        <v>7 / 7BDR / 307 / 317 / 327</v>
      </c>
      <c r="D8" s="252">
        <f>'2022 GRC PCA Costs'!E10</f>
        <v>0.54885899999999999</v>
      </c>
      <c r="E8" s="97"/>
      <c r="F8" s="98">
        <f t="shared" ref="F8:F15" si="0">+D8*($E$24)</f>
        <v>88307656.757767156</v>
      </c>
      <c r="G8" s="99">
        <f>+'Sch 95'!D8</f>
        <v>11231237165.043671</v>
      </c>
      <c r="H8" s="100">
        <f>ROUND(F8/G8,6)</f>
        <v>7.8630000000000002E-3</v>
      </c>
      <c r="J8" s="101"/>
      <c r="K8" s="102"/>
    </row>
    <row r="9" spans="1:11" x14ac:dyDescent="0.2">
      <c r="A9" s="95">
        <f t="shared" ref="A9:A28" si="1">+A8+1</f>
        <v>2</v>
      </c>
      <c r="B9" s="103" t="s">
        <v>1</v>
      </c>
      <c r="C9" s="284" t="str">
        <f>'Sch 95'!C12</f>
        <v>8 / 24 / 324</v>
      </c>
      <c r="D9" s="252">
        <f>'2022 GRC PCA Costs'!F10</f>
        <v>0.128857</v>
      </c>
      <c r="E9" s="97"/>
      <c r="F9" s="98">
        <f t="shared" si="0"/>
        <v>20732209.414140247</v>
      </c>
      <c r="G9" s="99">
        <f>+'Sch 95'!D12</f>
        <v>2762363777.023735</v>
      </c>
      <c r="H9" s="100">
        <f t="shared" ref="H9:H24" si="2">ROUND(F9/G9,6)</f>
        <v>7.5050000000000004E-3</v>
      </c>
      <c r="J9" s="101"/>
      <c r="K9" s="102"/>
    </row>
    <row r="10" spans="1:11" x14ac:dyDescent="0.2">
      <c r="A10" s="95">
        <f t="shared" si="1"/>
        <v>3</v>
      </c>
      <c r="B10" s="81" t="s">
        <v>2</v>
      </c>
      <c r="C10" s="96" t="s">
        <v>210</v>
      </c>
      <c r="D10" s="252">
        <f>'2022 GRC PCA Costs'!G10*'2022 GRC Load Research - Energy'!L27</f>
        <v>0.13847452677956959</v>
      </c>
      <c r="E10" s="97"/>
      <c r="F10" s="98">
        <f t="shared" si="0"/>
        <v>22279603.651474182</v>
      </c>
      <c r="G10" s="99">
        <f>+'Sch 95'!D13</f>
        <v>2961290332.0764241</v>
      </c>
      <c r="H10" s="100">
        <f t="shared" si="2"/>
        <v>7.5240000000000003E-3</v>
      </c>
      <c r="J10" s="101"/>
      <c r="K10" s="102"/>
    </row>
    <row r="11" spans="1:11" x14ac:dyDescent="0.2">
      <c r="A11" s="95">
        <f t="shared" si="1"/>
        <v>4</v>
      </c>
      <c r="B11" s="81" t="s">
        <v>3</v>
      </c>
      <c r="C11" s="96" t="s">
        <v>211</v>
      </c>
      <c r="D11" s="252">
        <f>'2022 GRC PCA Costs'!H10</f>
        <v>8.5643999999999998E-2</v>
      </c>
      <c r="E11" s="97"/>
      <c r="F11" s="98">
        <f t="shared" si="0"/>
        <v>13779533.460073007</v>
      </c>
      <c r="G11" s="99">
        <f>+'Sch 95'!D14</f>
        <v>1964892733.640949</v>
      </c>
      <c r="H11" s="100">
        <f t="shared" si="2"/>
        <v>7.0130000000000001E-3</v>
      </c>
      <c r="J11" s="101"/>
      <c r="K11" s="102"/>
    </row>
    <row r="12" spans="1:11" x14ac:dyDescent="0.2">
      <c r="A12" s="95">
        <f t="shared" si="1"/>
        <v>5</v>
      </c>
      <c r="B12" s="81" t="s">
        <v>4</v>
      </c>
      <c r="C12" s="83">
        <v>29</v>
      </c>
      <c r="D12" s="252">
        <f>'2022 GRC PCA Costs'!G10*'2022 GRC Load Research - Energy'!L29</f>
        <v>7.3947322043039078E-4</v>
      </c>
      <c r="E12" s="97"/>
      <c r="F12" s="98">
        <f t="shared" si="0"/>
        <v>118976.18027822745</v>
      </c>
      <c r="G12" s="99">
        <f>+'Sch 95'!D15</f>
        <v>15040573.846487813</v>
      </c>
      <c r="H12" s="100">
        <f t="shared" si="2"/>
        <v>7.9100000000000004E-3</v>
      </c>
      <c r="J12" s="101"/>
      <c r="K12" s="102"/>
    </row>
    <row r="13" spans="1:11" x14ac:dyDescent="0.2">
      <c r="A13" s="95">
        <f t="shared" si="1"/>
        <v>6</v>
      </c>
      <c r="B13" s="81" t="s">
        <v>5</v>
      </c>
      <c r="C13" s="96" t="s">
        <v>212</v>
      </c>
      <c r="D13" s="252">
        <f>'2022 GRC PCA Costs'!I10</f>
        <v>6.0525000000000002E-2</v>
      </c>
      <c r="E13" s="97"/>
      <c r="F13" s="98">
        <f t="shared" si="0"/>
        <v>9738058.2722773198</v>
      </c>
      <c r="G13" s="99">
        <f>+'Sch 95'!D19</f>
        <v>1416593830.9637725</v>
      </c>
      <c r="H13" s="100">
        <f t="shared" si="2"/>
        <v>6.8739999999999999E-3</v>
      </c>
      <c r="J13" s="101"/>
      <c r="K13" s="102"/>
    </row>
    <row r="14" spans="1:11" x14ac:dyDescent="0.2">
      <c r="A14" s="95">
        <f t="shared" si="1"/>
        <v>7</v>
      </c>
      <c r="B14" s="81" t="s">
        <v>6</v>
      </c>
      <c r="C14" s="83">
        <v>35</v>
      </c>
      <c r="D14" s="252">
        <f>'2022 GRC PCA Costs'!J10</f>
        <v>2.03E-4</v>
      </c>
      <c r="E14" s="97"/>
      <c r="F14" s="98">
        <f t="shared" si="0"/>
        <v>32661.310686035453</v>
      </c>
      <c r="G14" s="99">
        <f>+'Sch 95'!D20</f>
        <v>4440266.6219169199</v>
      </c>
      <c r="H14" s="100">
        <f t="shared" si="2"/>
        <v>7.3559999999999997E-3</v>
      </c>
      <c r="J14" s="101"/>
      <c r="K14" s="102"/>
    </row>
    <row r="15" spans="1:11" x14ac:dyDescent="0.2">
      <c r="A15" s="95">
        <f t="shared" si="1"/>
        <v>8</v>
      </c>
      <c r="B15" s="81" t="s">
        <v>7</v>
      </c>
      <c r="C15" s="83">
        <v>43</v>
      </c>
      <c r="D15" s="252">
        <f>'2022 GRC PCA Costs'!K10</f>
        <v>5.1799999999999997E-3</v>
      </c>
      <c r="E15" s="97"/>
      <c r="F15" s="98">
        <f t="shared" si="0"/>
        <v>833426.54854021501</v>
      </c>
      <c r="G15" s="99">
        <f>+'Sch 95'!D21</f>
        <v>123233807.4336848</v>
      </c>
      <c r="H15" s="100">
        <f t="shared" si="2"/>
        <v>6.7629999999999999E-3</v>
      </c>
      <c r="J15" s="101"/>
      <c r="K15" s="102"/>
    </row>
    <row r="16" spans="1:11" x14ac:dyDescent="0.2">
      <c r="A16" s="95">
        <f t="shared" si="1"/>
        <v>9</v>
      </c>
      <c r="B16" s="103"/>
      <c r="C16" s="83"/>
      <c r="D16" s="252"/>
      <c r="E16" s="97"/>
      <c r="F16" s="98"/>
      <c r="G16" s="99"/>
      <c r="H16" s="100"/>
      <c r="J16" s="101"/>
      <c r="K16" s="102"/>
    </row>
    <row r="17" spans="1:11" x14ac:dyDescent="0.2">
      <c r="A17" s="95">
        <f t="shared" si="1"/>
        <v>10</v>
      </c>
      <c r="B17" s="104" t="s">
        <v>69</v>
      </c>
      <c r="C17" s="83">
        <v>46</v>
      </c>
      <c r="D17" s="252">
        <f>'2022 GRC PCA Costs'!M10*'2022 GRC Load Research - Energy'!L34</f>
        <v>4.5608179760822905E-3</v>
      </c>
      <c r="E17" s="97"/>
      <c r="F17" s="98">
        <f>+D17*($E$24)</f>
        <v>733804.39851861622</v>
      </c>
      <c r="G17" s="99">
        <f>+'Sch 95'!D25</f>
        <v>97204322.458226442</v>
      </c>
      <c r="H17" s="100">
        <f t="shared" si="2"/>
        <v>7.5490000000000002E-3</v>
      </c>
      <c r="J17" s="101"/>
      <c r="K17" s="102"/>
    </row>
    <row r="18" spans="1:11" x14ac:dyDescent="0.2">
      <c r="A18" s="95">
        <f t="shared" si="1"/>
        <v>11</v>
      </c>
      <c r="B18" s="104" t="s">
        <v>70</v>
      </c>
      <c r="C18" s="83">
        <v>49</v>
      </c>
      <c r="D18" s="252">
        <f>'2022 GRC PCA Costs'!M10*'2022 GRC Load Research - Energy'!L35</f>
        <v>2.3221182023917701E-2</v>
      </c>
      <c r="E18" s="97"/>
      <c r="F18" s="98">
        <f>+D18*($E$24)</f>
        <v>3736129.2639416629</v>
      </c>
      <c r="G18" s="99">
        <f>+'Sch 95'!D26</f>
        <v>536308452.81444013</v>
      </c>
      <c r="H18" s="100">
        <f t="shared" si="2"/>
        <v>6.966E-3</v>
      </c>
      <c r="J18" s="101"/>
      <c r="K18" s="102"/>
    </row>
    <row r="19" spans="1:11" x14ac:dyDescent="0.2">
      <c r="A19" s="95">
        <f t="shared" si="1"/>
        <v>12</v>
      </c>
      <c r="B19" s="103"/>
      <c r="C19" s="96"/>
      <c r="D19" s="252"/>
      <c r="E19" s="97"/>
      <c r="F19" s="98"/>
      <c r="G19" s="99"/>
      <c r="H19" s="100"/>
      <c r="J19" s="101"/>
      <c r="K19" s="102"/>
    </row>
    <row r="20" spans="1:11" x14ac:dyDescent="0.2">
      <c r="A20" s="95">
        <f t="shared" si="1"/>
        <v>13</v>
      </c>
      <c r="B20" s="81" t="s">
        <v>8</v>
      </c>
      <c r="C20" s="83" t="s">
        <v>71</v>
      </c>
      <c r="D20" s="252">
        <f>'2022 GRC PCA Costs'!O10</f>
        <v>3.3990000000000005E-3</v>
      </c>
      <c r="E20" s="97"/>
      <c r="F20" s="98">
        <f>+D20*($E$24)</f>
        <v>546875.83754598291</v>
      </c>
      <c r="G20" s="99">
        <f>+'Sch 95'!D29</f>
        <v>67490752.881634608</v>
      </c>
      <c r="H20" s="100">
        <f t="shared" si="2"/>
        <v>8.1030000000000008E-3</v>
      </c>
      <c r="J20" s="101"/>
      <c r="K20" s="102"/>
    </row>
    <row r="21" spans="1:11" x14ac:dyDescent="0.2">
      <c r="A21" s="95">
        <f t="shared" si="1"/>
        <v>14</v>
      </c>
      <c r="C21" s="83"/>
      <c r="D21" s="253"/>
      <c r="F21" s="98"/>
      <c r="H21" s="100"/>
      <c r="J21" s="101"/>
      <c r="K21" s="102"/>
    </row>
    <row r="22" spans="1:11" x14ac:dyDescent="0.2">
      <c r="A22" s="95">
        <f t="shared" si="1"/>
        <v>15</v>
      </c>
      <c r="B22" s="81" t="s">
        <v>12</v>
      </c>
      <c r="C22" s="83">
        <v>5</v>
      </c>
      <c r="D22" s="252">
        <f>'2022 GRC PCA Costs'!P10</f>
        <v>3.3700000000000001E-4</v>
      </c>
      <c r="E22" s="97"/>
      <c r="F22" s="98">
        <f>+D22*($E$24)</f>
        <v>54220.99360194063</v>
      </c>
      <c r="G22" s="99">
        <f>+'Sch 95'!D31</f>
        <v>6782580.058544145</v>
      </c>
      <c r="H22" s="100">
        <f t="shared" si="2"/>
        <v>7.9939999999999994E-3</v>
      </c>
      <c r="J22" s="101"/>
      <c r="K22" s="102"/>
    </row>
    <row r="23" spans="1:11" x14ac:dyDescent="0.2">
      <c r="A23" s="95">
        <f t="shared" si="1"/>
        <v>16</v>
      </c>
      <c r="C23" s="83"/>
      <c r="F23" s="98"/>
      <c r="H23" s="100"/>
      <c r="J23" s="101"/>
      <c r="K23" s="102"/>
    </row>
    <row r="24" spans="1:11" x14ac:dyDescent="0.2">
      <c r="A24" s="95">
        <f t="shared" si="1"/>
        <v>17</v>
      </c>
      <c r="B24" s="81" t="s">
        <v>9</v>
      </c>
      <c r="C24" s="83"/>
      <c r="D24" s="97">
        <f>SUM(D8:D22)</f>
        <v>1</v>
      </c>
      <c r="E24" s="273">
        <f>'2024 Variable PC Deficiency'!G26</f>
        <v>160893156.0888446</v>
      </c>
      <c r="F24" s="98">
        <f>SUM(F8:F22)</f>
        <v>160893156.0888446</v>
      </c>
      <c r="G24" s="99">
        <f>SUM(G8:G22)</f>
        <v>21186878594.863487</v>
      </c>
      <c r="H24" s="100">
        <f t="shared" si="2"/>
        <v>7.5940000000000001E-3</v>
      </c>
      <c r="J24" s="101"/>
      <c r="K24" s="102"/>
    </row>
    <row r="25" spans="1:11" x14ac:dyDescent="0.2">
      <c r="A25" s="95">
        <f t="shared" si="1"/>
        <v>18</v>
      </c>
      <c r="C25" s="83"/>
      <c r="F25" s="98"/>
      <c r="H25" s="105"/>
    </row>
    <row r="26" spans="1:11" x14ac:dyDescent="0.2">
      <c r="A26" s="95">
        <f t="shared" si="1"/>
        <v>19</v>
      </c>
      <c r="B26" s="103" t="s">
        <v>213</v>
      </c>
      <c r="C26" s="96" t="s">
        <v>82</v>
      </c>
      <c r="D26" s="97"/>
      <c r="E26" s="97"/>
      <c r="F26" s="98"/>
      <c r="G26" s="99">
        <v>0</v>
      </c>
      <c r="H26" s="106"/>
    </row>
    <row r="27" spans="1:11" x14ac:dyDescent="0.2">
      <c r="A27" s="95">
        <f t="shared" si="1"/>
        <v>20</v>
      </c>
      <c r="B27" s="103"/>
      <c r="C27" s="96"/>
      <c r="D27" s="97"/>
      <c r="E27" s="97"/>
      <c r="F27" s="98"/>
      <c r="G27" s="99"/>
      <c r="H27" s="106"/>
    </row>
    <row r="28" spans="1:11" x14ac:dyDescent="0.2">
      <c r="A28" s="95">
        <f t="shared" si="1"/>
        <v>21</v>
      </c>
      <c r="B28" s="81" t="s">
        <v>10</v>
      </c>
      <c r="C28" s="83"/>
      <c r="D28" s="97"/>
      <c r="E28" s="98"/>
      <c r="F28" s="98"/>
      <c r="G28" s="99">
        <f>SUM(G24:G27)</f>
        <v>21186878594.863487</v>
      </c>
      <c r="H28" s="106"/>
    </row>
    <row r="29" spans="1:11" ht="12" thickBot="1" x14ac:dyDescent="0.25">
      <c r="A29" s="107"/>
      <c r="B29" s="108"/>
      <c r="C29" s="109"/>
      <c r="D29" s="108"/>
      <c r="E29" s="108"/>
      <c r="F29" s="108"/>
      <c r="G29" s="108"/>
      <c r="H29" s="110"/>
    </row>
    <row r="31" spans="1:11" x14ac:dyDescent="0.2">
      <c r="B31" s="103"/>
      <c r="G31" s="111">
        <f>+'Sch 95'!D33</f>
        <v>21186878594.863487</v>
      </c>
    </row>
    <row r="32" spans="1:11" x14ac:dyDescent="0.2">
      <c r="C32" s="254" t="s">
        <v>204</v>
      </c>
      <c r="D32" s="254"/>
      <c r="E32" s="254"/>
      <c r="F32" s="254"/>
      <c r="G32" s="255">
        <f>+G28-G31</f>
        <v>0</v>
      </c>
      <c r="H32" s="99"/>
    </row>
  </sheetData>
  <mergeCells count="3">
    <mergeCell ref="A1:H1"/>
    <mergeCell ref="A2:H2"/>
    <mergeCell ref="A3:H3"/>
  </mergeCells>
  <printOptions horizontalCentered="1"/>
  <pageMargins left="0" right="0" top="1" bottom="0.93" header="0.5" footer="0.5"/>
  <pageSetup orientation="landscape" r:id="rId1"/>
  <headerFooter alignWithMargins="0">
    <oddFooter>&amp;L&amp;F
&amp;A&amp;RSchedule 95 Update
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A1:N93"/>
  <sheetViews>
    <sheetView tabSelected="1" zoomScaleNormal="100" workbookViewId="0">
      <pane ySplit="1" topLeftCell="A33" activePane="bottomLeft" state="frozen"/>
      <selection activeCell="J37" sqref="J37"/>
      <selection pane="bottomLeft" activeCell="F32" sqref="F32"/>
    </sheetView>
  </sheetViews>
  <sheetFormatPr defaultColWidth="8.5703125" defaultRowHeight="11.25" x14ac:dyDescent="0.2"/>
  <cols>
    <col min="1" max="1" width="21.42578125" style="36" customWidth="1"/>
    <col min="2" max="2" width="7.7109375" style="36" bestFit="1" customWidth="1"/>
    <col min="3" max="3" width="12.85546875" style="36" bestFit="1" customWidth="1"/>
    <col min="4" max="4" width="9.85546875" style="36" bestFit="1" customWidth="1"/>
    <col min="5" max="5" width="10.5703125" style="36" bestFit="1" customWidth="1"/>
    <col min="6" max="6" width="10.140625" style="36" bestFit="1" customWidth="1"/>
    <col min="7" max="7" width="2" style="36" customWidth="1"/>
    <col min="8" max="8" width="7.140625" style="36" customWidth="1"/>
    <col min="9" max="9" width="9.28515625" style="36" bestFit="1" customWidth="1"/>
    <col min="10" max="10" width="9" style="36" bestFit="1" customWidth="1"/>
    <col min="11" max="11" width="9.140625" style="36" bestFit="1" customWidth="1"/>
    <col min="12" max="13" width="9" style="36" customWidth="1"/>
    <col min="14" max="14" width="4" style="36" customWidth="1"/>
    <col min="15" max="16384" width="8.5703125" style="36"/>
  </cols>
  <sheetData>
    <row r="1" spans="1:14" s="80" customFormat="1" x14ac:dyDescent="0.2">
      <c r="A1" s="112" t="s">
        <v>14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s="80" customFormat="1" x14ac:dyDescent="0.2">
      <c r="A2" s="112" t="s">
        <v>214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x14ac:dyDescent="0.2">
      <c r="A3" s="277" t="str">
        <f>'Revenue Impacts Sch 95'!A3</f>
        <v>Proposed Impacts of Rate Change Effective January 1, 2024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5" spans="1:14" x14ac:dyDescent="0.2">
      <c r="C5" s="441" t="s">
        <v>215</v>
      </c>
      <c r="D5" s="441"/>
      <c r="E5" s="441"/>
      <c r="F5" s="441"/>
      <c r="H5" s="441" t="s">
        <v>216</v>
      </c>
      <c r="I5" s="441"/>
      <c r="J5" s="441"/>
      <c r="K5" s="441"/>
      <c r="L5" s="115"/>
      <c r="M5" s="115"/>
    </row>
    <row r="6" spans="1:14" ht="22.5" x14ac:dyDescent="0.2">
      <c r="A6" s="116" t="s">
        <v>217</v>
      </c>
      <c r="B6" s="116" t="s">
        <v>21</v>
      </c>
      <c r="C6" s="116" t="s">
        <v>218</v>
      </c>
      <c r="D6" s="116" t="s">
        <v>219</v>
      </c>
      <c r="E6" s="116" t="s">
        <v>220</v>
      </c>
      <c r="F6" s="116" t="s">
        <v>221</v>
      </c>
      <c r="H6" s="116" t="s">
        <v>218</v>
      </c>
      <c r="I6" s="116" t="s">
        <v>219</v>
      </c>
      <c r="J6" s="116" t="s">
        <v>220</v>
      </c>
      <c r="K6" s="116" t="s">
        <v>221</v>
      </c>
      <c r="L6" s="117" t="s">
        <v>222</v>
      </c>
      <c r="M6" s="116" t="s">
        <v>223</v>
      </c>
    </row>
    <row r="7" spans="1:14" x14ac:dyDescent="0.2">
      <c r="A7" s="416" t="s">
        <v>429</v>
      </c>
      <c r="B7" s="118">
        <f t="shared" ref="B7:B18" si="0">ROUND(+E79,0)</f>
        <v>1100</v>
      </c>
      <c r="C7" s="417">
        <f t="shared" ref="C7:C18" si="1">ROUND(+$E$27,2)</f>
        <v>7.49</v>
      </c>
      <c r="D7" s="417">
        <f t="shared" ref="D7:D18" si="2">ROUND(IF($B7&gt;600,600*$E$73,$B7*$E$46),2)</f>
        <v>67.77</v>
      </c>
      <c r="E7" s="417">
        <f t="shared" ref="E7:E18" si="3">ROUND(IF($B7&gt;600,($B7-600)*$E$74,0),2)</f>
        <v>66.180000000000007</v>
      </c>
      <c r="F7" s="119">
        <f t="shared" ref="F7:F18" si="4">SUM(C7:E7)</f>
        <v>141.44</v>
      </c>
      <c r="H7" s="417">
        <f t="shared" ref="H7:H18" si="5">ROUND(+$F$27,2)</f>
        <v>7.49</v>
      </c>
      <c r="I7" s="417">
        <f t="shared" ref="I7:I18" si="6">ROUND(IF($B7&gt;600,600*$F$73,$B7*$F$46),2)</f>
        <v>72.489999999999995</v>
      </c>
      <c r="J7" s="417">
        <f t="shared" ref="J7:J18" si="7">ROUND(IF($B7&gt;600,($B7-600)*$F$74,0),2)</f>
        <v>70.12</v>
      </c>
      <c r="K7" s="119">
        <f t="shared" ref="K7:K18" si="8">SUM(H7:J7)</f>
        <v>150.1</v>
      </c>
      <c r="L7" s="119">
        <f t="shared" ref="L7:L18" si="9">+K7-F7</f>
        <v>8.6599999999999966</v>
      </c>
      <c r="M7" s="418">
        <f t="shared" ref="M7:M18" si="10">+L7/F7</f>
        <v>6.1227375565610836E-2</v>
      </c>
    </row>
    <row r="8" spans="1:14" x14ac:dyDescent="0.2">
      <c r="A8" s="416" t="s">
        <v>430</v>
      </c>
      <c r="B8" s="118">
        <f t="shared" si="0"/>
        <v>992</v>
      </c>
      <c r="C8" s="417">
        <f t="shared" si="1"/>
        <v>7.49</v>
      </c>
      <c r="D8" s="417">
        <f t="shared" si="2"/>
        <v>67.77</v>
      </c>
      <c r="E8" s="417">
        <f t="shared" si="3"/>
        <v>51.89</v>
      </c>
      <c r="F8" s="119">
        <f t="shared" si="4"/>
        <v>127.14999999999999</v>
      </c>
      <c r="H8" s="417">
        <f t="shared" si="5"/>
        <v>7.49</v>
      </c>
      <c r="I8" s="417">
        <f t="shared" si="6"/>
        <v>72.489999999999995</v>
      </c>
      <c r="J8" s="417">
        <f t="shared" si="7"/>
        <v>54.97</v>
      </c>
      <c r="K8" s="119">
        <f t="shared" si="8"/>
        <v>134.94999999999999</v>
      </c>
      <c r="L8" s="119">
        <f t="shared" si="9"/>
        <v>7.7999999999999972</v>
      </c>
      <c r="M8" s="418">
        <f t="shared" si="10"/>
        <v>6.1344868265827746E-2</v>
      </c>
    </row>
    <row r="9" spans="1:14" x14ac:dyDescent="0.2">
      <c r="A9" s="416" t="s">
        <v>431</v>
      </c>
      <c r="B9" s="118">
        <f t="shared" si="0"/>
        <v>959</v>
      </c>
      <c r="C9" s="417">
        <f t="shared" si="1"/>
        <v>7.49</v>
      </c>
      <c r="D9" s="417">
        <f t="shared" si="2"/>
        <v>67.77</v>
      </c>
      <c r="E9" s="417">
        <f t="shared" si="3"/>
        <v>47.52</v>
      </c>
      <c r="F9" s="119">
        <f t="shared" si="4"/>
        <v>122.78</v>
      </c>
      <c r="H9" s="417">
        <f t="shared" si="5"/>
        <v>7.49</v>
      </c>
      <c r="I9" s="417">
        <f t="shared" si="6"/>
        <v>72.489999999999995</v>
      </c>
      <c r="J9" s="417">
        <f t="shared" si="7"/>
        <v>50.34</v>
      </c>
      <c r="K9" s="119">
        <f t="shared" si="8"/>
        <v>130.32</v>
      </c>
      <c r="L9" s="119">
        <f t="shared" si="9"/>
        <v>7.539999999999992</v>
      </c>
      <c r="M9" s="418">
        <f t="shared" si="10"/>
        <v>6.141065320084698E-2</v>
      </c>
    </row>
    <row r="10" spans="1:14" x14ac:dyDescent="0.2">
      <c r="A10" s="416" t="s">
        <v>432</v>
      </c>
      <c r="B10" s="118">
        <f t="shared" si="0"/>
        <v>803</v>
      </c>
      <c r="C10" s="417">
        <f t="shared" si="1"/>
        <v>7.49</v>
      </c>
      <c r="D10" s="417">
        <f t="shared" si="2"/>
        <v>67.77</v>
      </c>
      <c r="E10" s="417">
        <f t="shared" si="3"/>
        <v>26.87</v>
      </c>
      <c r="F10" s="119">
        <f t="shared" si="4"/>
        <v>102.13</v>
      </c>
      <c r="H10" s="417">
        <f t="shared" si="5"/>
        <v>7.49</v>
      </c>
      <c r="I10" s="417">
        <f t="shared" si="6"/>
        <v>72.489999999999995</v>
      </c>
      <c r="J10" s="417">
        <f t="shared" si="7"/>
        <v>28.47</v>
      </c>
      <c r="K10" s="119">
        <f t="shared" si="8"/>
        <v>108.44999999999999</v>
      </c>
      <c r="L10" s="119">
        <f t="shared" si="9"/>
        <v>6.3199999999999932</v>
      </c>
      <c r="M10" s="418">
        <f t="shared" si="10"/>
        <v>6.1881915206109799E-2</v>
      </c>
    </row>
    <row r="11" spans="1:14" x14ac:dyDescent="0.2">
      <c r="A11" s="416" t="s">
        <v>433</v>
      </c>
      <c r="B11" s="118">
        <f t="shared" si="0"/>
        <v>700</v>
      </c>
      <c r="C11" s="417">
        <f t="shared" si="1"/>
        <v>7.49</v>
      </c>
      <c r="D11" s="417">
        <f t="shared" si="2"/>
        <v>67.77</v>
      </c>
      <c r="E11" s="417">
        <f t="shared" si="3"/>
        <v>13.24</v>
      </c>
      <c r="F11" s="119">
        <f t="shared" si="4"/>
        <v>88.499999999999986</v>
      </c>
      <c r="H11" s="417">
        <f t="shared" si="5"/>
        <v>7.49</v>
      </c>
      <c r="I11" s="417">
        <f t="shared" si="6"/>
        <v>72.489999999999995</v>
      </c>
      <c r="J11" s="417">
        <f t="shared" si="7"/>
        <v>14.02</v>
      </c>
      <c r="K11" s="119">
        <f t="shared" si="8"/>
        <v>93.999999999999986</v>
      </c>
      <c r="L11" s="119">
        <f t="shared" si="9"/>
        <v>5.5</v>
      </c>
      <c r="M11" s="418">
        <f t="shared" si="10"/>
        <v>6.2146892655367242E-2</v>
      </c>
    </row>
    <row r="12" spans="1:14" x14ac:dyDescent="0.2">
      <c r="A12" s="416" t="s">
        <v>434</v>
      </c>
      <c r="B12" s="118">
        <f t="shared" si="0"/>
        <v>669</v>
      </c>
      <c r="C12" s="417">
        <f t="shared" si="1"/>
        <v>7.49</v>
      </c>
      <c r="D12" s="417">
        <f t="shared" si="2"/>
        <v>67.77</v>
      </c>
      <c r="E12" s="417">
        <f t="shared" si="3"/>
        <v>9.1300000000000008</v>
      </c>
      <c r="F12" s="119">
        <f t="shared" si="4"/>
        <v>84.389999999999986</v>
      </c>
      <c r="H12" s="417">
        <f t="shared" si="5"/>
        <v>7.49</v>
      </c>
      <c r="I12" s="417">
        <f t="shared" si="6"/>
        <v>72.489999999999995</v>
      </c>
      <c r="J12" s="417">
        <f t="shared" si="7"/>
        <v>9.68</v>
      </c>
      <c r="K12" s="119">
        <f t="shared" si="8"/>
        <v>89.66</v>
      </c>
      <c r="L12" s="119">
        <f t="shared" si="9"/>
        <v>5.2700000000000102</v>
      </c>
      <c r="M12" s="418">
        <f t="shared" si="10"/>
        <v>6.2448157364616792E-2</v>
      </c>
    </row>
    <row r="13" spans="1:14" x14ac:dyDescent="0.2">
      <c r="A13" s="416" t="s">
        <v>435</v>
      </c>
      <c r="B13" s="118">
        <f t="shared" si="0"/>
        <v>745</v>
      </c>
      <c r="C13" s="417">
        <f t="shared" si="1"/>
        <v>7.49</v>
      </c>
      <c r="D13" s="417">
        <f t="shared" si="2"/>
        <v>67.77</v>
      </c>
      <c r="E13" s="417">
        <f t="shared" si="3"/>
        <v>19.190000000000001</v>
      </c>
      <c r="F13" s="119">
        <f t="shared" si="4"/>
        <v>94.449999999999989</v>
      </c>
      <c r="H13" s="417">
        <f t="shared" si="5"/>
        <v>7.49</v>
      </c>
      <c r="I13" s="417">
        <f t="shared" si="6"/>
        <v>72.489999999999995</v>
      </c>
      <c r="J13" s="417">
        <f t="shared" si="7"/>
        <v>20.329999999999998</v>
      </c>
      <c r="K13" s="119">
        <f t="shared" si="8"/>
        <v>100.30999999999999</v>
      </c>
      <c r="L13" s="119">
        <f t="shared" si="9"/>
        <v>5.8599999999999994</v>
      </c>
      <c r="M13" s="418">
        <f t="shared" si="10"/>
        <v>6.2043409211222873E-2</v>
      </c>
    </row>
    <row r="14" spans="1:14" x14ac:dyDescent="0.2">
      <c r="A14" s="416" t="s">
        <v>436</v>
      </c>
      <c r="B14" s="118">
        <f t="shared" si="0"/>
        <v>750</v>
      </c>
      <c r="C14" s="417">
        <f t="shared" si="1"/>
        <v>7.49</v>
      </c>
      <c r="D14" s="417">
        <f t="shared" si="2"/>
        <v>67.77</v>
      </c>
      <c r="E14" s="417">
        <f t="shared" si="3"/>
        <v>19.86</v>
      </c>
      <c r="F14" s="119">
        <f t="shared" si="4"/>
        <v>95.11999999999999</v>
      </c>
      <c r="H14" s="417">
        <f t="shared" si="5"/>
        <v>7.49</v>
      </c>
      <c r="I14" s="417">
        <f t="shared" si="6"/>
        <v>72.489999999999995</v>
      </c>
      <c r="J14" s="417">
        <f t="shared" si="7"/>
        <v>21.03</v>
      </c>
      <c r="K14" s="119">
        <f t="shared" si="8"/>
        <v>101.00999999999999</v>
      </c>
      <c r="L14" s="119">
        <f t="shared" si="9"/>
        <v>5.8900000000000006</v>
      </c>
      <c r="M14" s="418">
        <f t="shared" si="10"/>
        <v>6.1921783010933568E-2</v>
      </c>
    </row>
    <row r="15" spans="1:14" x14ac:dyDescent="0.2">
      <c r="A15" s="416" t="s">
        <v>437</v>
      </c>
      <c r="B15" s="118">
        <f t="shared" si="0"/>
        <v>685</v>
      </c>
      <c r="C15" s="417">
        <f t="shared" si="1"/>
        <v>7.49</v>
      </c>
      <c r="D15" s="417">
        <f t="shared" si="2"/>
        <v>67.77</v>
      </c>
      <c r="E15" s="417">
        <f t="shared" si="3"/>
        <v>11.25</v>
      </c>
      <c r="F15" s="119">
        <f t="shared" si="4"/>
        <v>86.509999999999991</v>
      </c>
      <c r="H15" s="417">
        <f t="shared" si="5"/>
        <v>7.49</v>
      </c>
      <c r="I15" s="417">
        <f t="shared" si="6"/>
        <v>72.489999999999995</v>
      </c>
      <c r="J15" s="417">
        <f t="shared" si="7"/>
        <v>11.92</v>
      </c>
      <c r="K15" s="119">
        <f t="shared" si="8"/>
        <v>91.899999999999991</v>
      </c>
      <c r="L15" s="119">
        <f t="shared" si="9"/>
        <v>5.3900000000000006</v>
      </c>
      <c r="M15" s="418">
        <f t="shared" si="10"/>
        <v>6.2304935845566997E-2</v>
      </c>
    </row>
    <row r="16" spans="1:14" x14ac:dyDescent="0.2">
      <c r="A16" s="416" t="s">
        <v>438</v>
      </c>
      <c r="B16" s="118">
        <f t="shared" si="0"/>
        <v>800</v>
      </c>
      <c r="C16" s="417">
        <f t="shared" si="1"/>
        <v>7.49</v>
      </c>
      <c r="D16" s="417">
        <f t="shared" si="2"/>
        <v>67.77</v>
      </c>
      <c r="E16" s="417">
        <f t="shared" si="3"/>
        <v>26.47</v>
      </c>
      <c r="F16" s="119">
        <f t="shared" si="4"/>
        <v>101.72999999999999</v>
      </c>
      <c r="H16" s="417">
        <f t="shared" si="5"/>
        <v>7.49</v>
      </c>
      <c r="I16" s="417">
        <f t="shared" si="6"/>
        <v>72.489999999999995</v>
      </c>
      <c r="J16" s="417">
        <f t="shared" si="7"/>
        <v>28.05</v>
      </c>
      <c r="K16" s="119">
        <f t="shared" si="8"/>
        <v>108.02999999999999</v>
      </c>
      <c r="L16" s="119">
        <f t="shared" si="9"/>
        <v>6.2999999999999972</v>
      </c>
      <c r="M16" s="418">
        <f t="shared" si="10"/>
        <v>6.1928634621055717E-2</v>
      </c>
    </row>
    <row r="17" spans="1:13" x14ac:dyDescent="0.2">
      <c r="A17" s="416" t="s">
        <v>439</v>
      </c>
      <c r="B17" s="118">
        <f t="shared" si="0"/>
        <v>964</v>
      </c>
      <c r="C17" s="417">
        <f t="shared" si="1"/>
        <v>7.49</v>
      </c>
      <c r="D17" s="417">
        <f t="shared" si="2"/>
        <v>67.77</v>
      </c>
      <c r="E17" s="417">
        <f t="shared" si="3"/>
        <v>48.18</v>
      </c>
      <c r="F17" s="119">
        <f t="shared" si="4"/>
        <v>123.44</v>
      </c>
      <c r="H17" s="417">
        <f t="shared" si="5"/>
        <v>7.49</v>
      </c>
      <c r="I17" s="417">
        <f t="shared" si="6"/>
        <v>72.489999999999995</v>
      </c>
      <c r="J17" s="417">
        <f t="shared" si="7"/>
        <v>51.04</v>
      </c>
      <c r="K17" s="119">
        <f t="shared" si="8"/>
        <v>131.01999999999998</v>
      </c>
      <c r="L17" s="119">
        <f t="shared" si="9"/>
        <v>7.5799999999999841</v>
      </c>
      <c r="M17" s="418">
        <f t="shared" si="10"/>
        <v>6.1406351263771745E-2</v>
      </c>
    </row>
    <row r="18" spans="1:13" x14ac:dyDescent="0.2">
      <c r="A18" s="416" t="s">
        <v>440</v>
      </c>
      <c r="B18" s="118">
        <f t="shared" si="0"/>
        <v>1157</v>
      </c>
      <c r="C18" s="417">
        <f t="shared" si="1"/>
        <v>7.49</v>
      </c>
      <c r="D18" s="417">
        <f t="shared" si="2"/>
        <v>67.77</v>
      </c>
      <c r="E18" s="417">
        <f t="shared" si="3"/>
        <v>73.73</v>
      </c>
      <c r="F18" s="119">
        <f t="shared" si="4"/>
        <v>148.99</v>
      </c>
      <c r="H18" s="417">
        <f t="shared" si="5"/>
        <v>7.49</v>
      </c>
      <c r="I18" s="417">
        <f t="shared" si="6"/>
        <v>72.489999999999995</v>
      </c>
      <c r="J18" s="417">
        <f t="shared" si="7"/>
        <v>78.11</v>
      </c>
      <c r="K18" s="119">
        <f t="shared" si="8"/>
        <v>158.08999999999997</v>
      </c>
      <c r="L18" s="119">
        <f t="shared" si="9"/>
        <v>9.0999999999999659</v>
      </c>
      <c r="M18" s="418">
        <f t="shared" si="10"/>
        <v>6.1077924692932176E-2</v>
      </c>
    </row>
    <row r="19" spans="1:13" x14ac:dyDescent="0.2">
      <c r="A19" s="399"/>
      <c r="C19" s="417"/>
      <c r="H19" s="417"/>
      <c r="M19" s="418"/>
    </row>
    <row r="20" spans="1:13" ht="12" thickBot="1" x14ac:dyDescent="0.25">
      <c r="A20" s="120" t="s">
        <v>224</v>
      </c>
      <c r="B20" s="121">
        <f>SUM(B7:B19)</f>
        <v>10324</v>
      </c>
      <c r="C20" s="419">
        <f>SUM(C7:C19)</f>
        <v>89.88</v>
      </c>
      <c r="D20" s="419">
        <f>SUM(D7:D19)</f>
        <v>813.2399999999999</v>
      </c>
      <c r="E20" s="419">
        <f>SUM(E7:E19)</f>
        <v>413.51000000000005</v>
      </c>
      <c r="F20" s="419">
        <f>SUM(F7:F19)</f>
        <v>1316.6299999999999</v>
      </c>
      <c r="H20" s="419">
        <f>SUM(H7:H19)</f>
        <v>89.88</v>
      </c>
      <c r="I20" s="419">
        <f>SUM(I7:I19)</f>
        <v>869.88</v>
      </c>
      <c r="J20" s="419">
        <f>SUM(J7:J19)</f>
        <v>438.0800000000001</v>
      </c>
      <c r="K20" s="419">
        <f>SUM(K7:K19)</f>
        <v>1397.8399999999997</v>
      </c>
      <c r="L20" s="419">
        <f>+K20-F20</f>
        <v>81.209999999999809</v>
      </c>
      <c r="M20" s="420">
        <f>+L20/F20</f>
        <v>6.168019868907728E-2</v>
      </c>
    </row>
    <row r="21" spans="1:13" ht="12" thickTop="1" x14ac:dyDescent="0.2">
      <c r="M21" s="418"/>
    </row>
    <row r="22" spans="1:13" ht="12" thickBot="1" x14ac:dyDescent="0.25">
      <c r="A22" s="122" t="s">
        <v>225</v>
      </c>
      <c r="B22" s="121">
        <f>ROUND(AVERAGE(B7:B18),-2)</f>
        <v>900</v>
      </c>
      <c r="C22" s="123">
        <f>ROUND(+$E$27,2)</f>
        <v>7.49</v>
      </c>
      <c r="D22" s="123">
        <f>ROUND(IF($B22&gt;600,600*$E$73,$B22*$E$46),2)</f>
        <v>67.77</v>
      </c>
      <c r="E22" s="123">
        <f>ROUND(IF($B22&gt;600,($B22-600)*$E$74,0),2)</f>
        <v>39.71</v>
      </c>
      <c r="F22" s="123">
        <f>SUM(C22:E22)</f>
        <v>114.97</v>
      </c>
      <c r="H22" s="123">
        <f>ROUND(+$F$27,2)</f>
        <v>7.49</v>
      </c>
      <c r="I22" s="123">
        <f>ROUND(IF($B22&gt;600,600*$F$73,$B22*$F$46),2)</f>
        <v>72.489999999999995</v>
      </c>
      <c r="J22" s="123">
        <f>ROUND(IF($B22&gt;600,($B22-600)*$F$74,0),2)</f>
        <v>42.07</v>
      </c>
      <c r="K22" s="123">
        <f>SUM(H22:J22)</f>
        <v>122.04999999999998</v>
      </c>
      <c r="L22" s="123">
        <f>+K22-F22</f>
        <v>7.0799999999999841</v>
      </c>
      <c r="M22" s="420">
        <f>+L22/F22</f>
        <v>6.1581282073584279E-2</v>
      </c>
    </row>
    <row r="23" spans="1:13" ht="12.75" thickTop="1" thickBot="1" x14ac:dyDescent="0.25">
      <c r="A23" s="122" t="s">
        <v>225</v>
      </c>
      <c r="B23" s="421">
        <v>800</v>
      </c>
      <c r="C23" s="123">
        <f>ROUND(+$E$27,2)</f>
        <v>7.49</v>
      </c>
      <c r="D23" s="123">
        <f>ROUND(IF($B23&gt;600,600*$E$73,$B23*$E$46),2)</f>
        <v>67.77</v>
      </c>
      <c r="E23" s="123">
        <f>ROUND(IF($B23&gt;600,($B23-600)*$E$74,0),2)</f>
        <v>26.47</v>
      </c>
      <c r="F23" s="123">
        <f>SUM(C23:E23)</f>
        <v>101.72999999999999</v>
      </c>
      <c r="H23" s="123">
        <f>ROUND(+$F$27,2)</f>
        <v>7.49</v>
      </c>
      <c r="I23" s="123">
        <f>ROUND(IF($B23&gt;600,600*$F$73,$B23*$F$46),2)</f>
        <v>72.489999999999995</v>
      </c>
      <c r="J23" s="123">
        <f>ROUND(IF($B23&gt;600,($B23-600)*$F$74,0),2)</f>
        <v>28.05</v>
      </c>
      <c r="K23" s="123">
        <f>SUM(H23:J23)</f>
        <v>108.02999999999999</v>
      </c>
      <c r="L23" s="123">
        <f>+K23-F23</f>
        <v>6.2999999999999972</v>
      </c>
      <c r="M23" s="422">
        <f>+L23/F23</f>
        <v>6.1928634621055717E-2</v>
      </c>
    </row>
    <row r="24" spans="1:13" ht="12" thickTop="1" x14ac:dyDescent="0.2"/>
    <row r="25" spans="1:13" ht="45" x14ac:dyDescent="0.2">
      <c r="A25" s="124" t="s">
        <v>226</v>
      </c>
      <c r="B25" s="125"/>
      <c r="C25" s="125"/>
      <c r="D25" s="125"/>
      <c r="E25" s="278" t="s">
        <v>441</v>
      </c>
      <c r="F25" s="278" t="s">
        <v>442</v>
      </c>
    </row>
    <row r="26" spans="1:13" x14ac:dyDescent="0.2">
      <c r="A26" s="437" t="s">
        <v>227</v>
      </c>
      <c r="B26" s="437"/>
      <c r="C26" s="437"/>
      <c r="D26" s="437"/>
      <c r="E26" s="126"/>
      <c r="F26" s="126"/>
    </row>
    <row r="27" spans="1:13" x14ac:dyDescent="0.2">
      <c r="A27" s="439" t="s">
        <v>228</v>
      </c>
      <c r="B27" s="439"/>
      <c r="C27" s="439"/>
      <c r="D27" s="439"/>
      <c r="E27" s="279">
        <v>7.49</v>
      </c>
      <c r="F27" s="127">
        <f>E27</f>
        <v>7.49</v>
      </c>
      <c r="G27" s="36" t="s">
        <v>229</v>
      </c>
    </row>
    <row r="28" spans="1:13" ht="12" thickBot="1" x14ac:dyDescent="0.25">
      <c r="A28" s="438" t="s">
        <v>230</v>
      </c>
      <c r="B28" s="438"/>
      <c r="C28" s="438"/>
      <c r="D28" s="438"/>
      <c r="E28" s="128">
        <f>SUM(E27)</f>
        <v>7.49</v>
      </c>
      <c r="F28" s="128">
        <f>SUM(F27:F27)</f>
        <v>7.49</v>
      </c>
    </row>
    <row r="29" spans="1:13" ht="12" thickTop="1" x14ac:dyDescent="0.2">
      <c r="A29" s="437" t="s">
        <v>231</v>
      </c>
      <c r="B29" s="437"/>
      <c r="C29" s="437"/>
      <c r="D29" s="437"/>
      <c r="E29" s="129"/>
      <c r="F29" s="129"/>
    </row>
    <row r="30" spans="1:13" x14ac:dyDescent="0.2">
      <c r="A30" s="439" t="s">
        <v>232</v>
      </c>
      <c r="B30" s="439"/>
      <c r="C30" s="439"/>
      <c r="D30" s="439"/>
      <c r="E30" s="280">
        <v>8.9437000000000003E-2</v>
      </c>
      <c r="F30" s="130">
        <f>E30</f>
        <v>8.9437000000000003E-2</v>
      </c>
      <c r="G30" s="36" t="s">
        <v>233</v>
      </c>
    </row>
    <row r="31" spans="1:13" x14ac:dyDescent="0.2">
      <c r="A31" s="440" t="s">
        <v>249</v>
      </c>
      <c r="B31" s="440"/>
      <c r="C31" s="440"/>
      <c r="D31" s="440"/>
      <c r="E31" s="281">
        <f>'Sch 95'!F8</f>
        <v>0</v>
      </c>
      <c r="F31" s="282">
        <f>'Sch 95'!G8</f>
        <v>7.8630000000000002E-3</v>
      </c>
      <c r="G31" s="283" t="s">
        <v>233</v>
      </c>
    </row>
    <row r="32" spans="1:13" x14ac:dyDescent="0.2">
      <c r="A32" s="439" t="s">
        <v>250</v>
      </c>
      <c r="B32" s="439"/>
      <c r="C32" s="439"/>
      <c r="D32" s="439"/>
      <c r="E32" s="280">
        <v>2.1350000000000002E-3</v>
      </c>
      <c r="F32" s="130">
        <f>E32</f>
        <v>2.1350000000000002E-3</v>
      </c>
      <c r="G32" s="36" t="s">
        <v>233</v>
      </c>
    </row>
    <row r="33" spans="1:9" x14ac:dyDescent="0.2">
      <c r="A33" s="439" t="s">
        <v>252</v>
      </c>
      <c r="B33" s="439"/>
      <c r="C33" s="439"/>
      <c r="D33" s="439"/>
      <c r="E33" s="280">
        <v>5.0439999999999999E-3</v>
      </c>
      <c r="F33" s="130">
        <f t="shared" ref="F33" si="11">E33</f>
        <v>5.0439999999999999E-3</v>
      </c>
      <c r="G33" s="36" t="s">
        <v>233</v>
      </c>
    </row>
    <row r="34" spans="1:9" x14ac:dyDescent="0.2">
      <c r="A34" s="439" t="s">
        <v>234</v>
      </c>
      <c r="B34" s="439"/>
      <c r="C34" s="439"/>
      <c r="D34" s="439"/>
      <c r="E34" s="280">
        <v>1.428E-3</v>
      </c>
      <c r="F34" s="130">
        <f>E34</f>
        <v>1.428E-3</v>
      </c>
      <c r="G34" s="36" t="s">
        <v>233</v>
      </c>
    </row>
    <row r="35" spans="1:9" x14ac:dyDescent="0.2">
      <c r="A35" s="439" t="s">
        <v>366</v>
      </c>
      <c r="B35" s="439"/>
      <c r="C35" s="439"/>
      <c r="D35" s="439"/>
      <c r="E35" s="280">
        <v>6.0700000000000001E-4</v>
      </c>
      <c r="F35" s="130">
        <f t="shared" ref="F35:F45" si="12">E35</f>
        <v>6.0700000000000001E-4</v>
      </c>
      <c r="G35" s="36" t="s">
        <v>233</v>
      </c>
    </row>
    <row r="36" spans="1:9" x14ac:dyDescent="0.2">
      <c r="A36" s="439" t="s">
        <v>235</v>
      </c>
      <c r="B36" s="439"/>
      <c r="C36" s="439"/>
      <c r="D36" s="439"/>
      <c r="E36" s="280">
        <v>2.6120000000000002E-3</v>
      </c>
      <c r="F36" s="130">
        <f t="shared" si="12"/>
        <v>2.6120000000000002E-3</v>
      </c>
      <c r="G36" s="36" t="s">
        <v>233</v>
      </c>
    </row>
    <row r="37" spans="1:9" x14ac:dyDescent="0.2">
      <c r="A37" s="439" t="s">
        <v>236</v>
      </c>
      <c r="B37" s="439"/>
      <c r="C37" s="439"/>
      <c r="D37" s="439"/>
      <c r="E37" s="280">
        <v>1.828E-3</v>
      </c>
      <c r="F37" s="130">
        <f t="shared" si="12"/>
        <v>1.828E-3</v>
      </c>
      <c r="G37" s="36" t="s">
        <v>233</v>
      </c>
    </row>
    <row r="38" spans="1:9" x14ac:dyDescent="0.2">
      <c r="A38" s="271" t="s">
        <v>367</v>
      </c>
      <c r="B38" s="271"/>
      <c r="C38" s="271"/>
      <c r="D38" s="271"/>
      <c r="E38" s="280">
        <v>1.25E-3</v>
      </c>
      <c r="F38" s="130">
        <f t="shared" si="12"/>
        <v>1.25E-3</v>
      </c>
      <c r="G38" s="36" t="s">
        <v>233</v>
      </c>
    </row>
    <row r="39" spans="1:9" x14ac:dyDescent="0.2">
      <c r="A39" s="439" t="s">
        <v>237</v>
      </c>
      <c r="B39" s="439"/>
      <c r="C39" s="439"/>
      <c r="D39" s="439"/>
      <c r="E39" s="280">
        <v>2.6689999999999999E-3</v>
      </c>
      <c r="F39" s="130">
        <f t="shared" si="12"/>
        <v>2.6689999999999999E-3</v>
      </c>
      <c r="G39" s="36" t="s">
        <v>233</v>
      </c>
    </row>
    <row r="40" spans="1:9" x14ac:dyDescent="0.2">
      <c r="A40" s="439" t="s">
        <v>238</v>
      </c>
      <c r="B40" s="439"/>
      <c r="C40" s="439"/>
      <c r="D40" s="439"/>
      <c r="E40" s="280">
        <v>8.5280000000000009E-3</v>
      </c>
      <c r="F40" s="130">
        <f t="shared" si="12"/>
        <v>8.5280000000000009E-3</v>
      </c>
      <c r="G40" s="36" t="s">
        <v>233</v>
      </c>
      <c r="I40" s="36" t="s">
        <v>402</v>
      </c>
    </row>
    <row r="41" spans="1:9" x14ac:dyDescent="0.2">
      <c r="A41" s="439" t="s">
        <v>239</v>
      </c>
      <c r="B41" s="439"/>
      <c r="C41" s="439"/>
      <c r="D41" s="439"/>
      <c r="E41" s="280">
        <v>8.1049999999999994E-3</v>
      </c>
      <c r="F41" s="130">
        <f t="shared" si="12"/>
        <v>8.1049999999999994E-3</v>
      </c>
      <c r="G41" s="36" t="s">
        <v>233</v>
      </c>
      <c r="I41" s="36" t="s">
        <v>402</v>
      </c>
    </row>
    <row r="42" spans="1:9" x14ac:dyDescent="0.2">
      <c r="A42" s="439" t="s">
        <v>240</v>
      </c>
      <c r="B42" s="439"/>
      <c r="C42" s="439"/>
      <c r="D42" s="439"/>
      <c r="E42" s="280">
        <v>3.19E-4</v>
      </c>
      <c r="F42" s="130">
        <f t="shared" si="12"/>
        <v>3.19E-4</v>
      </c>
      <c r="G42" s="36" t="s">
        <v>233</v>
      </c>
    </row>
    <row r="43" spans="1:9" x14ac:dyDescent="0.2">
      <c r="A43" s="439" t="s">
        <v>241</v>
      </c>
      <c r="B43" s="439"/>
      <c r="C43" s="439"/>
      <c r="D43" s="439"/>
      <c r="E43" s="280">
        <v>0</v>
      </c>
      <c r="F43" s="130">
        <f t="shared" si="12"/>
        <v>0</v>
      </c>
      <c r="G43" s="36" t="s">
        <v>233</v>
      </c>
    </row>
    <row r="44" spans="1:9" x14ac:dyDescent="0.2">
      <c r="A44" s="439" t="s">
        <v>242</v>
      </c>
      <c r="B44" s="439"/>
      <c r="C44" s="439"/>
      <c r="D44" s="439"/>
      <c r="E44" s="280">
        <v>-3.4759999999999999E-3</v>
      </c>
      <c r="F44" s="130">
        <f t="shared" si="12"/>
        <v>-3.4759999999999999E-3</v>
      </c>
      <c r="G44" s="36" t="s">
        <v>233</v>
      </c>
    </row>
    <row r="45" spans="1:9" x14ac:dyDescent="0.2">
      <c r="A45" s="439" t="s">
        <v>243</v>
      </c>
      <c r="B45" s="439"/>
      <c r="C45" s="439"/>
      <c r="D45" s="439"/>
      <c r="E45" s="280">
        <v>0</v>
      </c>
      <c r="F45" s="130">
        <f t="shared" si="12"/>
        <v>0</v>
      </c>
      <c r="G45" s="36" t="s">
        <v>233</v>
      </c>
    </row>
    <row r="46" spans="1:9" ht="12" thickBot="1" x14ac:dyDescent="0.25">
      <c r="A46" s="438" t="s">
        <v>244</v>
      </c>
      <c r="B46" s="438"/>
      <c r="C46" s="438"/>
      <c r="D46" s="438"/>
      <c r="E46" s="131">
        <f>SUM(E30:E45)</f>
        <v>0.12048600000000001</v>
      </c>
      <c r="F46" s="131">
        <f>SUM(F30:F45)</f>
        <v>0.12834899999999999</v>
      </c>
      <c r="G46" s="36" t="s">
        <v>233</v>
      </c>
    </row>
    <row r="47" spans="1:9" ht="12" thickTop="1" x14ac:dyDescent="0.2">
      <c r="A47" s="437"/>
      <c r="B47" s="437"/>
      <c r="C47" s="437"/>
      <c r="D47" s="437"/>
      <c r="E47" s="130"/>
      <c r="F47" s="130"/>
    </row>
    <row r="48" spans="1:9" x14ac:dyDescent="0.2">
      <c r="A48" s="437" t="s">
        <v>245</v>
      </c>
      <c r="B48" s="437"/>
      <c r="C48" s="437"/>
      <c r="D48" s="437"/>
      <c r="E48" s="280">
        <v>0.10885400000000001</v>
      </c>
      <c r="F48" s="130">
        <f>E48</f>
        <v>0.10885400000000001</v>
      </c>
      <c r="G48" s="36" t="s">
        <v>233</v>
      </c>
    </row>
    <row r="49" spans="1:7" x14ac:dyDescent="0.2">
      <c r="A49" s="440" t="s">
        <v>249</v>
      </c>
      <c r="B49" s="440"/>
      <c r="C49" s="440"/>
      <c r="D49" s="440"/>
      <c r="E49" s="427">
        <f t="shared" ref="E49:F63" si="13">+E31</f>
        <v>0</v>
      </c>
      <c r="F49" s="427">
        <f t="shared" si="13"/>
        <v>7.8630000000000002E-3</v>
      </c>
      <c r="G49" s="283" t="s">
        <v>233</v>
      </c>
    </row>
    <row r="50" spans="1:7" x14ac:dyDescent="0.2">
      <c r="A50" s="439" t="s">
        <v>250</v>
      </c>
      <c r="B50" s="439"/>
      <c r="C50" s="439"/>
      <c r="D50" s="439"/>
      <c r="E50" s="130">
        <f t="shared" si="13"/>
        <v>2.1350000000000002E-3</v>
      </c>
      <c r="F50" s="130">
        <f>E50</f>
        <v>2.1350000000000002E-3</v>
      </c>
      <c r="G50" s="36" t="s">
        <v>233</v>
      </c>
    </row>
    <row r="51" spans="1:7" x14ac:dyDescent="0.2">
      <c r="A51" s="439" t="s">
        <v>252</v>
      </c>
      <c r="B51" s="439"/>
      <c r="C51" s="439"/>
      <c r="D51" s="439"/>
      <c r="E51" s="130">
        <f t="shared" si="13"/>
        <v>5.0439999999999999E-3</v>
      </c>
      <c r="F51" s="130">
        <f t="shared" ref="F51:F63" si="14">E51</f>
        <v>5.0439999999999999E-3</v>
      </c>
      <c r="G51" s="36" t="s">
        <v>233</v>
      </c>
    </row>
    <row r="52" spans="1:7" x14ac:dyDescent="0.2">
      <c r="A52" s="439" t="s">
        <v>234</v>
      </c>
      <c r="B52" s="439"/>
      <c r="C52" s="439"/>
      <c r="D52" s="439"/>
      <c r="E52" s="130">
        <f t="shared" si="13"/>
        <v>1.428E-3</v>
      </c>
      <c r="F52" s="130">
        <f t="shared" si="14"/>
        <v>1.428E-3</v>
      </c>
      <c r="G52" s="36" t="s">
        <v>233</v>
      </c>
    </row>
    <row r="53" spans="1:7" x14ac:dyDescent="0.2">
      <c r="A53" s="439" t="s">
        <v>366</v>
      </c>
      <c r="B53" s="439"/>
      <c r="C53" s="439"/>
      <c r="D53" s="439"/>
      <c r="E53" s="130">
        <f t="shared" si="13"/>
        <v>6.0700000000000001E-4</v>
      </c>
      <c r="F53" s="130">
        <f t="shared" si="14"/>
        <v>6.0700000000000001E-4</v>
      </c>
      <c r="G53" s="36" t="s">
        <v>233</v>
      </c>
    </row>
    <row r="54" spans="1:7" x14ac:dyDescent="0.2">
      <c r="A54" s="439" t="s">
        <v>235</v>
      </c>
      <c r="B54" s="439"/>
      <c r="C54" s="439"/>
      <c r="D54" s="439"/>
      <c r="E54" s="130">
        <f t="shared" si="13"/>
        <v>2.6120000000000002E-3</v>
      </c>
      <c r="F54" s="130">
        <f t="shared" si="14"/>
        <v>2.6120000000000002E-3</v>
      </c>
      <c r="G54" s="36" t="s">
        <v>233</v>
      </c>
    </row>
    <row r="55" spans="1:7" x14ac:dyDescent="0.2">
      <c r="A55" s="439" t="s">
        <v>236</v>
      </c>
      <c r="B55" s="439"/>
      <c r="C55" s="439"/>
      <c r="D55" s="439"/>
      <c r="E55" s="130">
        <f t="shared" si="13"/>
        <v>1.828E-3</v>
      </c>
      <c r="F55" s="130">
        <f t="shared" si="14"/>
        <v>1.828E-3</v>
      </c>
      <c r="G55" s="36" t="s">
        <v>233</v>
      </c>
    </row>
    <row r="56" spans="1:7" x14ac:dyDescent="0.2">
      <c r="A56" s="271" t="s">
        <v>367</v>
      </c>
      <c r="B56" s="271"/>
      <c r="C56" s="271"/>
      <c r="D56" s="271"/>
      <c r="E56" s="130">
        <f t="shared" si="13"/>
        <v>1.25E-3</v>
      </c>
      <c r="F56" s="130">
        <f t="shared" si="14"/>
        <v>1.25E-3</v>
      </c>
      <c r="G56" s="36" t="s">
        <v>233</v>
      </c>
    </row>
    <row r="57" spans="1:7" x14ac:dyDescent="0.2">
      <c r="A57" s="439" t="s">
        <v>237</v>
      </c>
      <c r="B57" s="439"/>
      <c r="C57" s="439"/>
      <c r="D57" s="439"/>
      <c r="E57" s="130">
        <f t="shared" si="13"/>
        <v>2.6689999999999999E-3</v>
      </c>
      <c r="F57" s="130">
        <f t="shared" si="14"/>
        <v>2.6689999999999999E-3</v>
      </c>
      <c r="G57" s="36" t="s">
        <v>233</v>
      </c>
    </row>
    <row r="58" spans="1:7" x14ac:dyDescent="0.2">
      <c r="A58" s="439" t="s">
        <v>238</v>
      </c>
      <c r="B58" s="439"/>
      <c r="C58" s="439"/>
      <c r="D58" s="439"/>
      <c r="E58" s="130">
        <f t="shared" si="13"/>
        <v>8.5280000000000009E-3</v>
      </c>
      <c r="F58" s="130">
        <f t="shared" si="14"/>
        <v>8.5280000000000009E-3</v>
      </c>
      <c r="G58" s="36" t="s">
        <v>233</v>
      </c>
    </row>
    <row r="59" spans="1:7" x14ac:dyDescent="0.2">
      <c r="A59" s="439" t="s">
        <v>239</v>
      </c>
      <c r="B59" s="439"/>
      <c r="C59" s="439"/>
      <c r="D59" s="439"/>
      <c r="E59" s="130">
        <f t="shared" si="13"/>
        <v>8.1049999999999994E-3</v>
      </c>
      <c r="F59" s="130">
        <f t="shared" si="14"/>
        <v>8.1049999999999994E-3</v>
      </c>
      <c r="G59" s="36" t="s">
        <v>233</v>
      </c>
    </row>
    <row r="60" spans="1:7" x14ac:dyDescent="0.2">
      <c r="A60" s="439" t="s">
        <v>240</v>
      </c>
      <c r="B60" s="439"/>
      <c r="C60" s="439"/>
      <c r="D60" s="439"/>
      <c r="E60" s="130">
        <f t="shared" si="13"/>
        <v>3.19E-4</v>
      </c>
      <c r="F60" s="130">
        <f t="shared" si="14"/>
        <v>3.19E-4</v>
      </c>
      <c r="G60" s="36" t="s">
        <v>233</v>
      </c>
    </row>
    <row r="61" spans="1:7" x14ac:dyDescent="0.2">
      <c r="A61" s="439" t="s">
        <v>241</v>
      </c>
      <c r="B61" s="439"/>
      <c r="C61" s="439"/>
      <c r="D61" s="439"/>
      <c r="E61" s="130">
        <f t="shared" si="13"/>
        <v>0</v>
      </c>
      <c r="F61" s="130">
        <f t="shared" si="14"/>
        <v>0</v>
      </c>
      <c r="G61" s="36" t="s">
        <v>233</v>
      </c>
    </row>
    <row r="62" spans="1:7" x14ac:dyDescent="0.2">
      <c r="A62" s="439" t="s">
        <v>242</v>
      </c>
      <c r="B62" s="439"/>
      <c r="C62" s="439"/>
      <c r="D62" s="439"/>
      <c r="E62" s="130">
        <f t="shared" si="13"/>
        <v>-3.4759999999999999E-3</v>
      </c>
      <c r="F62" s="130">
        <f t="shared" si="14"/>
        <v>-3.4759999999999999E-3</v>
      </c>
      <c r="G62" s="36" t="s">
        <v>233</v>
      </c>
    </row>
    <row r="63" spans="1:7" x14ac:dyDescent="0.2">
      <c r="A63" s="439" t="s">
        <v>243</v>
      </c>
      <c r="B63" s="439"/>
      <c r="C63" s="439"/>
      <c r="D63" s="439"/>
      <c r="E63" s="130">
        <f t="shared" si="13"/>
        <v>0</v>
      </c>
      <c r="F63" s="130">
        <f t="shared" si="14"/>
        <v>0</v>
      </c>
      <c r="G63" s="36" t="s">
        <v>233</v>
      </c>
    </row>
    <row r="64" spans="1:7" ht="12" thickBot="1" x14ac:dyDescent="0.25">
      <c r="A64" s="438" t="s">
        <v>246</v>
      </c>
      <c r="B64" s="438"/>
      <c r="C64" s="438"/>
      <c r="D64" s="438"/>
      <c r="E64" s="131">
        <f>SUM(E48:E63)</f>
        <v>0.139903</v>
      </c>
      <c r="F64" s="131">
        <f>SUM(F48:F63)</f>
        <v>0.14776600000000004</v>
      </c>
      <c r="G64" s="36" t="s">
        <v>233</v>
      </c>
    </row>
    <row r="65" spans="1:14" ht="12" thickTop="1" x14ac:dyDescent="0.2">
      <c r="A65" s="437"/>
      <c r="B65" s="437"/>
      <c r="C65" s="437"/>
      <c r="D65" s="437"/>
      <c r="E65" s="130"/>
      <c r="F65" s="130"/>
    </row>
    <row r="66" spans="1:14" x14ac:dyDescent="0.2">
      <c r="A66" s="438" t="s">
        <v>247</v>
      </c>
      <c r="B66" s="438"/>
      <c r="C66" s="438"/>
      <c r="D66" s="438"/>
      <c r="E66" s="280">
        <v>-7.5339999999999999E-3</v>
      </c>
      <c r="F66" s="130">
        <f>E66</f>
        <v>-7.5339999999999999E-3</v>
      </c>
      <c r="G66" s="36" t="s">
        <v>233</v>
      </c>
    </row>
    <row r="67" spans="1:14" x14ac:dyDescent="0.2">
      <c r="A67" s="437"/>
      <c r="B67" s="437"/>
      <c r="C67" s="437"/>
      <c r="D67" s="437"/>
      <c r="E67" s="130"/>
      <c r="F67" s="130"/>
    </row>
    <row r="68" spans="1:14" x14ac:dyDescent="0.2">
      <c r="A68" s="437" t="s">
        <v>248</v>
      </c>
      <c r="B68" s="437"/>
      <c r="C68" s="437"/>
      <c r="D68" s="437"/>
      <c r="E68" s="130"/>
      <c r="F68" s="130"/>
      <c r="G68" s="36" t="s">
        <v>233</v>
      </c>
    </row>
    <row r="69" spans="1:14" x14ac:dyDescent="0.2">
      <c r="A69" s="439" t="s">
        <v>251</v>
      </c>
      <c r="B69" s="439"/>
      <c r="C69" s="439"/>
      <c r="D69" s="439"/>
      <c r="E69" s="447">
        <v>0</v>
      </c>
      <c r="F69" s="130">
        <f t="shared" ref="F69:F70" si="15">E69</f>
        <v>0</v>
      </c>
      <c r="G69" s="36" t="s">
        <v>233</v>
      </c>
      <c r="I69" s="36" t="s">
        <v>402</v>
      </c>
    </row>
    <row r="70" spans="1:14" x14ac:dyDescent="0.2">
      <c r="A70" s="424" t="s">
        <v>403</v>
      </c>
      <c r="B70" s="424"/>
      <c r="C70" s="424"/>
      <c r="D70" s="424"/>
      <c r="E70" s="447">
        <v>0</v>
      </c>
      <c r="F70" s="130">
        <f t="shared" si="15"/>
        <v>0</v>
      </c>
      <c r="G70" s="36" t="s">
        <v>233</v>
      </c>
    </row>
    <row r="71" spans="1:14" ht="12" thickBot="1" x14ac:dyDescent="0.25">
      <c r="A71" s="438" t="s">
        <v>253</v>
      </c>
      <c r="B71" s="438"/>
      <c r="C71" s="438"/>
      <c r="D71" s="438"/>
      <c r="E71" s="131">
        <f>SUM(E69:E70)</f>
        <v>0</v>
      </c>
      <c r="F71" s="131">
        <f>SUM(F69:F70)</f>
        <v>0</v>
      </c>
      <c r="G71" s="36" t="s">
        <v>233</v>
      </c>
    </row>
    <row r="72" spans="1:14" ht="12" thickTop="1" x14ac:dyDescent="0.2">
      <c r="A72" s="437"/>
      <c r="B72" s="437"/>
      <c r="C72" s="437"/>
      <c r="D72" s="437"/>
      <c r="E72" s="132"/>
      <c r="F72" s="132"/>
    </row>
    <row r="73" spans="1:14" x14ac:dyDescent="0.2">
      <c r="A73" s="438" t="s">
        <v>254</v>
      </c>
      <c r="B73" s="438"/>
      <c r="C73" s="438"/>
      <c r="D73" s="438"/>
      <c r="E73" s="132">
        <f>SUM(E46,E66:E66,E71)</f>
        <v>0.11295200000000001</v>
      </c>
      <c r="F73" s="132">
        <f>SUM(F46,F66:F66,F71)</f>
        <v>0.12081499999999999</v>
      </c>
      <c r="G73" s="36" t="s">
        <v>233</v>
      </c>
      <c r="I73" s="133"/>
    </row>
    <row r="74" spans="1:14" x14ac:dyDescent="0.2">
      <c r="A74" s="438" t="s">
        <v>255</v>
      </c>
      <c r="B74" s="438"/>
      <c r="C74" s="438"/>
      <c r="D74" s="438"/>
      <c r="E74" s="134">
        <f>SUM(E64,E66:E66,E71)</f>
        <v>0.13236899999999999</v>
      </c>
      <c r="F74" s="134">
        <f>SUM(F64,F66:F66,F71)</f>
        <v>0.14023200000000002</v>
      </c>
      <c r="G74" s="36" t="s">
        <v>233</v>
      </c>
      <c r="I74" s="133"/>
    </row>
    <row r="76" spans="1:14" ht="12" thickBot="1" x14ac:dyDescent="0.25"/>
    <row r="77" spans="1:14" ht="12" thickBot="1" x14ac:dyDescent="0.25">
      <c r="A77" s="400" t="s">
        <v>254</v>
      </c>
      <c r="B77" s="401"/>
      <c r="C77" s="401"/>
      <c r="D77" s="401"/>
      <c r="E77" s="402"/>
    </row>
    <row r="78" spans="1:14" ht="34.5" thickBot="1" x14ac:dyDescent="0.25">
      <c r="A78" s="403" t="s">
        <v>256</v>
      </c>
      <c r="B78" s="403" t="s">
        <v>257</v>
      </c>
      <c r="C78" s="403" t="s">
        <v>258</v>
      </c>
      <c r="D78" s="403" t="s">
        <v>259</v>
      </c>
      <c r="E78" s="404" t="s">
        <v>260</v>
      </c>
    </row>
    <row r="79" spans="1:14" x14ac:dyDescent="0.2">
      <c r="A79" s="405">
        <v>2024</v>
      </c>
      <c r="B79" s="405">
        <v>1</v>
      </c>
      <c r="C79" s="406">
        <v>1192691743.2576599</v>
      </c>
      <c r="D79" s="406">
        <v>1083811</v>
      </c>
      <c r="E79" s="407">
        <f t="shared" ref="E79:E90" si="16">ROUND(+C79/D79,0)</f>
        <v>1100</v>
      </c>
    </row>
    <row r="80" spans="1:14" x14ac:dyDescent="0.2">
      <c r="A80" s="405">
        <v>2024</v>
      </c>
      <c r="B80" s="405">
        <v>2</v>
      </c>
      <c r="C80" s="408">
        <v>1075657420.9360201</v>
      </c>
      <c r="D80" s="408">
        <v>1084492</v>
      </c>
      <c r="E80" s="407">
        <f t="shared" si="16"/>
        <v>992</v>
      </c>
      <c r="F80" s="135"/>
      <c r="G80" s="135"/>
      <c r="H80" s="135"/>
      <c r="I80" s="135"/>
      <c r="J80" s="135"/>
      <c r="K80" s="135"/>
      <c r="L80" s="135"/>
      <c r="M80" s="135"/>
      <c r="N80" s="135"/>
    </row>
    <row r="81" spans="1:5" x14ac:dyDescent="0.2">
      <c r="A81" s="405">
        <v>2024</v>
      </c>
      <c r="B81" s="405">
        <v>3</v>
      </c>
      <c r="C81" s="408">
        <v>1040534573.62798</v>
      </c>
      <c r="D81" s="408">
        <v>1085188</v>
      </c>
      <c r="E81" s="407">
        <f t="shared" si="16"/>
        <v>959</v>
      </c>
    </row>
    <row r="82" spans="1:5" x14ac:dyDescent="0.2">
      <c r="A82" s="405">
        <v>2024</v>
      </c>
      <c r="B82" s="405">
        <v>4</v>
      </c>
      <c r="C82" s="408">
        <v>871564901.43307793</v>
      </c>
      <c r="D82" s="408">
        <v>1085582</v>
      </c>
      <c r="E82" s="407">
        <f t="shared" si="16"/>
        <v>803</v>
      </c>
    </row>
    <row r="83" spans="1:5" x14ac:dyDescent="0.2">
      <c r="A83" s="405">
        <v>2024</v>
      </c>
      <c r="B83" s="405">
        <v>5</v>
      </c>
      <c r="C83" s="408">
        <v>760468027.59418297</v>
      </c>
      <c r="D83" s="408">
        <v>1086150</v>
      </c>
      <c r="E83" s="407">
        <f t="shared" si="16"/>
        <v>700</v>
      </c>
    </row>
    <row r="84" spans="1:5" x14ac:dyDescent="0.2">
      <c r="A84" s="405">
        <v>2024</v>
      </c>
      <c r="B84" s="405">
        <v>6</v>
      </c>
      <c r="C84" s="408">
        <v>726612130.99855494</v>
      </c>
      <c r="D84" s="408">
        <v>1086798</v>
      </c>
      <c r="E84" s="407">
        <f t="shared" si="16"/>
        <v>669</v>
      </c>
    </row>
    <row r="85" spans="1:5" x14ac:dyDescent="0.2">
      <c r="A85" s="405">
        <v>2024</v>
      </c>
      <c r="B85" s="405">
        <v>7</v>
      </c>
      <c r="C85" s="408">
        <v>810211528.78052795</v>
      </c>
      <c r="D85" s="408">
        <v>1087219</v>
      </c>
      <c r="E85" s="407">
        <f t="shared" si="16"/>
        <v>745</v>
      </c>
    </row>
    <row r="86" spans="1:5" x14ac:dyDescent="0.2">
      <c r="A86" s="405">
        <v>2024</v>
      </c>
      <c r="B86" s="405">
        <v>8</v>
      </c>
      <c r="C86" s="408">
        <v>816258861.42774105</v>
      </c>
      <c r="D86" s="408">
        <v>1088254</v>
      </c>
      <c r="E86" s="407">
        <f t="shared" si="16"/>
        <v>750</v>
      </c>
    </row>
    <row r="87" spans="1:5" x14ac:dyDescent="0.2">
      <c r="A87" s="405">
        <v>2024</v>
      </c>
      <c r="B87" s="405">
        <v>9</v>
      </c>
      <c r="C87" s="408">
        <v>745804121.61066496</v>
      </c>
      <c r="D87" s="408">
        <v>1089539</v>
      </c>
      <c r="E87" s="407">
        <f t="shared" si="16"/>
        <v>685</v>
      </c>
    </row>
    <row r="88" spans="1:5" x14ac:dyDescent="0.2">
      <c r="A88" s="405">
        <v>2024</v>
      </c>
      <c r="B88" s="405">
        <v>10</v>
      </c>
      <c r="C88" s="408">
        <v>873182303.91732109</v>
      </c>
      <c r="D88" s="408">
        <v>1090984</v>
      </c>
      <c r="E88" s="407">
        <f t="shared" si="16"/>
        <v>800</v>
      </c>
    </row>
    <row r="89" spans="1:5" x14ac:dyDescent="0.2">
      <c r="A89" s="405">
        <v>2024</v>
      </c>
      <c r="B89" s="405">
        <v>11</v>
      </c>
      <c r="C89" s="408">
        <v>1052963379.7510201</v>
      </c>
      <c r="D89" s="408">
        <v>1092516</v>
      </c>
      <c r="E89" s="407">
        <f t="shared" si="16"/>
        <v>964</v>
      </c>
    </row>
    <row r="90" spans="1:5" x14ac:dyDescent="0.2">
      <c r="A90" s="405">
        <v>2024</v>
      </c>
      <c r="B90" s="405">
        <v>12</v>
      </c>
      <c r="C90" s="409">
        <v>1265288171.70892</v>
      </c>
      <c r="D90" s="409">
        <v>1093821</v>
      </c>
      <c r="E90" s="407">
        <f t="shared" si="16"/>
        <v>1157</v>
      </c>
    </row>
    <row r="91" spans="1:5" x14ac:dyDescent="0.2">
      <c r="A91" s="410"/>
      <c r="B91" s="410" t="s">
        <v>10</v>
      </c>
      <c r="C91" s="411">
        <f>SUM(C79:C90)</f>
        <v>11231237165.043671</v>
      </c>
      <c r="D91" s="411">
        <f>SUM(D79:D90)</f>
        <v>13054354</v>
      </c>
      <c r="E91" s="412">
        <f>SUM(E79:E90)</f>
        <v>10324</v>
      </c>
    </row>
    <row r="92" spans="1:5" x14ac:dyDescent="0.2">
      <c r="A92" s="410"/>
      <c r="B92" s="410"/>
      <c r="C92" s="410"/>
      <c r="D92" s="410"/>
      <c r="E92" s="407"/>
    </row>
    <row r="93" spans="1:5" ht="12" thickBot="1" x14ac:dyDescent="0.25">
      <c r="A93" s="413"/>
      <c r="B93" s="413" t="s">
        <v>261</v>
      </c>
      <c r="C93" s="414"/>
      <c r="D93" s="414"/>
      <c r="E93" s="415">
        <f>ROUND(AVERAGE(E79:E90),0)</f>
        <v>860</v>
      </c>
    </row>
  </sheetData>
  <mergeCells count="48">
    <mergeCell ref="A40:D40"/>
    <mergeCell ref="C5:F5"/>
    <mergeCell ref="H5:K5"/>
    <mergeCell ref="A26:D26"/>
    <mergeCell ref="A27:D27"/>
    <mergeCell ref="A28:D28"/>
    <mergeCell ref="A29:D29"/>
    <mergeCell ref="A30:D30"/>
    <mergeCell ref="A34:D34"/>
    <mergeCell ref="A36:D36"/>
    <mergeCell ref="A37:D37"/>
    <mergeCell ref="A39:D39"/>
    <mergeCell ref="A35:D35"/>
    <mergeCell ref="A31:D31"/>
    <mergeCell ref="A32:D32"/>
    <mergeCell ref="A33:D33"/>
    <mergeCell ref="A57:D57"/>
    <mergeCell ref="A41:D41"/>
    <mergeCell ref="A42:D42"/>
    <mergeCell ref="A43:D43"/>
    <mergeCell ref="A44:D44"/>
    <mergeCell ref="A45:D45"/>
    <mergeCell ref="A46:D46"/>
    <mergeCell ref="A47:D47"/>
    <mergeCell ref="A48:D48"/>
    <mergeCell ref="A52:D52"/>
    <mergeCell ref="A54:D54"/>
    <mergeCell ref="A55:D55"/>
    <mergeCell ref="A53:D53"/>
    <mergeCell ref="A49:D49"/>
    <mergeCell ref="A50:D50"/>
    <mergeCell ref="A51:D51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68:D68"/>
    <mergeCell ref="A74:D74"/>
    <mergeCell ref="A69:D69"/>
    <mergeCell ref="A71:D71"/>
    <mergeCell ref="A72:D72"/>
    <mergeCell ref="A73:D73"/>
  </mergeCells>
  <printOptions horizontalCentered="1"/>
  <pageMargins left="0.25" right="0.25" top="0.75" bottom="0.75" header="0.3" footer="0.3"/>
  <pageSetup scale="45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"/>
  <sheetViews>
    <sheetView workbookViewId="0">
      <selection activeCell="B36" sqref="B36"/>
    </sheetView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B22F1-099B-4708-AEAE-34F41FF6C80A}">
  <sheetPr>
    <tabColor theme="5" tint="0.79998168889431442"/>
  </sheetPr>
  <dimension ref="A1:G58"/>
  <sheetViews>
    <sheetView workbookViewId="0">
      <selection activeCell="G26" sqref="G26"/>
    </sheetView>
  </sheetViews>
  <sheetFormatPr defaultColWidth="17.28515625" defaultRowHeight="11.25" outlineLevelRow="1" x14ac:dyDescent="0.2"/>
  <cols>
    <col min="1" max="1" width="4.28515625" style="288" bestFit="1" customWidth="1"/>
    <col min="2" max="2" width="39.42578125" style="288" bestFit="1" customWidth="1"/>
    <col min="3" max="3" width="5.140625" style="288" bestFit="1" customWidth="1"/>
    <col min="4" max="4" width="13.140625" style="288" customWidth="1"/>
    <col min="5" max="5" width="1.140625" style="288" customWidth="1"/>
    <col min="6" max="6" width="12.7109375" style="288" bestFit="1" customWidth="1"/>
    <col min="7" max="7" width="12.42578125" style="288" customWidth="1"/>
    <col min="8" max="8" width="2" style="274" bestFit="1" customWidth="1"/>
    <col min="9" max="16384" width="17.28515625" style="274"/>
  </cols>
  <sheetData>
    <row r="1" spans="1:7" x14ac:dyDescent="0.2">
      <c r="A1" s="299"/>
      <c r="B1" s="300"/>
      <c r="C1" s="301"/>
      <c r="D1" s="301"/>
      <c r="E1" s="301"/>
      <c r="F1" s="301"/>
      <c r="G1" s="301"/>
    </row>
    <row r="2" spans="1:7" x14ac:dyDescent="0.2">
      <c r="A2" s="302"/>
      <c r="B2" s="303"/>
      <c r="C2" s="304"/>
      <c r="D2" s="304"/>
      <c r="E2" s="304"/>
      <c r="F2" s="304"/>
      <c r="G2" s="305" t="s">
        <v>365</v>
      </c>
    </row>
    <row r="3" spans="1:7" x14ac:dyDescent="0.2">
      <c r="A3" s="302"/>
      <c r="B3" s="306"/>
      <c r="C3" s="304"/>
      <c r="D3" s="304"/>
      <c r="E3" s="304"/>
      <c r="F3" s="304"/>
      <c r="G3" s="305" t="s">
        <v>364</v>
      </c>
    </row>
    <row r="4" spans="1:7" x14ac:dyDescent="0.2">
      <c r="A4" s="302"/>
      <c r="B4" s="306"/>
      <c r="C4" s="304"/>
      <c r="D4" s="304"/>
      <c r="E4" s="304"/>
      <c r="F4" s="304"/>
      <c r="G4" s="304"/>
    </row>
    <row r="5" spans="1:7" x14ac:dyDescent="0.2">
      <c r="A5" s="298"/>
      <c r="B5" s="307" t="s">
        <v>14</v>
      </c>
    </row>
    <row r="6" spans="1:7" x14ac:dyDescent="0.2">
      <c r="A6" s="298"/>
      <c r="B6" s="307" t="s">
        <v>160</v>
      </c>
    </row>
    <row r="7" spans="1:7" x14ac:dyDescent="0.2">
      <c r="A7" s="298"/>
      <c r="B7" s="308" t="s">
        <v>391</v>
      </c>
    </row>
    <row r="8" spans="1:7" x14ac:dyDescent="0.2">
      <c r="A8" s="298"/>
      <c r="B8" s="309"/>
    </row>
    <row r="9" spans="1:7" x14ac:dyDescent="0.2">
      <c r="A9" s="298"/>
      <c r="B9" s="310"/>
    </row>
    <row r="10" spans="1:7" x14ac:dyDescent="0.2">
      <c r="A10" s="298"/>
      <c r="B10" s="310"/>
      <c r="D10" s="311" t="s">
        <v>363</v>
      </c>
      <c r="F10" s="311" t="s">
        <v>362</v>
      </c>
      <c r="G10" s="291" t="s">
        <v>161</v>
      </c>
    </row>
    <row r="11" spans="1:7" x14ac:dyDescent="0.2">
      <c r="A11" s="312"/>
      <c r="B11" s="313" t="s">
        <v>162</v>
      </c>
      <c r="D11" s="314" t="s">
        <v>361</v>
      </c>
      <c r="F11" s="314" t="s">
        <v>361</v>
      </c>
      <c r="G11" s="291" t="s">
        <v>163</v>
      </c>
    </row>
    <row r="12" spans="1:7" x14ac:dyDescent="0.2">
      <c r="A12" s="315" t="s">
        <v>164</v>
      </c>
      <c r="B12" s="316" t="s">
        <v>165</v>
      </c>
      <c r="C12" s="317"/>
      <c r="D12" s="318" t="s">
        <v>360</v>
      </c>
      <c r="E12" s="292"/>
      <c r="F12" s="318" t="s">
        <v>386</v>
      </c>
      <c r="G12" s="292" t="s">
        <v>166</v>
      </c>
    </row>
    <row r="13" spans="1:7" x14ac:dyDescent="0.2">
      <c r="A13" s="298"/>
    </row>
    <row r="14" spans="1:7" x14ac:dyDescent="0.2">
      <c r="A14" s="319">
        <f>ROW()</f>
        <v>14</v>
      </c>
      <c r="B14" s="320" t="s">
        <v>167</v>
      </c>
    </row>
    <row r="15" spans="1:7" x14ac:dyDescent="0.2">
      <c r="A15" s="319">
        <f>ROW()</f>
        <v>15</v>
      </c>
      <c r="D15" s="321"/>
    </row>
    <row r="16" spans="1:7" x14ac:dyDescent="0.2">
      <c r="A16" s="319">
        <f>ROW()</f>
        <v>16</v>
      </c>
      <c r="B16" s="288" t="s">
        <v>168</v>
      </c>
      <c r="D16" s="327">
        <v>1103601560.8834</v>
      </c>
      <c r="E16" s="329"/>
      <c r="F16" s="327">
        <v>929865738.43520164</v>
      </c>
      <c r="G16" s="289"/>
    </row>
    <row r="17" spans="1:7" x14ac:dyDescent="0.2">
      <c r="A17" s="319">
        <f>ROW()</f>
        <v>17</v>
      </c>
      <c r="B17" s="288" t="s">
        <v>169</v>
      </c>
      <c r="D17" s="330">
        <v>0.95234799999999997</v>
      </c>
      <c r="E17" s="329"/>
      <c r="F17" s="330">
        <v>0.95234799999999997</v>
      </c>
      <c r="G17" s="322"/>
    </row>
    <row r="18" spans="1:7" x14ac:dyDescent="0.2">
      <c r="A18" s="319">
        <f>ROW()</f>
        <v>18</v>
      </c>
      <c r="G18" s="289"/>
    </row>
    <row r="19" spans="1:7" x14ac:dyDescent="0.2">
      <c r="A19" s="319">
        <f>ROW()</f>
        <v>19</v>
      </c>
      <c r="B19" s="288" t="s">
        <v>170</v>
      </c>
      <c r="D19" s="294">
        <f>+ROUND(D16/D17,0)</f>
        <v>1158821734</v>
      </c>
      <c r="F19" s="294">
        <f>+ROUND(F16/F17,0)</f>
        <v>976392809</v>
      </c>
      <c r="G19" s="289"/>
    </row>
    <row r="20" spans="1:7" x14ac:dyDescent="0.2">
      <c r="A20" s="319">
        <f>ROW()</f>
        <v>20</v>
      </c>
      <c r="B20" s="288" t="s">
        <v>389</v>
      </c>
      <c r="D20" s="328">
        <v>21186878.600058544</v>
      </c>
      <c r="E20" s="328">
        <v>0</v>
      </c>
      <c r="F20" s="328">
        <v>20729832.8475</v>
      </c>
      <c r="G20" s="323" t="s">
        <v>22</v>
      </c>
    </row>
    <row r="21" spans="1:7" x14ac:dyDescent="0.2">
      <c r="A21" s="319">
        <f>ROW()</f>
        <v>21</v>
      </c>
      <c r="D21" s="290"/>
      <c r="E21" s="290"/>
      <c r="F21" s="290"/>
      <c r="G21" s="323"/>
    </row>
    <row r="22" spans="1:7" x14ac:dyDescent="0.2">
      <c r="A22" s="319">
        <f>ROW()</f>
        <v>22</v>
      </c>
      <c r="B22" s="274" t="s">
        <v>390</v>
      </c>
      <c r="D22" s="293">
        <f>ROUND(+D19/D20,3)</f>
        <v>54.695</v>
      </c>
      <c r="E22" s="290"/>
      <c r="F22" s="293">
        <f>ROUND(+F19/F20,3)</f>
        <v>47.100999999999999</v>
      </c>
      <c r="G22" s="293">
        <f>ROUND(D22-F22,3)</f>
        <v>7.5940000000000003</v>
      </c>
    </row>
    <row r="23" spans="1:7" ht="12.75" x14ac:dyDescent="0.2">
      <c r="A23" s="319">
        <f>ROW()</f>
        <v>23</v>
      </c>
      <c r="C23" s="276" t="s">
        <v>172</v>
      </c>
      <c r="D23" s="331">
        <v>-1.1196467924823317E-4</v>
      </c>
      <c r="E23" s="332">
        <v>0</v>
      </c>
      <c r="F23" s="331">
        <v>-7.6788768509228333E-4</v>
      </c>
      <c r="G23" s="293"/>
    </row>
    <row r="24" spans="1:7" x14ac:dyDescent="0.2">
      <c r="A24" s="319">
        <f>ROW()</f>
        <v>24</v>
      </c>
      <c r="B24" s="295" t="s">
        <v>387</v>
      </c>
      <c r="F24" s="324"/>
      <c r="G24" s="294">
        <f>+D20</f>
        <v>21186878.600058544</v>
      </c>
    </row>
    <row r="25" spans="1:7" x14ac:dyDescent="0.2">
      <c r="A25" s="319">
        <f>ROW()</f>
        <v>25</v>
      </c>
      <c r="B25" s="295"/>
      <c r="F25" s="290"/>
      <c r="G25" s="294"/>
    </row>
    <row r="26" spans="1:7" x14ac:dyDescent="0.2">
      <c r="A26" s="319">
        <f>ROW()</f>
        <v>26</v>
      </c>
      <c r="B26" s="295" t="s">
        <v>388</v>
      </c>
      <c r="F26" s="290"/>
      <c r="G26" s="325">
        <f>+G22*G24</f>
        <v>160893156.0888446</v>
      </c>
    </row>
    <row r="27" spans="1:7" x14ac:dyDescent="0.2">
      <c r="A27" s="319">
        <f>ROW()</f>
        <v>27</v>
      </c>
      <c r="F27" s="290"/>
      <c r="G27" s="289"/>
    </row>
    <row r="28" spans="1:7" hidden="1" outlineLevel="1" x14ac:dyDescent="0.2">
      <c r="A28" s="319">
        <f>ROW()</f>
        <v>28</v>
      </c>
      <c r="B28" s="320" t="s">
        <v>173</v>
      </c>
      <c r="F28" s="290"/>
      <c r="G28" s="289"/>
    </row>
    <row r="29" spans="1:7" hidden="1" outlineLevel="1" x14ac:dyDescent="0.2">
      <c r="A29" s="319">
        <f>ROW()</f>
        <v>29</v>
      </c>
      <c r="F29" s="290"/>
      <c r="G29" s="289"/>
    </row>
    <row r="30" spans="1:7" hidden="1" outlineLevel="1" x14ac:dyDescent="0.2">
      <c r="A30" s="319">
        <f>ROW()</f>
        <v>30</v>
      </c>
      <c r="B30" s="288" t="s">
        <v>174</v>
      </c>
      <c r="D30" s="289" t="e">
        <f>+#REF!</f>
        <v>#REF!</v>
      </c>
      <c r="F30" s="289" t="e">
        <f>+#REF!</f>
        <v>#REF!</v>
      </c>
      <c r="G30" s="289"/>
    </row>
    <row r="31" spans="1:7" hidden="1" outlineLevel="1" x14ac:dyDescent="0.2">
      <c r="A31" s="319">
        <f>ROW()</f>
        <v>31</v>
      </c>
      <c r="B31" s="288" t="s">
        <v>175</v>
      </c>
      <c r="D31" s="296">
        <f>+D17</f>
        <v>0.95234799999999997</v>
      </c>
      <c r="F31" s="296">
        <f>+F17</f>
        <v>0.95234799999999997</v>
      </c>
      <c r="G31" s="289"/>
    </row>
    <row r="32" spans="1:7" hidden="1" outlineLevel="1" x14ac:dyDescent="0.2">
      <c r="A32" s="319">
        <f>ROW()</f>
        <v>32</v>
      </c>
      <c r="G32" s="289"/>
    </row>
    <row r="33" spans="1:7" hidden="1" outlineLevel="1" x14ac:dyDescent="0.2">
      <c r="A33" s="319">
        <f>ROW()</f>
        <v>33</v>
      </c>
      <c r="B33" s="288" t="s">
        <v>174</v>
      </c>
      <c r="D33" s="294" t="e">
        <f>+ROUND(D30/D31,0)</f>
        <v>#REF!</v>
      </c>
      <c r="F33" s="294" t="e">
        <f>+ROUND(F30/F31,0)</f>
        <v>#REF!</v>
      </c>
    </row>
    <row r="34" spans="1:7" hidden="1" outlineLevel="1" x14ac:dyDescent="0.2">
      <c r="A34" s="319">
        <f>ROW()</f>
        <v>34</v>
      </c>
      <c r="B34" s="288" t="s">
        <v>171</v>
      </c>
      <c r="D34" s="290">
        <f>+D20</f>
        <v>21186878.600058544</v>
      </c>
      <c r="E34" s="290"/>
      <c r="F34" s="290">
        <f>+F20</f>
        <v>20729832.8475</v>
      </c>
      <c r="G34" s="289"/>
    </row>
    <row r="35" spans="1:7" hidden="1" outlineLevel="1" x14ac:dyDescent="0.2">
      <c r="A35" s="319">
        <f>ROW()</f>
        <v>35</v>
      </c>
      <c r="F35" s="290"/>
      <c r="G35" s="289"/>
    </row>
    <row r="36" spans="1:7" hidden="1" outlineLevel="1" x14ac:dyDescent="0.2">
      <c r="A36" s="319">
        <f>ROW()</f>
        <v>36</v>
      </c>
      <c r="B36" s="274" t="str">
        <f>"Total Fixed Costs per MWh (Line "&amp;A33&amp;" / Line "&amp;A34&amp;")"</f>
        <v>Total Fixed Costs per MWh (Line 33 / Line 34)</v>
      </c>
      <c r="D36" s="293" t="e">
        <f>ROUND(+D33/D34,3)</f>
        <v>#REF!</v>
      </c>
      <c r="E36" s="290"/>
      <c r="F36" s="293" t="e">
        <f>ROUND(+F33/F34,3)</f>
        <v>#REF!</v>
      </c>
      <c r="G36" s="293" t="e">
        <f>ROUND(D36-F36,3)</f>
        <v>#REF!</v>
      </c>
    </row>
    <row r="37" spans="1:7" hidden="1" outlineLevel="1" x14ac:dyDescent="0.2">
      <c r="A37" s="319">
        <f>ROW()</f>
        <v>37</v>
      </c>
      <c r="D37" s="275" t="e">
        <f>ROUND(#REF!-D36,3)</f>
        <v>#REF!</v>
      </c>
      <c r="F37" s="275" t="e">
        <f>ROUND(#REF!-F36,3)</f>
        <v>#REF!</v>
      </c>
      <c r="G37" s="289"/>
    </row>
    <row r="38" spans="1:7" collapsed="1" x14ac:dyDescent="0.2">
      <c r="A38" s="274"/>
      <c r="B38" s="274"/>
      <c r="C38" s="274"/>
      <c r="D38" s="274"/>
      <c r="E38" s="274"/>
      <c r="F38" s="274"/>
      <c r="G38" s="274"/>
    </row>
    <row r="39" spans="1:7" x14ac:dyDescent="0.2">
      <c r="A39" s="274"/>
      <c r="B39" s="274"/>
      <c r="C39" s="274"/>
      <c r="D39" s="274"/>
      <c r="E39" s="274"/>
      <c r="F39" s="274"/>
      <c r="G39" s="274"/>
    </row>
    <row r="40" spans="1:7" x14ac:dyDescent="0.2">
      <c r="A40" s="274"/>
      <c r="B40" s="274"/>
      <c r="C40" s="274"/>
      <c r="D40" s="274"/>
      <c r="E40" s="274"/>
      <c r="F40" s="274"/>
      <c r="G40" s="274"/>
    </row>
    <row r="41" spans="1:7" x14ac:dyDescent="0.2">
      <c r="A41" s="274"/>
      <c r="B41" s="274"/>
      <c r="C41" s="274"/>
      <c r="D41" s="274"/>
      <c r="E41" s="274"/>
      <c r="F41" s="274"/>
      <c r="G41" s="274"/>
    </row>
    <row r="42" spans="1:7" x14ac:dyDescent="0.2">
      <c r="A42" s="274"/>
      <c r="B42" s="274"/>
      <c r="C42" s="274"/>
      <c r="D42" s="274"/>
      <c r="E42" s="274"/>
      <c r="F42" s="274"/>
      <c r="G42" s="274"/>
    </row>
    <row r="43" spans="1:7" x14ac:dyDescent="0.2">
      <c r="A43" s="274"/>
      <c r="B43" s="274"/>
      <c r="C43" s="274"/>
      <c r="D43" s="274"/>
      <c r="E43" s="274"/>
      <c r="F43" s="274"/>
      <c r="G43" s="274"/>
    </row>
    <row r="44" spans="1:7" x14ac:dyDescent="0.2">
      <c r="A44" s="274"/>
      <c r="B44" s="274"/>
      <c r="C44" s="274"/>
      <c r="D44" s="274"/>
      <c r="E44" s="274"/>
      <c r="F44" s="274"/>
      <c r="G44" s="274"/>
    </row>
    <row r="45" spans="1:7" x14ac:dyDescent="0.2">
      <c r="A45" s="274"/>
      <c r="B45" s="274"/>
      <c r="C45" s="274"/>
      <c r="D45" s="274"/>
      <c r="E45" s="274"/>
      <c r="F45" s="274"/>
      <c r="G45" s="274"/>
    </row>
    <row r="46" spans="1:7" x14ac:dyDescent="0.2">
      <c r="A46" s="274"/>
      <c r="B46" s="274"/>
      <c r="C46" s="274"/>
      <c r="D46" s="274"/>
      <c r="E46" s="274"/>
      <c r="F46" s="274"/>
      <c r="G46" s="274"/>
    </row>
    <row r="47" spans="1:7" x14ac:dyDescent="0.2">
      <c r="A47" s="274"/>
      <c r="B47" s="274"/>
      <c r="C47" s="274"/>
      <c r="D47" s="274"/>
      <c r="E47" s="274"/>
      <c r="F47" s="274"/>
      <c r="G47" s="274"/>
    </row>
    <row r="48" spans="1:7" x14ac:dyDescent="0.2">
      <c r="A48" s="274"/>
      <c r="B48" s="274"/>
      <c r="C48" s="274"/>
      <c r="D48" s="274"/>
      <c r="E48" s="274"/>
      <c r="F48" s="274"/>
      <c r="G48" s="274"/>
    </row>
    <row r="49" spans="1:7" x14ac:dyDescent="0.2">
      <c r="A49" s="274"/>
      <c r="B49" s="274"/>
      <c r="C49" s="274"/>
      <c r="D49" s="274"/>
      <c r="E49" s="274"/>
      <c r="F49" s="274"/>
      <c r="G49" s="274"/>
    </row>
    <row r="50" spans="1:7" x14ac:dyDescent="0.2">
      <c r="A50" s="274"/>
      <c r="B50" s="274"/>
      <c r="C50" s="274"/>
      <c r="D50" s="274"/>
      <c r="E50" s="274"/>
      <c r="F50" s="274"/>
      <c r="G50" s="274"/>
    </row>
    <row r="51" spans="1:7" x14ac:dyDescent="0.2">
      <c r="A51" s="274"/>
      <c r="B51" s="274"/>
      <c r="C51" s="274"/>
      <c r="D51" s="274"/>
      <c r="E51" s="274"/>
      <c r="F51" s="274"/>
      <c r="G51" s="274"/>
    </row>
    <row r="52" spans="1:7" x14ac:dyDescent="0.2">
      <c r="A52" s="274"/>
      <c r="B52" s="274"/>
      <c r="C52" s="274"/>
      <c r="D52" s="274"/>
      <c r="E52" s="274"/>
      <c r="F52" s="274"/>
      <c r="G52" s="274"/>
    </row>
    <row r="53" spans="1:7" x14ac:dyDescent="0.2">
      <c r="A53" s="274"/>
      <c r="B53" s="274"/>
      <c r="C53" s="274"/>
      <c r="D53" s="274"/>
      <c r="E53" s="274"/>
      <c r="F53" s="274"/>
      <c r="G53" s="274"/>
    </row>
    <row r="54" spans="1:7" x14ac:dyDescent="0.2">
      <c r="A54" s="274"/>
      <c r="B54" s="274"/>
      <c r="C54" s="274"/>
      <c r="D54" s="274"/>
      <c r="E54" s="274"/>
      <c r="F54" s="274"/>
      <c r="G54" s="274"/>
    </row>
    <row r="55" spans="1:7" x14ac:dyDescent="0.2">
      <c r="A55" s="274"/>
      <c r="B55" s="274"/>
      <c r="C55" s="274"/>
      <c r="D55" s="274"/>
      <c r="E55" s="274"/>
      <c r="F55" s="274"/>
      <c r="G55" s="274"/>
    </row>
    <row r="56" spans="1:7" x14ac:dyDescent="0.2">
      <c r="A56" s="326"/>
      <c r="D56" s="297"/>
      <c r="F56" s="293"/>
    </row>
    <row r="57" spans="1:7" x14ac:dyDescent="0.2">
      <c r="A57" s="326"/>
      <c r="B57" s="274"/>
      <c r="C57" s="274"/>
      <c r="D57" s="274"/>
      <c r="E57" s="326"/>
      <c r="F57" s="326"/>
    </row>
    <row r="58" spans="1:7" x14ac:dyDescent="0.2">
      <c r="D58" s="297"/>
    </row>
  </sheetData>
  <pageMargins left="0.7" right="0.7" top="0.75" bottom="0.75" header="0.3" footer="0.3"/>
  <pageSetup orientation="portrait" horizontalDpi="90" verticalDpi="90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79998168889431442"/>
  </sheetPr>
  <dimension ref="A1:O30"/>
  <sheetViews>
    <sheetView workbookViewId="0">
      <pane xSplit="1" ySplit="5" topLeftCell="B6" activePane="bottomRight" state="frozen"/>
      <selection activeCell="J37" sqref="J37"/>
      <selection pane="topRight" activeCell="J37" sqref="J37"/>
      <selection pane="bottomLeft" activeCell="J37" sqref="J37"/>
      <selection pane="bottomRight" activeCell="L13" sqref="L13"/>
    </sheetView>
  </sheetViews>
  <sheetFormatPr defaultRowHeight="11.25" x14ac:dyDescent="0.2"/>
  <cols>
    <col min="1" max="1" width="19.140625" style="10" customWidth="1"/>
    <col min="2" max="2" width="12.5703125" style="10" bestFit="1" customWidth="1"/>
    <col min="3" max="12" width="12" style="10" bestFit="1" customWidth="1"/>
    <col min="13" max="13" width="12" style="10" customWidth="1"/>
    <col min="14" max="14" width="15" style="136" bestFit="1" customWidth="1"/>
    <col min="15" max="15" width="12.85546875" style="10" bestFit="1" customWidth="1"/>
    <col min="16" max="16384" width="9.140625" style="10"/>
  </cols>
  <sheetData>
    <row r="1" spans="1:14" ht="15.75" customHeight="1" x14ac:dyDescent="0.2">
      <c r="A1" s="442" t="s">
        <v>14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</row>
    <row r="2" spans="1:14" x14ac:dyDescent="0.2">
      <c r="A2" s="442" t="s">
        <v>338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</row>
    <row r="3" spans="1:14" x14ac:dyDescent="0.2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4" s="136" customFormat="1" x14ac:dyDescent="0.2">
      <c r="A4" s="136" t="s">
        <v>339</v>
      </c>
    </row>
    <row r="5" spans="1:14" s="136" customFormat="1" x14ac:dyDescent="0.2">
      <c r="A5" s="222" t="s">
        <v>72</v>
      </c>
      <c r="B5" s="256">
        <v>45292</v>
      </c>
      <c r="C5" s="257">
        <f t="shared" ref="C5:M5" si="0">EDATE(B5,1)</f>
        <v>45323</v>
      </c>
      <c r="D5" s="257">
        <f t="shared" si="0"/>
        <v>45352</v>
      </c>
      <c r="E5" s="257">
        <f t="shared" si="0"/>
        <v>45383</v>
      </c>
      <c r="F5" s="257">
        <f t="shared" si="0"/>
        <v>45413</v>
      </c>
      <c r="G5" s="257">
        <f t="shared" si="0"/>
        <v>45444</v>
      </c>
      <c r="H5" s="257">
        <f t="shared" si="0"/>
        <v>45474</v>
      </c>
      <c r="I5" s="257">
        <f t="shared" si="0"/>
        <v>45505</v>
      </c>
      <c r="J5" s="257">
        <f t="shared" si="0"/>
        <v>45536</v>
      </c>
      <c r="K5" s="257">
        <f t="shared" si="0"/>
        <v>45566</v>
      </c>
      <c r="L5" s="257">
        <f t="shared" si="0"/>
        <v>45597</v>
      </c>
      <c r="M5" s="257">
        <f t="shared" si="0"/>
        <v>45627</v>
      </c>
      <c r="N5" s="257" t="s">
        <v>349</v>
      </c>
    </row>
    <row r="6" spans="1:14" x14ac:dyDescent="0.2">
      <c r="A6" s="270">
        <v>7</v>
      </c>
      <c r="B6" s="258">
        <v>1192691743</v>
      </c>
      <c r="C6" s="258">
        <v>1075657421</v>
      </c>
      <c r="D6" s="258">
        <v>1040534574</v>
      </c>
      <c r="E6" s="258">
        <v>871564901</v>
      </c>
      <c r="F6" s="258">
        <v>760468028</v>
      </c>
      <c r="G6" s="258">
        <v>726612131</v>
      </c>
      <c r="H6" s="258">
        <v>810211529</v>
      </c>
      <c r="I6" s="258">
        <v>816258861</v>
      </c>
      <c r="J6" s="258">
        <v>745804122</v>
      </c>
      <c r="K6" s="258">
        <v>873182304</v>
      </c>
      <c r="L6" s="258">
        <v>1052963380</v>
      </c>
      <c r="M6" s="258">
        <v>1265288172</v>
      </c>
      <c r="N6" s="261">
        <f>SUM(B6:M6)</f>
        <v>11231237166</v>
      </c>
    </row>
    <row r="7" spans="1:14" x14ac:dyDescent="0.2">
      <c r="A7" s="270" t="s">
        <v>340</v>
      </c>
      <c r="B7" s="258">
        <v>259810</v>
      </c>
      <c r="C7" s="258">
        <v>233366</v>
      </c>
      <c r="D7" s="258">
        <v>213526</v>
      </c>
      <c r="E7" s="258">
        <v>180149</v>
      </c>
      <c r="F7" s="258">
        <v>165744</v>
      </c>
      <c r="G7" s="258">
        <v>183270</v>
      </c>
      <c r="H7" s="258">
        <v>214899</v>
      </c>
      <c r="I7" s="258">
        <v>236361</v>
      </c>
      <c r="J7" s="258">
        <v>198474</v>
      </c>
      <c r="K7" s="258">
        <v>173928</v>
      </c>
      <c r="L7" s="258">
        <v>196629</v>
      </c>
      <c r="M7" s="258">
        <v>242994</v>
      </c>
      <c r="N7" s="261">
        <f t="shared" ref="N7:N20" si="1">SUM(B7:M7)</f>
        <v>2499150</v>
      </c>
    </row>
    <row r="8" spans="1:14" x14ac:dyDescent="0.2">
      <c r="A8" s="270" t="s">
        <v>341</v>
      </c>
      <c r="B8" s="258">
        <v>266007463</v>
      </c>
      <c r="C8" s="258">
        <v>238888140</v>
      </c>
      <c r="D8" s="258">
        <v>248796457</v>
      </c>
      <c r="E8" s="258">
        <v>218442361</v>
      </c>
      <c r="F8" s="258">
        <v>215614247</v>
      </c>
      <c r="G8" s="258">
        <v>210823412</v>
      </c>
      <c r="H8" s="258">
        <v>225516307</v>
      </c>
      <c r="I8" s="258">
        <v>226475734</v>
      </c>
      <c r="J8" s="258">
        <v>205194564</v>
      </c>
      <c r="K8" s="258">
        <v>215182402</v>
      </c>
      <c r="L8" s="258">
        <v>226933117</v>
      </c>
      <c r="M8" s="258">
        <v>264489574</v>
      </c>
      <c r="N8" s="261">
        <f t="shared" si="1"/>
        <v>2762363778</v>
      </c>
    </row>
    <row r="9" spans="1:14" x14ac:dyDescent="0.2">
      <c r="A9" s="270" t="s">
        <v>342</v>
      </c>
      <c r="B9" s="258">
        <v>263422986</v>
      </c>
      <c r="C9" s="258">
        <v>242768106</v>
      </c>
      <c r="D9" s="258">
        <v>253604856</v>
      </c>
      <c r="E9" s="258">
        <v>230236380</v>
      </c>
      <c r="F9" s="258">
        <v>235205247</v>
      </c>
      <c r="G9" s="258">
        <v>235812405</v>
      </c>
      <c r="H9" s="258">
        <v>251438326</v>
      </c>
      <c r="I9" s="258">
        <v>253396222</v>
      </c>
      <c r="J9" s="258">
        <v>230157120</v>
      </c>
      <c r="K9" s="258">
        <v>243000558</v>
      </c>
      <c r="L9" s="258">
        <v>245369684</v>
      </c>
      <c r="M9" s="258">
        <v>274379294</v>
      </c>
      <c r="N9" s="261">
        <f t="shared" si="1"/>
        <v>2958791184</v>
      </c>
    </row>
    <row r="10" spans="1:14" x14ac:dyDescent="0.2">
      <c r="A10" s="270" t="s">
        <v>343</v>
      </c>
      <c r="B10" s="258">
        <v>165406278</v>
      </c>
      <c r="C10" s="258">
        <v>155584044</v>
      </c>
      <c r="D10" s="258">
        <v>161870460</v>
      </c>
      <c r="E10" s="258">
        <v>153923109</v>
      </c>
      <c r="F10" s="258">
        <v>158896093</v>
      </c>
      <c r="G10" s="258">
        <v>161457411</v>
      </c>
      <c r="H10" s="258">
        <v>175717917</v>
      </c>
      <c r="I10" s="258">
        <v>180093069</v>
      </c>
      <c r="J10" s="258">
        <v>156693090</v>
      </c>
      <c r="K10" s="258">
        <v>162598746</v>
      </c>
      <c r="L10" s="258">
        <v>162242515</v>
      </c>
      <c r="M10" s="258">
        <v>170410002</v>
      </c>
      <c r="N10" s="261">
        <f t="shared" si="1"/>
        <v>1964892734</v>
      </c>
    </row>
    <row r="11" spans="1:14" x14ac:dyDescent="0.2">
      <c r="A11" s="270">
        <v>29</v>
      </c>
      <c r="B11" s="258">
        <v>292843</v>
      </c>
      <c r="C11" s="258">
        <v>272939</v>
      </c>
      <c r="D11" s="258">
        <v>289072</v>
      </c>
      <c r="E11" s="258">
        <v>312654</v>
      </c>
      <c r="F11" s="258">
        <v>744004</v>
      </c>
      <c r="G11" s="258">
        <v>1488830</v>
      </c>
      <c r="H11" s="258">
        <v>2721659</v>
      </c>
      <c r="I11" s="258">
        <v>4057347</v>
      </c>
      <c r="J11" s="258">
        <v>2912175</v>
      </c>
      <c r="K11" s="258">
        <v>1307492</v>
      </c>
      <c r="L11" s="258">
        <v>374069</v>
      </c>
      <c r="M11" s="258">
        <v>267491</v>
      </c>
      <c r="N11" s="261">
        <f t="shared" si="1"/>
        <v>15040575</v>
      </c>
    </row>
    <row r="12" spans="1:14" x14ac:dyDescent="0.2">
      <c r="A12" s="270" t="s">
        <v>344</v>
      </c>
      <c r="B12" s="258">
        <v>120988504</v>
      </c>
      <c r="C12" s="258">
        <v>115164909</v>
      </c>
      <c r="D12" s="258">
        <v>121988187</v>
      </c>
      <c r="E12" s="258">
        <v>115932925</v>
      </c>
      <c r="F12" s="258">
        <v>117541749</v>
      </c>
      <c r="G12" s="258">
        <v>118279009</v>
      </c>
      <c r="H12" s="258">
        <v>121481554</v>
      </c>
      <c r="I12" s="258">
        <v>123903982</v>
      </c>
      <c r="J12" s="258">
        <v>111316081</v>
      </c>
      <c r="K12" s="258">
        <v>116397995</v>
      </c>
      <c r="L12" s="258">
        <v>115244447</v>
      </c>
      <c r="M12" s="258">
        <v>118354489</v>
      </c>
      <c r="N12" s="261">
        <f t="shared" si="1"/>
        <v>1416593831</v>
      </c>
    </row>
    <row r="13" spans="1:14" x14ac:dyDescent="0.2">
      <c r="A13" s="270">
        <v>35</v>
      </c>
      <c r="B13" s="258">
        <v>0</v>
      </c>
      <c r="C13" s="258">
        <v>0</v>
      </c>
      <c r="D13" s="258">
        <v>0</v>
      </c>
      <c r="E13" s="258">
        <v>0</v>
      </c>
      <c r="F13" s="258">
        <v>301084</v>
      </c>
      <c r="G13" s="258">
        <v>647045</v>
      </c>
      <c r="H13" s="258">
        <v>678187</v>
      </c>
      <c r="I13" s="258">
        <v>959670</v>
      </c>
      <c r="J13" s="258">
        <v>768919</v>
      </c>
      <c r="K13" s="258">
        <v>778502</v>
      </c>
      <c r="L13" s="258">
        <v>306860</v>
      </c>
      <c r="M13" s="258">
        <v>0</v>
      </c>
      <c r="N13" s="261">
        <f t="shared" si="1"/>
        <v>4440267</v>
      </c>
    </row>
    <row r="14" spans="1:14" x14ac:dyDescent="0.2">
      <c r="A14" s="270">
        <v>43</v>
      </c>
      <c r="B14" s="258">
        <v>14744500</v>
      </c>
      <c r="C14" s="258">
        <v>13855493</v>
      </c>
      <c r="D14" s="258">
        <v>14459725</v>
      </c>
      <c r="E14" s="258">
        <v>11179689</v>
      </c>
      <c r="F14" s="258">
        <v>9680375</v>
      </c>
      <c r="G14" s="258">
        <v>8167263</v>
      </c>
      <c r="H14" s="258">
        <v>6389495</v>
      </c>
      <c r="I14" s="258">
        <v>5295444</v>
      </c>
      <c r="J14" s="258">
        <v>5864300</v>
      </c>
      <c r="K14" s="258">
        <v>8464033</v>
      </c>
      <c r="L14" s="258">
        <v>10962677</v>
      </c>
      <c r="M14" s="258">
        <v>14170813</v>
      </c>
      <c r="N14" s="261">
        <f t="shared" si="1"/>
        <v>123233807</v>
      </c>
    </row>
    <row r="15" spans="1:14" x14ac:dyDescent="0.2">
      <c r="A15" s="270">
        <v>46</v>
      </c>
      <c r="B15" s="258">
        <v>7358585</v>
      </c>
      <c r="C15" s="258">
        <v>7417345</v>
      </c>
      <c r="D15" s="258">
        <v>8153972</v>
      </c>
      <c r="E15" s="258">
        <v>7629369</v>
      </c>
      <c r="F15" s="258">
        <v>8357952</v>
      </c>
      <c r="G15" s="258">
        <v>9172256</v>
      </c>
      <c r="H15" s="258">
        <v>10141427</v>
      </c>
      <c r="I15" s="258">
        <v>9542796</v>
      </c>
      <c r="J15" s="258">
        <v>8153050</v>
      </c>
      <c r="K15" s="258">
        <v>7582748</v>
      </c>
      <c r="L15" s="258">
        <v>6575843</v>
      </c>
      <c r="M15" s="258">
        <v>7118980</v>
      </c>
      <c r="N15" s="261">
        <f t="shared" si="1"/>
        <v>97204323</v>
      </c>
    </row>
    <row r="16" spans="1:14" x14ac:dyDescent="0.2">
      <c r="A16" s="270">
        <v>49</v>
      </c>
      <c r="B16" s="258">
        <v>46073941</v>
      </c>
      <c r="C16" s="258">
        <v>43639613</v>
      </c>
      <c r="D16" s="258">
        <v>45130714</v>
      </c>
      <c r="E16" s="258">
        <v>44279263</v>
      </c>
      <c r="F16" s="258">
        <v>44759688</v>
      </c>
      <c r="G16" s="258">
        <v>43435682</v>
      </c>
      <c r="H16" s="258">
        <v>45553424</v>
      </c>
      <c r="I16" s="258">
        <v>45667694</v>
      </c>
      <c r="J16" s="258">
        <v>43743111</v>
      </c>
      <c r="K16" s="258">
        <v>44636571</v>
      </c>
      <c r="L16" s="258">
        <v>43938336</v>
      </c>
      <c r="M16" s="258">
        <v>45450416</v>
      </c>
      <c r="N16" s="261">
        <f t="shared" si="1"/>
        <v>536308453</v>
      </c>
    </row>
    <row r="17" spans="1:15" x14ac:dyDescent="0.2">
      <c r="A17" s="270" t="s">
        <v>345</v>
      </c>
      <c r="B17" s="258">
        <v>26645815</v>
      </c>
      <c r="C17" s="258">
        <v>23421843</v>
      </c>
      <c r="D17" s="258">
        <v>24943830</v>
      </c>
      <c r="E17" s="258">
        <v>23819517</v>
      </c>
      <c r="F17" s="258">
        <v>23775373</v>
      </c>
      <c r="G17" s="258">
        <v>23957451</v>
      </c>
      <c r="H17" s="258">
        <v>26489769</v>
      </c>
      <c r="I17" s="258">
        <v>27146373</v>
      </c>
      <c r="J17" s="258">
        <v>24716404</v>
      </c>
      <c r="K17" s="258">
        <v>24706922</v>
      </c>
      <c r="L17" s="258">
        <v>26143386</v>
      </c>
      <c r="M17" s="258">
        <v>28874971</v>
      </c>
      <c r="N17" s="261">
        <f t="shared" si="1"/>
        <v>304641654</v>
      </c>
    </row>
    <row r="18" spans="1:15" x14ac:dyDescent="0.2">
      <c r="A18" s="270" t="s">
        <v>346</v>
      </c>
      <c r="B18" s="258">
        <v>5807002</v>
      </c>
      <c r="C18" s="258">
        <v>5108848</v>
      </c>
      <c r="D18" s="258">
        <v>5967208</v>
      </c>
      <c r="E18" s="258">
        <v>5516278</v>
      </c>
      <c r="F18" s="258">
        <v>5451333</v>
      </c>
      <c r="G18" s="258">
        <v>5020300</v>
      </c>
      <c r="H18" s="258">
        <v>5946161</v>
      </c>
      <c r="I18" s="258">
        <v>5478727</v>
      </c>
      <c r="J18" s="258">
        <v>5577097</v>
      </c>
      <c r="K18" s="258">
        <v>6379440</v>
      </c>
      <c r="L18" s="258">
        <v>5413888</v>
      </c>
      <c r="M18" s="258">
        <v>5824470</v>
      </c>
      <c r="N18" s="261">
        <f t="shared" si="1"/>
        <v>67490752</v>
      </c>
    </row>
    <row r="19" spans="1:15" x14ac:dyDescent="0.2">
      <c r="A19" s="270" t="s">
        <v>197</v>
      </c>
      <c r="B19" s="258">
        <v>169293574</v>
      </c>
      <c r="C19" s="258">
        <v>157988302</v>
      </c>
      <c r="D19" s="258">
        <v>164977959</v>
      </c>
      <c r="E19" s="258">
        <v>149210047</v>
      </c>
      <c r="F19" s="258">
        <v>154078811</v>
      </c>
      <c r="G19" s="258">
        <v>168741091</v>
      </c>
      <c r="H19" s="258">
        <v>176122410</v>
      </c>
      <c r="I19" s="258">
        <v>176589371</v>
      </c>
      <c r="J19" s="258">
        <v>165540464</v>
      </c>
      <c r="K19" s="258">
        <v>165995894</v>
      </c>
      <c r="L19" s="258">
        <v>162859831</v>
      </c>
      <c r="M19" s="258">
        <v>166906760</v>
      </c>
      <c r="N19" s="261">
        <f t="shared" si="1"/>
        <v>1978304514</v>
      </c>
    </row>
    <row r="20" spans="1:15" x14ac:dyDescent="0.2">
      <c r="A20" s="270" t="s">
        <v>347</v>
      </c>
      <c r="B20" s="258">
        <v>855565.87971811299</v>
      </c>
      <c r="C20" s="258">
        <v>885131.02685962501</v>
      </c>
      <c r="D20" s="258">
        <v>836527.18470560608</v>
      </c>
      <c r="E20" s="258">
        <v>595879.39488679206</v>
      </c>
      <c r="F20" s="258">
        <v>443812.32013172796</v>
      </c>
      <c r="G20" s="258">
        <v>317417.07008727704</v>
      </c>
      <c r="H20" s="258">
        <v>274419.21978482901</v>
      </c>
      <c r="I20" s="258">
        <v>267056.67004226596</v>
      </c>
      <c r="J20" s="258">
        <v>303388.61603868898</v>
      </c>
      <c r="K20" s="258">
        <v>476161.83106648998</v>
      </c>
      <c r="L20" s="258">
        <v>660652.97025576292</v>
      </c>
      <c r="M20" s="258">
        <v>866567.87496696599</v>
      </c>
      <c r="N20" s="261">
        <f t="shared" si="1"/>
        <v>6782580.058544145</v>
      </c>
    </row>
    <row r="21" spans="1:15" x14ac:dyDescent="0.2">
      <c r="A21" s="10" t="s">
        <v>10</v>
      </c>
      <c r="B21" s="259">
        <f t="shared" ref="B21:N21" si="2">SUM(B6:B20)</f>
        <v>2279848609.8797183</v>
      </c>
      <c r="C21" s="259">
        <f t="shared" si="2"/>
        <v>2080885500.0268595</v>
      </c>
      <c r="D21" s="259">
        <f t="shared" si="2"/>
        <v>2091767067.1847055</v>
      </c>
      <c r="E21" s="259">
        <f t="shared" si="2"/>
        <v>1832822521.3948867</v>
      </c>
      <c r="F21" s="259">
        <f t="shared" si="2"/>
        <v>1735483540.3201318</v>
      </c>
      <c r="G21" s="259">
        <f t="shared" si="2"/>
        <v>1714114973.0700872</v>
      </c>
      <c r="H21" s="259">
        <f t="shared" si="2"/>
        <v>1858897483.2197847</v>
      </c>
      <c r="I21" s="259">
        <f t="shared" si="2"/>
        <v>1875368707.6700423</v>
      </c>
      <c r="J21" s="259">
        <f t="shared" si="2"/>
        <v>1706942359.6160388</v>
      </c>
      <c r="K21" s="259">
        <f t="shared" si="2"/>
        <v>1870863696.8310666</v>
      </c>
      <c r="L21" s="259">
        <f t="shared" si="2"/>
        <v>2060185314.9702559</v>
      </c>
      <c r="M21" s="259">
        <f t="shared" si="2"/>
        <v>2362644993.8749671</v>
      </c>
      <c r="N21" s="262">
        <f t="shared" si="2"/>
        <v>23469824768.058544</v>
      </c>
    </row>
    <row r="22" spans="1:15" s="246" customFormat="1" x14ac:dyDescent="0.2">
      <c r="A22" s="260" t="s">
        <v>203</v>
      </c>
      <c r="B22" s="247">
        <v>0</v>
      </c>
      <c r="C22" s="247">
        <v>0</v>
      </c>
      <c r="D22" s="247">
        <v>0</v>
      </c>
      <c r="E22" s="247">
        <v>0</v>
      </c>
      <c r="F22" s="247">
        <v>0</v>
      </c>
      <c r="G22" s="247">
        <v>0</v>
      </c>
      <c r="H22" s="247">
        <v>0</v>
      </c>
      <c r="I22" s="247">
        <v>0</v>
      </c>
      <c r="J22" s="247">
        <v>0</v>
      </c>
      <c r="K22" s="247">
        <v>0</v>
      </c>
      <c r="L22" s="247">
        <v>0</v>
      </c>
      <c r="M22" s="247">
        <v>0</v>
      </c>
      <c r="N22" s="263"/>
    </row>
    <row r="23" spans="1:15" x14ac:dyDescent="0.2">
      <c r="B23" s="73"/>
    </row>
    <row r="24" spans="1:15" x14ac:dyDescent="0.2">
      <c r="A24" s="136" t="s">
        <v>348</v>
      </c>
      <c r="B24" s="136"/>
      <c r="J24" s="136"/>
      <c r="K24" s="136"/>
      <c r="L24" s="136"/>
      <c r="M24" s="265" t="s">
        <v>350</v>
      </c>
      <c r="N24" s="261">
        <f>738422*1000</f>
        <v>738422000</v>
      </c>
    </row>
    <row r="25" spans="1:15" x14ac:dyDescent="0.2">
      <c r="A25" s="136"/>
      <c r="B25" s="136"/>
      <c r="J25" s="136"/>
      <c r="K25" s="136"/>
      <c r="L25" s="136"/>
      <c r="M25" s="265" t="s">
        <v>353</v>
      </c>
      <c r="N25" s="261">
        <f>N17</f>
        <v>304641654</v>
      </c>
    </row>
    <row r="26" spans="1:15" x14ac:dyDescent="0.2">
      <c r="A26" s="136"/>
      <c r="B26" s="136"/>
      <c r="J26" s="136"/>
      <c r="K26" s="136"/>
      <c r="L26" s="136"/>
      <c r="M26" s="265" t="s">
        <v>354</v>
      </c>
      <c r="N26" s="261">
        <f>N19</f>
        <v>1978304514</v>
      </c>
    </row>
    <row r="27" spans="1:15" ht="12" thickBot="1" x14ac:dyDescent="0.25">
      <c r="J27" s="136"/>
      <c r="K27" s="136"/>
      <c r="L27" s="136"/>
      <c r="M27" s="265" t="s">
        <v>355</v>
      </c>
      <c r="N27" s="264">
        <f>N21-SUM(N24:N26)</f>
        <v>20448456600.058544</v>
      </c>
      <c r="O27" s="10" t="s">
        <v>358</v>
      </c>
    </row>
    <row r="28" spans="1:15" ht="12" thickTop="1" x14ac:dyDescent="0.2">
      <c r="N28" s="261"/>
      <c r="O28" s="73"/>
    </row>
    <row r="29" spans="1:15" ht="12" thickBot="1" x14ac:dyDescent="0.25">
      <c r="M29" s="265" t="s">
        <v>356</v>
      </c>
      <c r="N29" s="264">
        <f>+N27+N24</f>
        <v>21186878600.058544</v>
      </c>
      <c r="O29" s="10" t="s">
        <v>357</v>
      </c>
    </row>
    <row r="30" spans="1:15" ht="12" thickTop="1" x14ac:dyDescent="0.2"/>
  </sheetData>
  <mergeCells count="2">
    <mergeCell ref="A1:M1"/>
    <mergeCell ref="A2:M2"/>
  </mergeCells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"/>
  <sheetViews>
    <sheetView workbookViewId="0">
      <selection activeCell="B36" sqref="B36"/>
    </sheetView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ADC8EA720D3694B8BFDC7697E7C74F8" ma:contentTypeVersion="24" ma:contentTypeDescription="" ma:contentTypeScope="" ma:versionID="dc38cd01d781f6709f74b6f4a38b79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2023-09-29T07:00:00+00:00</OpenedDate>
    <SignificantOrder xmlns="dc463f71-b30c-4ab2-9473-d307f9d35888">false</SignificantOrder>
    <Date1 xmlns="dc463f71-b30c-4ab2-9473-d307f9d35888">2023-12-27T08:00:00+00:00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230805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B24322C-72FB-438C-9328-9B7E69DC681A}"/>
</file>

<file path=customXml/itemProps2.xml><?xml version="1.0" encoding="utf-8"?>
<ds:datastoreItem xmlns:ds="http://schemas.openxmlformats.org/officeDocument/2006/customXml" ds:itemID="{1023B0EA-2059-4B66-AF79-2D0F1851C255}"/>
</file>

<file path=customXml/itemProps3.xml><?xml version="1.0" encoding="utf-8"?>
<ds:datastoreItem xmlns:ds="http://schemas.openxmlformats.org/officeDocument/2006/customXml" ds:itemID="{F4A89098-EBC3-41E5-BC00-52ABC5EEB3F5}"/>
</file>

<file path=customXml/itemProps4.xml><?xml version="1.0" encoding="utf-8"?>
<ds:datastoreItem xmlns:ds="http://schemas.openxmlformats.org/officeDocument/2006/customXml" ds:itemID="{5F95A2D5-8069-44AB-ADC1-FE01B7F61C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Sch 95</vt:lpstr>
      <vt:lpstr>Street &amp; Area Lighting</vt:lpstr>
      <vt:lpstr>Revenue Impacts Sch 95</vt:lpstr>
      <vt:lpstr>Rate Spread</vt:lpstr>
      <vt:lpstr>Typical Residential Notice</vt:lpstr>
      <vt:lpstr>WorkPapers-&gt;</vt:lpstr>
      <vt:lpstr>2024 Variable PC Deficiency</vt:lpstr>
      <vt:lpstr>F2023 Forecasted Delivered Load</vt:lpstr>
      <vt:lpstr>2022 GRC Compliance--&gt;</vt:lpstr>
      <vt:lpstr>2022 GRC Load Research - Energy</vt:lpstr>
      <vt:lpstr>2022 GRC PCA Costs</vt:lpstr>
      <vt:lpstr>2022 GRC Conversion Factor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Rasanen</dc:creator>
  <cp:lastModifiedBy>Zakharova, Elena</cp:lastModifiedBy>
  <cp:lastPrinted>2020-11-23T18:15:28Z</cp:lastPrinted>
  <dcterms:created xsi:type="dcterms:W3CDTF">2001-02-07T23:54:25Z</dcterms:created>
  <dcterms:modified xsi:type="dcterms:W3CDTF">2023-12-26T17:55:27Z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0x0101006E56B4D1795A2E4DB2F0B01679ED314A009ADC8EA720D3694B8BFDC7697E7C74F8</vt:lpwstr>
  </property>
  <property fmtid="{D5CDD505-2E9C-101B-9397-08002B2CF9AE}" pid="3" name="_docset_NoMedatataSyncRequired">
    <vt:lpwstr>False</vt:lpwstr>
  </property>
</Properties>
</file>