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1790"/>
  </bookViews>
  <sheets>
    <sheet name="2186 Other - Salvage" sheetId="1" r:id="rId1"/>
  </sheets>
  <definedNames>
    <definedName name="_xlnm.Print_Area" localSheetId="0">'2186 Other - Salvage'!$A$1:$Z$121</definedName>
    <definedName name="_xlnm.Print_Titles" localSheetId="0">'2186 Other - Salvage'!$A:$C,'2186 Other - Salvage'!$1:$12</definedName>
  </definedNames>
  <calcPr calcId="145621" fullCalcOnLoad="1" iterate="1" concurrentManualCount="4"/>
</workbook>
</file>

<file path=xl/calcChain.xml><?xml version="1.0" encoding="utf-8"?>
<calcChain xmlns="http://schemas.openxmlformats.org/spreadsheetml/2006/main">
  <c r="M213" i="1" l="1"/>
  <c r="N213" i="1" s="1"/>
  <c r="O213" i="1" s="1"/>
  <c r="K213" i="1"/>
  <c r="J213" i="1"/>
  <c r="I212" i="1"/>
  <c r="J212" i="1" s="1"/>
  <c r="K212" i="1" s="1"/>
  <c r="M212" i="1"/>
  <c r="N212" i="1" s="1"/>
  <c r="O212" i="1" s="1"/>
  <c r="K211" i="1"/>
  <c r="J211" i="1"/>
  <c r="N210" i="1"/>
  <c r="O210" i="1" s="1"/>
  <c r="M210" i="1"/>
  <c r="J210" i="1"/>
  <c r="K210" i="1" s="1"/>
  <c r="O209" i="1"/>
  <c r="N209" i="1"/>
  <c r="M209" i="1"/>
  <c r="J209" i="1"/>
  <c r="K209" i="1" s="1"/>
  <c r="M208" i="1"/>
  <c r="M207" i="1"/>
  <c r="N207" i="1" s="1"/>
  <c r="O207" i="1" s="1"/>
  <c r="K207" i="1"/>
  <c r="J207" i="1"/>
  <c r="I208" i="1" s="1"/>
  <c r="J208" i="1" s="1"/>
  <c r="K208" i="1" s="1"/>
  <c r="T203" i="1"/>
  <c r="M203" i="1"/>
  <c r="N203" i="1" s="1"/>
  <c r="O203" i="1" s="1"/>
  <c r="J203" i="1"/>
  <c r="T201" i="1"/>
  <c r="T202" i="1" s="1"/>
  <c r="M202" i="1"/>
  <c r="J201" i="1"/>
  <c r="I202" i="1" s="1"/>
  <c r="J202" i="1" s="1"/>
  <c r="T197" i="1"/>
  <c r="P197" i="1"/>
  <c r="Q197" i="1" s="1"/>
  <c r="O197" i="1"/>
  <c r="S197" i="1" s="1"/>
  <c r="N197" i="1"/>
  <c r="M197" i="1"/>
  <c r="J197" i="1"/>
  <c r="T196" i="1"/>
  <c r="S196" i="1"/>
  <c r="P196" i="1"/>
  <c r="Q196" i="1" s="1"/>
  <c r="O196" i="1"/>
  <c r="N196" i="1"/>
  <c r="M196" i="1"/>
  <c r="J196" i="1"/>
  <c r="T195" i="1"/>
  <c r="S195" i="1"/>
  <c r="P195" i="1"/>
  <c r="Q195" i="1" s="1"/>
  <c r="O195" i="1"/>
  <c r="N195" i="1"/>
  <c r="M195" i="1"/>
  <c r="J195" i="1"/>
  <c r="T194" i="1"/>
  <c r="S194" i="1"/>
  <c r="P194" i="1"/>
  <c r="Q194" i="1" s="1"/>
  <c r="O194" i="1"/>
  <c r="N194" i="1"/>
  <c r="M194" i="1"/>
  <c r="J194" i="1"/>
  <c r="T193" i="1"/>
  <c r="S193" i="1"/>
  <c r="P193" i="1"/>
  <c r="Q193" i="1" s="1"/>
  <c r="O193" i="1"/>
  <c r="N193" i="1"/>
  <c r="M193" i="1"/>
  <c r="J193" i="1"/>
  <c r="T192" i="1"/>
  <c r="S192" i="1"/>
  <c r="P192" i="1"/>
  <c r="Q192" i="1" s="1"/>
  <c r="O192" i="1"/>
  <c r="N192" i="1"/>
  <c r="M192" i="1"/>
  <c r="J192" i="1"/>
  <c r="T191" i="1"/>
  <c r="S191" i="1"/>
  <c r="P191" i="1"/>
  <c r="Q191" i="1" s="1"/>
  <c r="O191" i="1"/>
  <c r="N191" i="1"/>
  <c r="M191" i="1"/>
  <c r="J191" i="1"/>
  <c r="T190" i="1"/>
  <c r="S190" i="1"/>
  <c r="P190" i="1"/>
  <c r="Q190" i="1" s="1"/>
  <c r="O190" i="1"/>
  <c r="N190" i="1"/>
  <c r="M190" i="1"/>
  <c r="J190" i="1"/>
  <c r="T189" i="1"/>
  <c r="S189" i="1"/>
  <c r="P189" i="1"/>
  <c r="Q189" i="1" s="1"/>
  <c r="O189" i="1"/>
  <c r="N189" i="1"/>
  <c r="M189" i="1"/>
  <c r="J189" i="1"/>
  <c r="T188" i="1"/>
  <c r="S188" i="1"/>
  <c r="P188" i="1"/>
  <c r="Q188" i="1" s="1"/>
  <c r="O188" i="1"/>
  <c r="N188" i="1"/>
  <c r="M188" i="1"/>
  <c r="J188" i="1"/>
  <c r="T187" i="1"/>
  <c r="S187" i="1"/>
  <c r="P187" i="1"/>
  <c r="Q187" i="1" s="1"/>
  <c r="O187" i="1"/>
  <c r="N187" i="1"/>
  <c r="M187" i="1"/>
  <c r="J187" i="1"/>
  <c r="T186" i="1"/>
  <c r="S186" i="1"/>
  <c r="P186" i="1"/>
  <c r="Q186" i="1" s="1"/>
  <c r="O186" i="1"/>
  <c r="N186" i="1"/>
  <c r="M186" i="1"/>
  <c r="J186" i="1"/>
  <c r="T185" i="1"/>
  <c r="S185" i="1"/>
  <c r="P185" i="1"/>
  <c r="Q185" i="1" s="1"/>
  <c r="O185" i="1"/>
  <c r="N185" i="1"/>
  <c r="M185" i="1"/>
  <c r="J185" i="1"/>
  <c r="T184" i="1"/>
  <c r="S184" i="1"/>
  <c r="P184" i="1"/>
  <c r="Q184" i="1" s="1"/>
  <c r="O184" i="1"/>
  <c r="N184" i="1"/>
  <c r="M184" i="1"/>
  <c r="J184" i="1"/>
  <c r="T183" i="1"/>
  <c r="S183" i="1"/>
  <c r="P183" i="1"/>
  <c r="Q183" i="1" s="1"/>
  <c r="O183" i="1"/>
  <c r="N183" i="1"/>
  <c r="M183" i="1"/>
  <c r="J183" i="1"/>
  <c r="T182" i="1"/>
  <c r="S182" i="1"/>
  <c r="P182" i="1"/>
  <c r="Q182" i="1" s="1"/>
  <c r="O182" i="1"/>
  <c r="N182" i="1"/>
  <c r="M182" i="1"/>
  <c r="J182" i="1"/>
  <c r="T181" i="1"/>
  <c r="S181" i="1"/>
  <c r="P181" i="1"/>
  <c r="Q181" i="1" s="1"/>
  <c r="O181" i="1"/>
  <c r="N181" i="1"/>
  <c r="M181" i="1"/>
  <c r="J181" i="1"/>
  <c r="T180" i="1"/>
  <c r="S180" i="1"/>
  <c r="P180" i="1"/>
  <c r="Q180" i="1" s="1"/>
  <c r="O180" i="1"/>
  <c r="N180" i="1"/>
  <c r="M180" i="1"/>
  <c r="J180" i="1"/>
  <c r="T179" i="1"/>
  <c r="S179" i="1"/>
  <c r="P179" i="1"/>
  <c r="Q179" i="1" s="1"/>
  <c r="O179" i="1"/>
  <c r="N179" i="1"/>
  <c r="M179" i="1"/>
  <c r="J179" i="1"/>
  <c r="T178" i="1"/>
  <c r="S178" i="1"/>
  <c r="P178" i="1"/>
  <c r="Q178" i="1" s="1"/>
  <c r="O178" i="1"/>
  <c r="N178" i="1"/>
  <c r="M178" i="1"/>
  <c r="J178" i="1"/>
  <c r="T177" i="1"/>
  <c r="S177" i="1"/>
  <c r="P177" i="1"/>
  <c r="Q177" i="1" s="1"/>
  <c r="O177" i="1"/>
  <c r="N177" i="1"/>
  <c r="M177" i="1"/>
  <c r="J177" i="1"/>
  <c r="T176" i="1"/>
  <c r="S176" i="1"/>
  <c r="P176" i="1"/>
  <c r="Q176" i="1" s="1"/>
  <c r="O176" i="1"/>
  <c r="N176" i="1"/>
  <c r="M176" i="1"/>
  <c r="J176" i="1"/>
  <c r="T175" i="1"/>
  <c r="S175" i="1"/>
  <c r="P175" i="1"/>
  <c r="Q175" i="1" s="1"/>
  <c r="O175" i="1"/>
  <c r="N175" i="1"/>
  <c r="M175" i="1"/>
  <c r="J175" i="1"/>
  <c r="T174" i="1"/>
  <c r="S174" i="1"/>
  <c r="P174" i="1"/>
  <c r="Q174" i="1" s="1"/>
  <c r="O174" i="1"/>
  <c r="N174" i="1"/>
  <c r="M174" i="1"/>
  <c r="J174" i="1"/>
  <c r="T173" i="1"/>
  <c r="S173" i="1"/>
  <c r="P173" i="1"/>
  <c r="Q173" i="1" s="1"/>
  <c r="O173" i="1"/>
  <c r="N173" i="1"/>
  <c r="M173" i="1"/>
  <c r="J173" i="1"/>
  <c r="T172" i="1"/>
  <c r="S172" i="1"/>
  <c r="P172" i="1"/>
  <c r="Q172" i="1" s="1"/>
  <c r="O172" i="1"/>
  <c r="N172" i="1"/>
  <c r="M172" i="1"/>
  <c r="J172" i="1"/>
  <c r="T171" i="1"/>
  <c r="S171" i="1"/>
  <c r="P171" i="1"/>
  <c r="Q171" i="1" s="1"/>
  <c r="O171" i="1"/>
  <c r="N171" i="1"/>
  <c r="M171" i="1"/>
  <c r="J171" i="1"/>
  <c r="T170" i="1"/>
  <c r="S170" i="1"/>
  <c r="P170" i="1"/>
  <c r="Q170" i="1" s="1"/>
  <c r="O170" i="1"/>
  <c r="N170" i="1"/>
  <c r="M170" i="1"/>
  <c r="J170" i="1"/>
  <c r="T169" i="1"/>
  <c r="S169" i="1"/>
  <c r="P169" i="1"/>
  <c r="Q169" i="1" s="1"/>
  <c r="O169" i="1"/>
  <c r="N169" i="1"/>
  <c r="M169" i="1"/>
  <c r="J169" i="1"/>
  <c r="T168" i="1"/>
  <c r="S168" i="1"/>
  <c r="P168" i="1"/>
  <c r="Q168" i="1" s="1"/>
  <c r="O168" i="1"/>
  <c r="N168" i="1"/>
  <c r="M168" i="1"/>
  <c r="J168" i="1"/>
  <c r="T167" i="1"/>
  <c r="S167" i="1"/>
  <c r="P167" i="1"/>
  <c r="Q167" i="1" s="1"/>
  <c r="O167" i="1"/>
  <c r="N167" i="1"/>
  <c r="M167" i="1"/>
  <c r="J167" i="1"/>
  <c r="T166" i="1"/>
  <c r="S166" i="1"/>
  <c r="P166" i="1"/>
  <c r="Q166" i="1" s="1"/>
  <c r="O166" i="1"/>
  <c r="N166" i="1"/>
  <c r="M166" i="1"/>
  <c r="J166" i="1"/>
  <c r="T165" i="1"/>
  <c r="S165" i="1"/>
  <c r="P165" i="1"/>
  <c r="Q165" i="1" s="1"/>
  <c r="O165" i="1"/>
  <c r="N165" i="1"/>
  <c r="M165" i="1"/>
  <c r="J165" i="1"/>
  <c r="T164" i="1"/>
  <c r="S164" i="1"/>
  <c r="P164" i="1"/>
  <c r="Q164" i="1" s="1"/>
  <c r="O164" i="1"/>
  <c r="N164" i="1"/>
  <c r="M164" i="1"/>
  <c r="J164" i="1"/>
  <c r="T163" i="1"/>
  <c r="S163" i="1"/>
  <c r="P163" i="1"/>
  <c r="Q163" i="1" s="1"/>
  <c r="O163" i="1"/>
  <c r="N163" i="1"/>
  <c r="M163" i="1"/>
  <c r="J163" i="1"/>
  <c r="T162" i="1"/>
  <c r="S162" i="1"/>
  <c r="P162" i="1"/>
  <c r="Q162" i="1" s="1"/>
  <c r="O162" i="1"/>
  <c r="N162" i="1"/>
  <c r="M162" i="1"/>
  <c r="J162" i="1"/>
  <c r="T161" i="1"/>
  <c r="S161" i="1"/>
  <c r="P161" i="1"/>
  <c r="Q161" i="1" s="1"/>
  <c r="O161" i="1"/>
  <c r="N161" i="1"/>
  <c r="M161" i="1"/>
  <c r="J161" i="1"/>
  <c r="T160" i="1"/>
  <c r="S160" i="1"/>
  <c r="P160" i="1"/>
  <c r="Q160" i="1" s="1"/>
  <c r="O160" i="1"/>
  <c r="N160" i="1"/>
  <c r="M160" i="1"/>
  <c r="J160" i="1"/>
  <c r="T159" i="1"/>
  <c r="S159" i="1"/>
  <c r="P159" i="1"/>
  <c r="Q159" i="1" s="1"/>
  <c r="O159" i="1"/>
  <c r="N159" i="1"/>
  <c r="M159" i="1"/>
  <c r="J159" i="1"/>
  <c r="T158" i="1"/>
  <c r="S158" i="1"/>
  <c r="P158" i="1"/>
  <c r="Q158" i="1" s="1"/>
  <c r="O158" i="1"/>
  <c r="N158" i="1"/>
  <c r="M158" i="1"/>
  <c r="J158" i="1"/>
  <c r="T157" i="1"/>
  <c r="S157" i="1"/>
  <c r="P157" i="1"/>
  <c r="Q157" i="1" s="1"/>
  <c r="O157" i="1"/>
  <c r="N157" i="1"/>
  <c r="M157" i="1"/>
  <c r="J157" i="1"/>
  <c r="T156" i="1"/>
  <c r="S156" i="1"/>
  <c r="P156" i="1"/>
  <c r="Q156" i="1" s="1"/>
  <c r="O156" i="1"/>
  <c r="N156" i="1"/>
  <c r="M156" i="1"/>
  <c r="J156" i="1"/>
  <c r="T155" i="1"/>
  <c r="S155" i="1"/>
  <c r="P155" i="1"/>
  <c r="Q155" i="1" s="1"/>
  <c r="O155" i="1"/>
  <c r="N155" i="1"/>
  <c r="M155" i="1"/>
  <c r="J155" i="1"/>
  <c r="T154" i="1"/>
  <c r="S154" i="1"/>
  <c r="P154" i="1"/>
  <c r="Q154" i="1" s="1"/>
  <c r="O154" i="1"/>
  <c r="N154" i="1"/>
  <c r="M154" i="1"/>
  <c r="J154" i="1"/>
  <c r="T153" i="1"/>
  <c r="S153" i="1"/>
  <c r="P153" i="1"/>
  <c r="Q153" i="1" s="1"/>
  <c r="O153" i="1"/>
  <c r="N153" i="1"/>
  <c r="M153" i="1"/>
  <c r="J153" i="1"/>
  <c r="T152" i="1"/>
  <c r="S152" i="1"/>
  <c r="P152" i="1"/>
  <c r="Q152" i="1" s="1"/>
  <c r="O152" i="1"/>
  <c r="N152" i="1"/>
  <c r="M152" i="1"/>
  <c r="J152" i="1"/>
  <c r="T151" i="1"/>
  <c r="S151" i="1"/>
  <c r="P151" i="1"/>
  <c r="Q151" i="1" s="1"/>
  <c r="O151" i="1"/>
  <c r="N151" i="1"/>
  <c r="M151" i="1"/>
  <c r="J151" i="1"/>
  <c r="T150" i="1"/>
  <c r="S150" i="1"/>
  <c r="P150" i="1"/>
  <c r="Q150" i="1" s="1"/>
  <c r="O150" i="1"/>
  <c r="N150" i="1"/>
  <c r="M150" i="1"/>
  <c r="J150" i="1"/>
  <c r="T149" i="1"/>
  <c r="S149" i="1"/>
  <c r="P149" i="1"/>
  <c r="Q149" i="1" s="1"/>
  <c r="O149" i="1"/>
  <c r="N149" i="1"/>
  <c r="M149" i="1"/>
  <c r="J149" i="1"/>
  <c r="T148" i="1"/>
  <c r="S148" i="1"/>
  <c r="P148" i="1"/>
  <c r="Q148" i="1" s="1"/>
  <c r="O148" i="1"/>
  <c r="N148" i="1"/>
  <c r="M148" i="1"/>
  <c r="J148" i="1"/>
  <c r="T147" i="1"/>
  <c r="S147" i="1"/>
  <c r="P147" i="1"/>
  <c r="Q147" i="1" s="1"/>
  <c r="O147" i="1"/>
  <c r="N147" i="1"/>
  <c r="M147" i="1"/>
  <c r="J147" i="1"/>
  <c r="T146" i="1"/>
  <c r="S146" i="1"/>
  <c r="P146" i="1"/>
  <c r="Q146" i="1" s="1"/>
  <c r="O146" i="1"/>
  <c r="N146" i="1"/>
  <c r="M146" i="1"/>
  <c r="J146" i="1"/>
  <c r="T145" i="1"/>
  <c r="S145" i="1"/>
  <c r="P145" i="1"/>
  <c r="Q145" i="1" s="1"/>
  <c r="O145" i="1"/>
  <c r="N145" i="1"/>
  <c r="M145" i="1"/>
  <c r="J145" i="1"/>
  <c r="T144" i="1"/>
  <c r="S144" i="1"/>
  <c r="Q144" i="1"/>
  <c r="P144" i="1"/>
  <c r="O144" i="1"/>
  <c r="N144" i="1"/>
  <c r="M144" i="1"/>
  <c r="J144" i="1"/>
  <c r="T143" i="1"/>
  <c r="S143" i="1"/>
  <c r="Q143" i="1"/>
  <c r="P143" i="1"/>
  <c r="O143" i="1"/>
  <c r="N143" i="1"/>
  <c r="M143" i="1"/>
  <c r="J143" i="1"/>
  <c r="T142" i="1"/>
  <c r="S142" i="1"/>
  <c r="Q142" i="1"/>
  <c r="P142" i="1"/>
  <c r="O142" i="1"/>
  <c r="N142" i="1"/>
  <c r="M142" i="1"/>
  <c r="J142" i="1"/>
  <c r="T141" i="1"/>
  <c r="S141" i="1"/>
  <c r="Q141" i="1"/>
  <c r="P141" i="1"/>
  <c r="O141" i="1"/>
  <c r="N141" i="1"/>
  <c r="M141" i="1"/>
  <c r="J141" i="1"/>
  <c r="T140" i="1"/>
  <c r="S140" i="1"/>
  <c r="Q140" i="1"/>
  <c r="P140" i="1"/>
  <c r="O140" i="1"/>
  <c r="N140" i="1"/>
  <c r="M140" i="1"/>
  <c r="J140" i="1"/>
  <c r="T139" i="1"/>
  <c r="S139" i="1"/>
  <c r="Q139" i="1"/>
  <c r="P139" i="1"/>
  <c r="O139" i="1"/>
  <c r="N139" i="1"/>
  <c r="M139" i="1"/>
  <c r="J139" i="1"/>
  <c r="T138" i="1"/>
  <c r="S138" i="1"/>
  <c r="Q138" i="1"/>
  <c r="P138" i="1"/>
  <c r="O138" i="1"/>
  <c r="N138" i="1"/>
  <c r="M138" i="1"/>
  <c r="J138" i="1"/>
  <c r="T137" i="1"/>
  <c r="S137" i="1"/>
  <c r="Q137" i="1"/>
  <c r="P137" i="1"/>
  <c r="O137" i="1"/>
  <c r="N137" i="1"/>
  <c r="M137" i="1"/>
  <c r="J137" i="1"/>
  <c r="T136" i="1"/>
  <c r="S136" i="1"/>
  <c r="Q136" i="1"/>
  <c r="P136" i="1"/>
  <c r="O136" i="1"/>
  <c r="N136" i="1"/>
  <c r="M136" i="1"/>
  <c r="J136" i="1"/>
  <c r="T135" i="1"/>
  <c r="S135" i="1"/>
  <c r="Q135" i="1"/>
  <c r="P135" i="1"/>
  <c r="O135" i="1"/>
  <c r="N135" i="1"/>
  <c r="M135" i="1"/>
  <c r="J135" i="1"/>
  <c r="T134" i="1"/>
  <c r="S134" i="1"/>
  <c r="Q134" i="1"/>
  <c r="P134" i="1"/>
  <c r="O134" i="1"/>
  <c r="N134" i="1"/>
  <c r="M134" i="1"/>
  <c r="J134" i="1"/>
  <c r="T129" i="1"/>
  <c r="S129" i="1"/>
  <c r="Q129" i="1"/>
  <c r="P129" i="1"/>
  <c r="O129" i="1"/>
  <c r="N129" i="1"/>
  <c r="M129" i="1"/>
  <c r="J129" i="1"/>
  <c r="T118" i="1"/>
  <c r="S118" i="1"/>
  <c r="R118" i="1"/>
  <c r="Q118" i="1"/>
  <c r="P118" i="1"/>
  <c r="O118" i="1"/>
  <c r="N118" i="1"/>
  <c r="M118" i="1"/>
  <c r="L118" i="1"/>
  <c r="Q112" i="1"/>
  <c r="L112" i="1"/>
  <c r="M110" i="1"/>
  <c r="M112" i="1" s="1"/>
  <c r="K110" i="1"/>
  <c r="J110" i="1"/>
  <c r="N109" i="1"/>
  <c r="O109" i="1" s="1"/>
  <c r="M109" i="1"/>
  <c r="J109" i="1"/>
  <c r="K109" i="1" s="1"/>
  <c r="Q106" i="1"/>
  <c r="N103" i="1"/>
  <c r="O103" i="1" s="1"/>
  <c r="M103" i="1"/>
  <c r="L103" i="1"/>
  <c r="X103" i="1" s="1"/>
  <c r="J103" i="1"/>
  <c r="K103" i="1" s="1"/>
  <c r="M102" i="1"/>
  <c r="N102" i="1" s="1"/>
  <c r="O102" i="1" s="1"/>
  <c r="K102" i="1"/>
  <c r="J102" i="1"/>
  <c r="W101" i="1"/>
  <c r="L101" i="1"/>
  <c r="M101" i="1" s="1"/>
  <c r="N101" i="1" s="1"/>
  <c r="O101" i="1" s="1"/>
  <c r="J101" i="1"/>
  <c r="K101" i="1" s="1"/>
  <c r="W100" i="1"/>
  <c r="N100" i="1"/>
  <c r="O100" i="1" s="1"/>
  <c r="L100" i="1"/>
  <c r="M100" i="1" s="1"/>
  <c r="K100" i="1"/>
  <c r="J100" i="1"/>
  <c r="X99" i="1"/>
  <c r="O99" i="1"/>
  <c r="N99" i="1"/>
  <c r="M99" i="1"/>
  <c r="K99" i="1"/>
  <c r="J99" i="1"/>
  <c r="X98" i="1"/>
  <c r="W98" i="1"/>
  <c r="N98" i="1"/>
  <c r="O98" i="1" s="1"/>
  <c r="M98" i="1"/>
  <c r="L98" i="1"/>
  <c r="J98" i="1"/>
  <c r="K98" i="1" s="1"/>
  <c r="M97" i="1"/>
  <c r="N97" i="1" s="1"/>
  <c r="O97" i="1" s="1"/>
  <c r="K97" i="1"/>
  <c r="J97" i="1"/>
  <c r="M96" i="1"/>
  <c r="N96" i="1" s="1"/>
  <c r="O96" i="1" s="1"/>
  <c r="K96" i="1"/>
  <c r="J96" i="1"/>
  <c r="M95" i="1"/>
  <c r="N95" i="1" s="1"/>
  <c r="O95" i="1" s="1"/>
  <c r="J95" i="1"/>
  <c r="K95" i="1" s="1"/>
  <c r="O94" i="1"/>
  <c r="N94" i="1"/>
  <c r="M94" i="1"/>
  <c r="J94" i="1"/>
  <c r="K94" i="1" s="1"/>
  <c r="M93" i="1"/>
  <c r="N93" i="1" s="1"/>
  <c r="O93" i="1" s="1"/>
  <c r="K93" i="1"/>
  <c r="J93" i="1"/>
  <c r="N92" i="1"/>
  <c r="O92" i="1" s="1"/>
  <c r="M92" i="1"/>
  <c r="K92" i="1"/>
  <c r="J92" i="1"/>
  <c r="N91" i="1"/>
  <c r="O91" i="1" s="1"/>
  <c r="M91" i="1"/>
  <c r="J91" i="1"/>
  <c r="K91" i="1" s="1"/>
  <c r="O90" i="1"/>
  <c r="N90" i="1"/>
  <c r="M90" i="1"/>
  <c r="J90" i="1"/>
  <c r="K90" i="1" s="1"/>
  <c r="M89" i="1"/>
  <c r="N89" i="1" s="1"/>
  <c r="O89" i="1" s="1"/>
  <c r="K89" i="1"/>
  <c r="J89" i="1"/>
  <c r="N88" i="1"/>
  <c r="O88" i="1" s="1"/>
  <c r="M88" i="1"/>
  <c r="K88" i="1"/>
  <c r="J88" i="1"/>
  <c r="N87" i="1"/>
  <c r="O87" i="1" s="1"/>
  <c r="M87" i="1"/>
  <c r="J87" i="1"/>
  <c r="K87" i="1" s="1"/>
  <c r="O86" i="1"/>
  <c r="N86" i="1"/>
  <c r="M86" i="1"/>
  <c r="J86" i="1"/>
  <c r="K86" i="1" s="1"/>
  <c r="M85" i="1"/>
  <c r="N85" i="1" s="1"/>
  <c r="O85" i="1" s="1"/>
  <c r="K85" i="1"/>
  <c r="J85" i="1"/>
  <c r="N84" i="1"/>
  <c r="O84" i="1" s="1"/>
  <c r="M84" i="1"/>
  <c r="K84" i="1"/>
  <c r="J84" i="1"/>
  <c r="N83" i="1"/>
  <c r="O83" i="1" s="1"/>
  <c r="M83" i="1"/>
  <c r="J83" i="1"/>
  <c r="K83" i="1" s="1"/>
  <c r="O82" i="1"/>
  <c r="N82" i="1"/>
  <c r="M82" i="1"/>
  <c r="J82" i="1"/>
  <c r="K82" i="1" s="1"/>
  <c r="M81" i="1"/>
  <c r="N81" i="1" s="1"/>
  <c r="O81" i="1" s="1"/>
  <c r="K81" i="1"/>
  <c r="J81" i="1"/>
  <c r="N80" i="1"/>
  <c r="O80" i="1" s="1"/>
  <c r="M80" i="1"/>
  <c r="K80" i="1"/>
  <c r="J80" i="1"/>
  <c r="N79" i="1"/>
  <c r="O79" i="1" s="1"/>
  <c r="M79" i="1"/>
  <c r="J79" i="1"/>
  <c r="K79" i="1" s="1"/>
  <c r="O78" i="1"/>
  <c r="N78" i="1"/>
  <c r="M78" i="1"/>
  <c r="J78" i="1"/>
  <c r="K78" i="1" s="1"/>
  <c r="M77" i="1"/>
  <c r="N77" i="1" s="1"/>
  <c r="O77" i="1" s="1"/>
  <c r="K77" i="1"/>
  <c r="J77" i="1"/>
  <c r="N76" i="1"/>
  <c r="O76" i="1" s="1"/>
  <c r="M76" i="1"/>
  <c r="K76" i="1"/>
  <c r="J76" i="1"/>
  <c r="N75" i="1"/>
  <c r="O75" i="1" s="1"/>
  <c r="M75" i="1"/>
  <c r="J75" i="1"/>
  <c r="K75" i="1" s="1"/>
  <c r="O74" i="1"/>
  <c r="N74" i="1"/>
  <c r="M74" i="1"/>
  <c r="J74" i="1"/>
  <c r="K74" i="1" s="1"/>
  <c r="M73" i="1"/>
  <c r="N73" i="1" s="1"/>
  <c r="O73" i="1" s="1"/>
  <c r="K73" i="1"/>
  <c r="J73" i="1"/>
  <c r="N72" i="1"/>
  <c r="O72" i="1" s="1"/>
  <c r="M72" i="1"/>
  <c r="K72" i="1"/>
  <c r="J72" i="1"/>
  <c r="N71" i="1"/>
  <c r="M71" i="1"/>
  <c r="M106" i="1" s="1"/>
  <c r="J71" i="1"/>
  <c r="K71" i="1" s="1"/>
  <c r="Q68" i="1"/>
  <c r="N66" i="1"/>
  <c r="O66" i="1" s="1"/>
  <c r="M66" i="1"/>
  <c r="L66" i="1"/>
  <c r="X66" i="1" s="1"/>
  <c r="J66" i="1"/>
  <c r="K66" i="1" s="1"/>
  <c r="X65" i="1"/>
  <c r="M65" i="1"/>
  <c r="N65" i="1" s="1"/>
  <c r="O65" i="1" s="1"/>
  <c r="K65" i="1"/>
  <c r="J65" i="1"/>
  <c r="W64" i="1"/>
  <c r="X64" i="1" s="1"/>
  <c r="N64" i="1"/>
  <c r="O64" i="1" s="1"/>
  <c r="M64" i="1"/>
  <c r="K64" i="1"/>
  <c r="J64" i="1"/>
  <c r="O63" i="1"/>
  <c r="N63" i="1"/>
  <c r="M63" i="1"/>
  <c r="J63" i="1"/>
  <c r="K63" i="1" s="1"/>
  <c r="N62" i="1"/>
  <c r="O62" i="1" s="1"/>
  <c r="M62" i="1"/>
  <c r="K62" i="1"/>
  <c r="J62" i="1"/>
  <c r="O61" i="1"/>
  <c r="N61" i="1"/>
  <c r="M61" i="1"/>
  <c r="K61" i="1"/>
  <c r="J61" i="1"/>
  <c r="N60" i="1"/>
  <c r="O60" i="1" s="1"/>
  <c r="M60" i="1"/>
  <c r="K60" i="1"/>
  <c r="J60" i="1"/>
  <c r="O59" i="1"/>
  <c r="N59" i="1"/>
  <c r="M59" i="1"/>
  <c r="K59" i="1"/>
  <c r="J59" i="1"/>
  <c r="M58" i="1"/>
  <c r="N58" i="1" s="1"/>
  <c r="O58" i="1" s="1"/>
  <c r="L58" i="1"/>
  <c r="L68" i="1" s="1"/>
  <c r="J58" i="1"/>
  <c r="K58" i="1" s="1"/>
  <c r="N57" i="1"/>
  <c r="O57" i="1" s="1"/>
  <c r="M57" i="1"/>
  <c r="K57" i="1"/>
  <c r="J57" i="1"/>
  <c r="M56" i="1"/>
  <c r="N56" i="1" s="1"/>
  <c r="O56" i="1" s="1"/>
  <c r="K56" i="1"/>
  <c r="J56" i="1"/>
  <c r="M55" i="1"/>
  <c r="M68" i="1" s="1"/>
  <c r="K55" i="1"/>
  <c r="J55" i="1"/>
  <c r="Q52" i="1"/>
  <c r="O50" i="1"/>
  <c r="N50" i="1"/>
  <c r="M50" i="1"/>
  <c r="J50" i="1"/>
  <c r="K50" i="1" s="1"/>
  <c r="M49" i="1"/>
  <c r="N49" i="1" s="1"/>
  <c r="O49" i="1" s="1"/>
  <c r="K49" i="1"/>
  <c r="J49" i="1"/>
  <c r="I48" i="1"/>
  <c r="J48" i="1" s="1"/>
  <c r="K48" i="1" s="1"/>
  <c r="K47" i="1"/>
  <c r="J47" i="1"/>
  <c r="N46" i="1"/>
  <c r="O46" i="1" s="1"/>
  <c r="M46" i="1"/>
  <c r="J46" i="1"/>
  <c r="K46" i="1" s="1"/>
  <c r="M45" i="1"/>
  <c r="N44" i="1"/>
  <c r="O44" i="1" s="1"/>
  <c r="M44" i="1"/>
  <c r="J44" i="1"/>
  <c r="M43" i="1"/>
  <c r="N43" i="1" s="1"/>
  <c r="O43" i="1" s="1"/>
  <c r="K43" i="1"/>
  <c r="P43" i="1" s="1"/>
  <c r="J43" i="1"/>
  <c r="I42" i="1"/>
  <c r="J42" i="1" s="1"/>
  <c r="K42" i="1" s="1"/>
  <c r="K41" i="1"/>
  <c r="J41" i="1"/>
  <c r="Q37" i="1"/>
  <c r="L37" i="1"/>
  <c r="X35" i="1"/>
  <c r="M35" i="1"/>
  <c r="N35" i="1" s="1"/>
  <c r="O35" i="1" s="1"/>
  <c r="K35" i="1"/>
  <c r="J35" i="1"/>
  <c r="X34" i="1"/>
  <c r="M34" i="1"/>
  <c r="N34" i="1" s="1"/>
  <c r="O34" i="1" s="1"/>
  <c r="K34" i="1"/>
  <c r="P34" i="1" s="1"/>
  <c r="J34" i="1"/>
  <c r="X33" i="1"/>
  <c r="O33" i="1"/>
  <c r="N33" i="1"/>
  <c r="M33" i="1"/>
  <c r="J33" i="1"/>
  <c r="K33" i="1" s="1"/>
  <c r="X32" i="1"/>
  <c r="N32" i="1"/>
  <c r="O32" i="1" s="1"/>
  <c r="M32" i="1"/>
  <c r="K32" i="1"/>
  <c r="J32" i="1"/>
  <c r="O31" i="1"/>
  <c r="N31" i="1"/>
  <c r="M31" i="1"/>
  <c r="K31" i="1"/>
  <c r="P31" i="1" s="1"/>
  <c r="J31" i="1"/>
  <c r="N30" i="1"/>
  <c r="O30" i="1" s="1"/>
  <c r="M30" i="1"/>
  <c r="K30" i="1"/>
  <c r="J30" i="1"/>
  <c r="N29" i="1"/>
  <c r="O29" i="1" s="1"/>
  <c r="M29" i="1"/>
  <c r="K29" i="1"/>
  <c r="P29" i="1" s="1"/>
  <c r="J29" i="1"/>
  <c r="X28" i="1"/>
  <c r="M28" i="1"/>
  <c r="N28" i="1" s="1"/>
  <c r="O28" i="1" s="1"/>
  <c r="J28" i="1"/>
  <c r="K28" i="1" s="1"/>
  <c r="X27" i="1"/>
  <c r="N27" i="1"/>
  <c r="O27" i="1" s="1"/>
  <c r="M27" i="1"/>
  <c r="K27" i="1"/>
  <c r="J27" i="1"/>
  <c r="N26" i="1"/>
  <c r="O26" i="1" s="1"/>
  <c r="M26" i="1"/>
  <c r="K26" i="1"/>
  <c r="P26" i="1" s="1"/>
  <c r="J26" i="1"/>
  <c r="M25" i="1"/>
  <c r="N25" i="1" s="1"/>
  <c r="O25" i="1" s="1"/>
  <c r="J25" i="1"/>
  <c r="K25" i="1" s="1"/>
  <c r="P25" i="1" s="1"/>
  <c r="N24" i="1"/>
  <c r="O24" i="1" s="1"/>
  <c r="M24" i="1"/>
  <c r="K24" i="1"/>
  <c r="P24" i="1" s="1"/>
  <c r="J24" i="1"/>
  <c r="M23" i="1"/>
  <c r="N23" i="1" s="1"/>
  <c r="O23" i="1" s="1"/>
  <c r="J23" i="1"/>
  <c r="K23" i="1" s="1"/>
  <c r="P23" i="1" s="1"/>
  <c r="N22" i="1"/>
  <c r="O22" i="1" s="1"/>
  <c r="M22" i="1"/>
  <c r="K22" i="1"/>
  <c r="P22" i="1" s="1"/>
  <c r="J22" i="1"/>
  <c r="M21" i="1"/>
  <c r="N21" i="1" s="1"/>
  <c r="O21" i="1" s="1"/>
  <c r="J21" i="1"/>
  <c r="K21" i="1" s="1"/>
  <c r="P21" i="1" s="1"/>
  <c r="N20" i="1"/>
  <c r="O20" i="1" s="1"/>
  <c r="M20" i="1"/>
  <c r="J20" i="1"/>
  <c r="K20" i="1" s="1"/>
  <c r="P20" i="1" s="1"/>
  <c r="M19" i="1"/>
  <c r="N19" i="1" s="1"/>
  <c r="O19" i="1" s="1"/>
  <c r="J19" i="1"/>
  <c r="K19" i="1" s="1"/>
  <c r="P19" i="1" s="1"/>
  <c r="O18" i="1"/>
  <c r="N18" i="1"/>
  <c r="M18" i="1"/>
  <c r="J18" i="1"/>
  <c r="K18" i="1" s="1"/>
  <c r="P18" i="1" s="1"/>
  <c r="M17" i="1"/>
  <c r="N17" i="1" s="1"/>
  <c r="O17" i="1" s="1"/>
  <c r="K17" i="1"/>
  <c r="P17" i="1" s="1"/>
  <c r="J17" i="1"/>
  <c r="M16" i="1"/>
  <c r="N16" i="1" s="1"/>
  <c r="O16" i="1" s="1"/>
  <c r="K16" i="1"/>
  <c r="P16" i="1" s="1"/>
  <c r="J16" i="1"/>
  <c r="N15" i="1"/>
  <c r="M15" i="1"/>
  <c r="J15" i="1"/>
  <c r="K15" i="1" s="1"/>
  <c r="P15" i="1" s="1"/>
  <c r="T12" i="1"/>
  <c r="N5" i="1"/>
  <c r="T16" i="1" l="1"/>
  <c r="R16" i="1"/>
  <c r="S16" i="1" s="1"/>
  <c r="T43" i="1"/>
  <c r="R43" i="1"/>
  <c r="S43" i="1" s="1"/>
  <c r="T18" i="1"/>
  <c r="S18" i="1"/>
  <c r="R18" i="1"/>
  <c r="T22" i="1"/>
  <c r="S22" i="1"/>
  <c r="R22" i="1"/>
  <c r="T26" i="1"/>
  <c r="R26" i="1"/>
  <c r="S26" i="1" s="1"/>
  <c r="T15" i="1"/>
  <c r="R15" i="1"/>
  <c r="T29" i="1"/>
  <c r="R29" i="1"/>
  <c r="S29" i="1" s="1"/>
  <c r="T31" i="1"/>
  <c r="S31" i="1"/>
  <c r="R31" i="1"/>
  <c r="S34" i="1"/>
  <c r="R34" i="1"/>
  <c r="T34" i="1" s="1"/>
  <c r="R17" i="1"/>
  <c r="S17" i="1" s="1"/>
  <c r="T17" i="1"/>
  <c r="M37" i="1"/>
  <c r="R19" i="1"/>
  <c r="S19" i="1" s="1"/>
  <c r="R20" i="1"/>
  <c r="S20" i="1" s="1"/>
  <c r="T20" i="1"/>
  <c r="T21" i="1"/>
  <c r="S23" i="1"/>
  <c r="R23" i="1"/>
  <c r="P46" i="1"/>
  <c r="P58" i="1"/>
  <c r="P61" i="1"/>
  <c r="N37" i="1"/>
  <c r="R24" i="1"/>
  <c r="S24" i="1" s="1"/>
  <c r="T24" i="1"/>
  <c r="T25" i="1"/>
  <c r="P28" i="1"/>
  <c r="P33" i="1"/>
  <c r="P50" i="1"/>
  <c r="P57" i="1"/>
  <c r="P59" i="1"/>
  <c r="P74" i="1"/>
  <c r="P77" i="1"/>
  <c r="P82" i="1"/>
  <c r="P85" i="1"/>
  <c r="P90" i="1"/>
  <c r="P93" i="1"/>
  <c r="P203" i="1"/>
  <c r="P202" i="1"/>
  <c r="P201" i="1"/>
  <c r="P211" i="1"/>
  <c r="P62" i="1"/>
  <c r="P64" i="1"/>
  <c r="O15" i="1"/>
  <c r="O37" i="1" s="1"/>
  <c r="R21" i="1"/>
  <c r="S21" i="1" s="1"/>
  <c r="P30" i="1"/>
  <c r="M42" i="1"/>
  <c r="N42" i="1" s="1"/>
  <c r="O42" i="1" s="1"/>
  <c r="P42" i="1" s="1"/>
  <c r="M41" i="1"/>
  <c r="M48" i="1"/>
  <c r="N48" i="1" s="1"/>
  <c r="O48" i="1" s="1"/>
  <c r="P48" i="1" s="1"/>
  <c r="M47" i="1"/>
  <c r="N47" i="1" s="1"/>
  <c r="O47" i="1" s="1"/>
  <c r="P56" i="1"/>
  <c r="P63" i="1"/>
  <c r="P65" i="1"/>
  <c r="T19" i="1"/>
  <c r="T23" i="1"/>
  <c r="R25" i="1"/>
  <c r="S25" i="1" s="1"/>
  <c r="P27" i="1"/>
  <c r="P32" i="1"/>
  <c r="P35" i="1"/>
  <c r="P41" i="1"/>
  <c r="I45" i="1"/>
  <c r="J45" i="1" s="1"/>
  <c r="K45" i="1" s="1"/>
  <c r="K44" i="1"/>
  <c r="P44" i="1" s="1"/>
  <c r="P47" i="1"/>
  <c r="P49" i="1"/>
  <c r="P55" i="1"/>
  <c r="P60" i="1"/>
  <c r="P73" i="1"/>
  <c r="P78" i="1"/>
  <c r="P81" i="1"/>
  <c r="P86" i="1"/>
  <c r="P89" i="1"/>
  <c r="N55" i="1"/>
  <c r="N106" i="1"/>
  <c r="O71" i="1"/>
  <c r="O106" i="1" s="1"/>
  <c r="P72" i="1"/>
  <c r="P76" i="1"/>
  <c r="P80" i="1"/>
  <c r="P84" i="1"/>
  <c r="P88" i="1"/>
  <c r="P92" i="1"/>
  <c r="P97" i="1"/>
  <c r="P100" i="1"/>
  <c r="P101" i="1"/>
  <c r="P102" i="1"/>
  <c r="P71" i="1"/>
  <c r="P75" i="1"/>
  <c r="P79" i="1"/>
  <c r="P83" i="1"/>
  <c r="P87" i="1"/>
  <c r="P91" i="1"/>
  <c r="P96" i="1"/>
  <c r="P99" i="1"/>
  <c r="P66" i="1"/>
  <c r="P94" i="1"/>
  <c r="P95" i="1"/>
  <c r="P98" i="1"/>
  <c r="X101" i="1"/>
  <c r="N112" i="1"/>
  <c r="Q120" i="1"/>
  <c r="P212" i="1"/>
  <c r="L106" i="1"/>
  <c r="P110" i="1"/>
  <c r="N202" i="1"/>
  <c r="O202" i="1" s="1"/>
  <c r="N208" i="1"/>
  <c r="O208" i="1" s="1"/>
  <c r="P109" i="1"/>
  <c r="P208" i="1"/>
  <c r="P209" i="1"/>
  <c r="P210" i="1"/>
  <c r="P213" i="1"/>
  <c r="X100" i="1"/>
  <c r="P103" i="1"/>
  <c r="N110" i="1"/>
  <c r="O110" i="1" s="1"/>
  <c r="O112" i="1" s="1"/>
  <c r="P207" i="1"/>
  <c r="M211" i="1"/>
  <c r="N211" i="1" s="1"/>
  <c r="O211" i="1" s="1"/>
  <c r="M201" i="1"/>
  <c r="N201" i="1" s="1"/>
  <c r="O201" i="1" s="1"/>
  <c r="R42" i="1" l="1"/>
  <c r="S42" i="1" s="1"/>
  <c r="R48" i="1"/>
  <c r="S48" i="1"/>
  <c r="R208" i="1"/>
  <c r="S208" i="1" s="1"/>
  <c r="T110" i="1"/>
  <c r="S110" i="1"/>
  <c r="R110" i="1"/>
  <c r="R98" i="1"/>
  <c r="R99" i="1"/>
  <c r="S99" i="1"/>
  <c r="T99" i="1"/>
  <c r="R83" i="1"/>
  <c r="S83" i="1" s="1"/>
  <c r="T83" i="1"/>
  <c r="T102" i="1"/>
  <c r="S102" i="1"/>
  <c r="R102" i="1"/>
  <c r="T92" i="1"/>
  <c r="R92" i="1"/>
  <c r="S92" i="1" s="1"/>
  <c r="T76" i="1"/>
  <c r="R76" i="1"/>
  <c r="S76" i="1" s="1"/>
  <c r="N68" i="1"/>
  <c r="O55" i="1"/>
  <c r="O68" i="1" s="1"/>
  <c r="R78" i="1"/>
  <c r="S78" i="1"/>
  <c r="T78" i="1"/>
  <c r="T49" i="1"/>
  <c r="R49" i="1"/>
  <c r="S49" i="1" s="1"/>
  <c r="T41" i="1"/>
  <c r="R41" i="1"/>
  <c r="R65" i="1"/>
  <c r="S65" i="1" s="1"/>
  <c r="T65" i="1" s="1"/>
  <c r="R30" i="1"/>
  <c r="S30" i="1" s="1"/>
  <c r="T30" i="1"/>
  <c r="T62" i="1"/>
  <c r="R62" i="1"/>
  <c r="S62" i="1" s="1"/>
  <c r="S203" i="1"/>
  <c r="R203" i="1"/>
  <c r="R82" i="1"/>
  <c r="T82" i="1" s="1"/>
  <c r="S82" i="1"/>
  <c r="R57" i="1"/>
  <c r="S57" i="1"/>
  <c r="T57" i="1"/>
  <c r="S28" i="1"/>
  <c r="R28" i="1"/>
  <c r="T28" i="1"/>
  <c r="P37" i="1"/>
  <c r="P112" i="1"/>
  <c r="R109" i="1"/>
  <c r="R112" i="1" s="1"/>
  <c r="T109" i="1"/>
  <c r="T112" i="1" s="1"/>
  <c r="S109" i="1"/>
  <c r="S112" i="1" s="1"/>
  <c r="R79" i="1"/>
  <c r="T79" i="1" s="1"/>
  <c r="S79" i="1"/>
  <c r="T88" i="1"/>
  <c r="S88" i="1"/>
  <c r="R88" i="1"/>
  <c r="S89" i="1"/>
  <c r="T89" i="1"/>
  <c r="R89" i="1"/>
  <c r="T47" i="1"/>
  <c r="T48" i="1" s="1"/>
  <c r="R47" i="1"/>
  <c r="S47" i="1" s="1"/>
  <c r="R63" i="1"/>
  <c r="T63" i="1"/>
  <c r="S63" i="1"/>
  <c r="M52" i="1"/>
  <c r="M120" i="1" s="1"/>
  <c r="N41" i="1"/>
  <c r="T211" i="1"/>
  <c r="T212" i="1" s="1"/>
  <c r="R211" i="1"/>
  <c r="S211" i="1" s="1"/>
  <c r="T93" i="1"/>
  <c r="R93" i="1"/>
  <c r="S93" i="1" s="1"/>
  <c r="S77" i="1"/>
  <c r="R77" i="1"/>
  <c r="T77" i="1" s="1"/>
  <c r="T50" i="1"/>
  <c r="S50" i="1"/>
  <c r="R50" i="1"/>
  <c r="R46" i="1"/>
  <c r="T46" i="1"/>
  <c r="S46" i="1"/>
  <c r="R96" i="1"/>
  <c r="R101" i="1"/>
  <c r="T101" i="1" s="1"/>
  <c r="S101" i="1"/>
  <c r="T72" i="1"/>
  <c r="R72" i="1"/>
  <c r="S72" i="1" s="1"/>
  <c r="S73" i="1"/>
  <c r="T73" i="1"/>
  <c r="R73" i="1"/>
  <c r="R207" i="1"/>
  <c r="S207" i="1" s="1"/>
  <c r="T207" i="1"/>
  <c r="T208" i="1" s="1"/>
  <c r="R210" i="1"/>
  <c r="T210" i="1"/>
  <c r="S210" i="1"/>
  <c r="S212" i="1"/>
  <c r="R212" i="1"/>
  <c r="R94" i="1"/>
  <c r="S94" i="1"/>
  <c r="T94" i="1"/>
  <c r="R91" i="1"/>
  <c r="T91" i="1"/>
  <c r="S91" i="1"/>
  <c r="R75" i="1"/>
  <c r="S75" i="1" s="1"/>
  <c r="T75" i="1"/>
  <c r="R100" i="1"/>
  <c r="S100" i="1" s="1"/>
  <c r="T100" i="1" s="1"/>
  <c r="T84" i="1"/>
  <c r="R84" i="1"/>
  <c r="S84" i="1" s="1"/>
  <c r="R86" i="1"/>
  <c r="S86" i="1"/>
  <c r="T86" i="1"/>
  <c r="T60" i="1"/>
  <c r="R60" i="1"/>
  <c r="S60" i="1"/>
  <c r="R44" i="1"/>
  <c r="S44" i="1" s="1"/>
  <c r="T44" i="1"/>
  <c r="T45" i="1" s="1"/>
  <c r="R32" i="1"/>
  <c r="S32" i="1" s="1"/>
  <c r="T32" i="1" s="1"/>
  <c r="R56" i="1"/>
  <c r="S56" i="1" s="1"/>
  <c r="T56" i="1"/>
  <c r="L52" i="1"/>
  <c r="L120" i="1" s="1"/>
  <c r="R201" i="1"/>
  <c r="S201" i="1" s="1"/>
  <c r="R90" i="1"/>
  <c r="S90" i="1" s="1"/>
  <c r="T90" i="1"/>
  <c r="R74" i="1"/>
  <c r="S74" i="1"/>
  <c r="T74" i="1"/>
  <c r="N45" i="1"/>
  <c r="O45" i="1" s="1"/>
  <c r="R61" i="1"/>
  <c r="T61" i="1"/>
  <c r="S61" i="1"/>
  <c r="S15" i="1"/>
  <c r="T213" i="1"/>
  <c r="S213" i="1"/>
  <c r="R213" i="1"/>
  <c r="T95" i="1"/>
  <c r="R95" i="1"/>
  <c r="S95" i="1" s="1"/>
  <c r="R35" i="1"/>
  <c r="S35" i="1" s="1"/>
  <c r="T35" i="1" s="1"/>
  <c r="R103" i="1"/>
  <c r="S103" i="1" s="1"/>
  <c r="T103" i="1" s="1"/>
  <c r="R209" i="1"/>
  <c r="S209" i="1" s="1"/>
  <c r="T209" i="1"/>
  <c r="R66" i="1"/>
  <c r="S66" i="1"/>
  <c r="T66" i="1" s="1"/>
  <c r="R87" i="1"/>
  <c r="S87" i="1" s="1"/>
  <c r="T87" i="1"/>
  <c r="P106" i="1"/>
  <c r="R71" i="1"/>
  <c r="S71" i="1" s="1"/>
  <c r="T71" i="1"/>
  <c r="S97" i="1"/>
  <c r="R97" i="1"/>
  <c r="T97" i="1" s="1"/>
  <c r="S80" i="1"/>
  <c r="R80" i="1"/>
  <c r="T80" i="1" s="1"/>
  <c r="R81" i="1"/>
  <c r="S81" i="1" s="1"/>
  <c r="T81" i="1" s="1"/>
  <c r="P68" i="1"/>
  <c r="R55" i="1"/>
  <c r="T55" i="1"/>
  <c r="S55" i="1"/>
  <c r="P45" i="1"/>
  <c r="R27" i="1"/>
  <c r="R37" i="1" s="1"/>
  <c r="T27" i="1"/>
  <c r="S27" i="1"/>
  <c r="R64" i="1"/>
  <c r="R202" i="1"/>
  <c r="S202" i="1" s="1"/>
  <c r="R85" i="1"/>
  <c r="S85" i="1" s="1"/>
  <c r="T85" i="1" s="1"/>
  <c r="R59" i="1"/>
  <c r="S59" i="1" s="1"/>
  <c r="T59" i="1"/>
  <c r="R33" i="1"/>
  <c r="S33" i="1" s="1"/>
  <c r="T58" i="1"/>
  <c r="R58" i="1"/>
  <c r="S58" i="1" s="1"/>
  <c r="T37" i="1" l="1"/>
  <c r="T42" i="1"/>
  <c r="T52" i="1" s="1"/>
  <c r="T33" i="1"/>
  <c r="S64" i="1"/>
  <c r="S68" i="1" s="1"/>
  <c r="R68" i="1"/>
  <c r="S96" i="1"/>
  <c r="S106" i="1" s="1"/>
  <c r="R52" i="1"/>
  <c r="S98" i="1"/>
  <c r="T98" i="1" s="1"/>
  <c r="S45" i="1"/>
  <c r="R45" i="1"/>
  <c r="S37" i="1"/>
  <c r="P52" i="1"/>
  <c r="P120" i="1" s="1"/>
  <c r="R106" i="1"/>
  <c r="N52" i="1"/>
  <c r="N120" i="1" s="1"/>
  <c r="O41" i="1"/>
  <c r="O52" i="1" s="1"/>
  <c r="O120" i="1" s="1"/>
  <c r="S41" i="1"/>
  <c r="T64" i="1" l="1"/>
  <c r="T68" i="1" s="1"/>
  <c r="R120" i="1"/>
  <c r="S52" i="1"/>
  <c r="S120" i="1" s="1"/>
  <c r="T96" i="1"/>
  <c r="T106" i="1" s="1"/>
  <c r="T120" i="1" l="1"/>
</calcChain>
</file>

<file path=xl/comments1.xml><?xml version="1.0" encoding="utf-8"?>
<comments xmlns="http://schemas.openxmlformats.org/spreadsheetml/2006/main">
  <authors>
    <author>WCNX</author>
    <author>WCI Information Systems Department</author>
  </authors>
  <commentList>
    <comment ref="C49" author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Used for stormwater pumping.</t>
        </r>
      </text>
    </comment>
    <comment ref="C129" authorId="1">
      <text>
        <r>
          <rPr>
            <b/>
            <sz val="8"/>
            <color indexed="81"/>
            <rFont val="Tahoma"/>
            <family val="2"/>
          </rPr>
          <t>WCI Information Systems Department:</t>
        </r>
        <r>
          <rPr>
            <sz val="8"/>
            <color indexed="81"/>
            <rFont val="Tahoma"/>
            <family val="2"/>
          </rPr>
          <t xml:space="preserve">
45% of this asset was shown on the 2186 schedule for the 9/30/2010 filing.  This asset is listed on the 2187 FAR, so I moved it to that UTC schedule to be consistent with our new schedule methodology and it will be allocated between the two districts on the Proforma.</t>
        </r>
      </text>
    </comment>
  </commentList>
</comments>
</file>

<file path=xl/sharedStrings.xml><?xml version="1.0" encoding="utf-8"?>
<sst xmlns="http://schemas.openxmlformats.org/spreadsheetml/2006/main" count="502" uniqueCount="259">
  <si>
    <t>Gray's Harbor Hauling Other Assets</t>
  </si>
  <si>
    <t>Fixed Asset/Depreciation Schedule</t>
  </si>
  <si>
    <t>Effective Rate Month</t>
  </si>
  <si>
    <t>First year</t>
  </si>
  <si>
    <t>Second year</t>
  </si>
  <si>
    <t>Rate Effective Date</t>
  </si>
  <si>
    <t>Beginning</t>
  </si>
  <si>
    <t>Ending</t>
  </si>
  <si>
    <t>Year</t>
  </si>
  <si>
    <t>Mo</t>
  </si>
  <si>
    <t>%</t>
  </si>
  <si>
    <t>Accum</t>
  </si>
  <si>
    <t>Average</t>
  </si>
  <si>
    <t>Date in</t>
  </si>
  <si>
    <t>Salvage</t>
  </si>
  <si>
    <t>M</t>
  </si>
  <si>
    <t>Years</t>
  </si>
  <si>
    <t xml:space="preserve">Fully </t>
  </si>
  <si>
    <t>Year/Mo</t>
  </si>
  <si>
    <t>Asset</t>
  </si>
  <si>
    <t>Depr</t>
  </si>
  <si>
    <t xml:space="preserve">Monthly </t>
  </si>
  <si>
    <t>Annual</t>
  </si>
  <si>
    <t xml:space="preserve">Test Year </t>
  </si>
  <si>
    <t>Investment</t>
  </si>
  <si>
    <t>Codes</t>
  </si>
  <si>
    <t>Truck #/Qty</t>
  </si>
  <si>
    <t>Asset Classification</t>
  </si>
  <si>
    <t>FAS #</t>
  </si>
  <si>
    <t xml:space="preserve">Service </t>
  </si>
  <si>
    <t>Value</t>
  </si>
  <si>
    <t>Method</t>
  </si>
  <si>
    <t xml:space="preserve">Life </t>
  </si>
  <si>
    <t>Deprec</t>
  </si>
  <si>
    <t>Fully Deprec</t>
  </si>
  <si>
    <t>Cost</t>
  </si>
  <si>
    <t>CER</t>
  </si>
  <si>
    <t>Invoice Name</t>
  </si>
  <si>
    <t>Invoice Amount</t>
  </si>
  <si>
    <t>Difference</t>
  </si>
  <si>
    <t>Shop Equipment</t>
  </si>
  <si>
    <t>MILLCER COBCAT 250NT WELDER</t>
  </si>
  <si>
    <t>S/L</t>
  </si>
  <si>
    <t>POWERMAX PLASMA CUTTER</t>
  </si>
  <si>
    <t>POWER WASHER</t>
  </si>
  <si>
    <t>Power Washer</t>
  </si>
  <si>
    <t>Rider Mower</t>
  </si>
  <si>
    <t>SECURITY SYSTEM - ABERDEEN</t>
  </si>
  <si>
    <t>Tire Changer</t>
  </si>
  <si>
    <t>Hyster Forklift</t>
  </si>
  <si>
    <t>Shop Jacks</t>
  </si>
  <si>
    <t>(2) TSL-50 (Jacks &amp; Jack Stands)</t>
  </si>
  <si>
    <t>Repair Aberdeen Baler</t>
  </si>
  <si>
    <t>HOT WATER PRESSURE WASHER</t>
  </si>
  <si>
    <t>No depreciation or average investment - PFP</t>
  </si>
  <si>
    <t>Tennant Model 5680 Floor Scrubber</t>
  </si>
  <si>
    <t>Floor Scrubber - $14,214.49</t>
  </si>
  <si>
    <t>20 ft. Tilt Deck Equip. Trailer (U)</t>
  </si>
  <si>
    <t>Tilt Deck Trailer - $11,434.13</t>
  </si>
  <si>
    <t>2006 Ford F550 Service Truck (U)</t>
  </si>
  <si>
    <t>Panasonic Toughbook 53 (Shop)</t>
  </si>
  <si>
    <t>Toughbook &amp; Diagnostic Software</t>
  </si>
  <si>
    <t>JLG 1932RS Scissor Lift</t>
  </si>
  <si>
    <t>Scissor Lift - $11,826.50</t>
  </si>
  <si>
    <t>New Electrical Circuits for Shop Heaters</t>
  </si>
  <si>
    <t>Install Circuits - Shop Heaters - $3,178.44</t>
  </si>
  <si>
    <t>Shop Heaters</t>
  </si>
  <si>
    <t>Shop Heathers - $17,488.03</t>
  </si>
  <si>
    <t>Maintenance Shop Lighting</t>
  </si>
  <si>
    <t>Maintenance Shop Lighting - $14,677.12</t>
  </si>
  <si>
    <t>TOTAL SHOP EQUIPMENT</t>
  </si>
  <si>
    <t>SERVICE EQUIPMENT</t>
  </si>
  <si>
    <t>1989 CHEV 1500 - Supervisor Truck</t>
  </si>
  <si>
    <t>Truck #6017 Amort of Salvage</t>
  </si>
  <si>
    <t>HYSTER H60XL FORKLIFT (Spare Cont. Washing)</t>
  </si>
  <si>
    <t>07 Nissan Titan - Supervisor Truck</t>
  </si>
  <si>
    <t>Truck #6041 Amort of Salvage</t>
  </si>
  <si>
    <t>2006 Type S Pick Up Car</t>
  </si>
  <si>
    <t>2005 GMC SIERRA</t>
  </si>
  <si>
    <t>Truck #6039 Amort of Salvage</t>
  </si>
  <si>
    <t>1992 International Pumper Truck (U)</t>
  </si>
  <si>
    <t>2002 Type S Pick Up Car</t>
  </si>
  <si>
    <t>TOTAL SERVICE EQUIPMENT</t>
  </si>
  <si>
    <t>Office Equipment</t>
  </si>
  <si>
    <t>Safe -- Aberdeen</t>
  </si>
  <si>
    <t>05</t>
  </si>
  <si>
    <t>Aberdeen Alarm System</t>
  </si>
  <si>
    <t>RM LICENSES &amp; 12 USERS</t>
  </si>
  <si>
    <t>(4) HANDHELD RADIOS</t>
  </si>
  <si>
    <t>Truck Radios Invoice - Part 1 - Part 2</t>
  </si>
  <si>
    <t>B</t>
  </si>
  <si>
    <t>Sony Internet TV</t>
  </si>
  <si>
    <t>HP Prodesk 600 Desktop Computer</t>
  </si>
  <si>
    <t>Dell Wyse D10D Winterms</t>
  </si>
  <si>
    <t>HP Probook 640</t>
  </si>
  <si>
    <t>Winterms</t>
  </si>
  <si>
    <t>Phone System</t>
  </si>
  <si>
    <t>Phone System - Part 1 - Part 2</t>
  </si>
  <si>
    <t>HP ProBook 640 G2</t>
  </si>
  <si>
    <t>HP ProBook 640 G2 - $1,200.73</t>
  </si>
  <si>
    <t>New desks/Cubicles for Aberdeen Office</t>
  </si>
  <si>
    <t>191896/194798</t>
  </si>
  <si>
    <t>2186-18-0018-1</t>
  </si>
  <si>
    <t>Office Furniture - 22,451.97</t>
  </si>
  <si>
    <t>TOTAL OFFICE EQUIPMENT</t>
  </si>
  <si>
    <t>Buildings</t>
  </si>
  <si>
    <t>PETROLANE BLDG.</t>
  </si>
  <si>
    <t>10</t>
  </si>
  <si>
    <t>ABERDEEN BUILDING</t>
  </si>
  <si>
    <t>30</t>
  </si>
  <si>
    <t>IMPROVEMENTS</t>
  </si>
  <si>
    <t>31</t>
  </si>
  <si>
    <t>FENCE</t>
  </si>
  <si>
    <t>IMPROVEMENT</t>
  </si>
  <si>
    <t>ABERDEEN OFFICE-RENOVATE</t>
  </si>
  <si>
    <t>ABERDEEN OFFICE-REWIRE</t>
  </si>
  <si>
    <t>NEW OFFICE REMODEL</t>
  </si>
  <si>
    <t>NEW ABERDEEN DOORS</t>
  </si>
  <si>
    <t>32</t>
  </si>
  <si>
    <t>COMMERCIAL DOOR</t>
  </si>
  <si>
    <t>15</t>
  </si>
  <si>
    <t>NEW PAINT</t>
  </si>
  <si>
    <t>06</t>
  </si>
  <si>
    <t>ABERDEEN OFFICE</t>
  </si>
  <si>
    <t>39</t>
  </si>
  <si>
    <t>ABERDEEN SHOP</t>
  </si>
  <si>
    <t>ABERDEEN SHOP ROAD</t>
  </si>
  <si>
    <t>20</t>
  </si>
  <si>
    <t>PAVING AROUND ABERDEEN FACILITY</t>
  </si>
  <si>
    <t>ABERDEEN TRUCK WASH</t>
  </si>
  <si>
    <t>CONCRETE SLAB/FUEL TANK [ABERDEEN]</t>
  </si>
  <si>
    <t>PAVING -ABERDEEN SHOP</t>
  </si>
  <si>
    <t>GRAVEL ABERDEEN DROP BOX AREA</t>
  </si>
  <si>
    <t>PAVING AROUND RECYCLE WALLS</t>
  </si>
  <si>
    <t>CHAIN LINK FENCE (ABERDEEN)</t>
  </si>
  <si>
    <t>FURNACE</t>
  </si>
  <si>
    <t>ABERDEEN OFFICE UPSTAIRS</t>
  </si>
  <si>
    <t>PAINT BOOTH REMODEL</t>
  </si>
  <si>
    <t>NEW WASH RACK FACILITY</t>
  </si>
  <si>
    <t>87753, 88245, 98287</t>
  </si>
  <si>
    <t>2186-11-0013-1, 2186-12-0005-1</t>
  </si>
  <si>
    <t>Wash Rack Facility - Part 1 - Part 3</t>
  </si>
  <si>
    <t>Painting of Shop Building</t>
  </si>
  <si>
    <t>Painting of Shop Building - $24,628.48</t>
  </si>
  <si>
    <t>Stormwater Improvement</t>
  </si>
  <si>
    <t>97217, 97282, 97774, 97528</t>
  </si>
  <si>
    <t>2186-12-0012-1</t>
  </si>
  <si>
    <t>Storm Water Improvement - Part 1 - Part 5</t>
  </si>
  <si>
    <t>Storm Water Compliance/Improve</t>
  </si>
  <si>
    <t>102296, 101969</t>
  </si>
  <si>
    <t>Storm Water Compliance - Part 1 - Part 2</t>
  </si>
  <si>
    <t>Light Towers for Building</t>
  </si>
  <si>
    <t>Office Space Remodel</t>
  </si>
  <si>
    <t>105120, 105746</t>
  </si>
  <si>
    <t>2186-13-0011-1</t>
  </si>
  <si>
    <t>Office Remodel - $7,317.00</t>
  </si>
  <si>
    <t>TOTAL BUILDINGS</t>
  </si>
  <si>
    <t>Recycle Station</t>
  </si>
  <si>
    <t>1989 MITSUBISHI FORKLIFT (Recycle Stn)</t>
  </si>
  <si>
    <t>Rec Conveyor</t>
  </si>
  <si>
    <t>99 SCAT TRAK 1300D SKID</t>
  </si>
  <si>
    <t>TOTAL RECYCLE STATION</t>
  </si>
  <si>
    <t>Land</t>
  </si>
  <si>
    <t>ABERDEEN FIL</t>
  </si>
  <si>
    <t>TOTAL LAND</t>
  </si>
  <si>
    <t>GRAND TOTAL ASSETS</t>
  </si>
  <si>
    <t>Changes from 9/30/2010 Rate Case</t>
  </si>
  <si>
    <t>Phone System In Aberdeen</t>
  </si>
  <si>
    <t>ASSETS BELOW WERE DELETED IN 2011 PER CLEAN UP DONE BY DISTRICT PERSONNEL</t>
  </si>
  <si>
    <t>Tub Bottoms</t>
  </si>
  <si>
    <t>DYNA PAK</t>
  </si>
  <si>
    <t>Miller Welder</t>
  </si>
  <si>
    <t>Grand Vehicle Hoist</t>
  </si>
  <si>
    <t>18' x 9' Axle Scales</t>
  </si>
  <si>
    <t>Bush Set</t>
  </si>
  <si>
    <t>Bene Wade</t>
  </si>
  <si>
    <t>Shenandoah Heater</t>
  </si>
  <si>
    <t>Engine Scope</t>
  </si>
  <si>
    <t>Pro Clean &amp; Refractom</t>
  </si>
  <si>
    <t>Heater &amp; Tank w/ Stand</t>
  </si>
  <si>
    <t>Accurate Thumb (Unused)</t>
  </si>
  <si>
    <t>PAINT CAN CRUSHER</t>
  </si>
  <si>
    <t>TRUCK SCALE</t>
  </si>
  <si>
    <t>EGH ASSET</t>
  </si>
  <si>
    <t>EGH Recycle Equipment</t>
  </si>
  <si>
    <t>MOVE TANK REPAIR TO SHOP</t>
  </si>
  <si>
    <t>ALKOTA P/W MODEL 5181T-LP</t>
  </si>
  <si>
    <t>GPS EQUIPMENT</t>
  </si>
  <si>
    <t>ALKOTA P/W 530ITM STEAM CLEANER</t>
  </si>
  <si>
    <t>MISC TOOLS</t>
  </si>
  <si>
    <t>TIRE SPLITTER</t>
  </si>
  <si>
    <t>REFURBISH RECYCLE BELT</t>
  </si>
  <si>
    <t>Type = S  Bobcat Other</t>
  </si>
  <si>
    <t>(1) Robinair Machine ($2,700/each)</t>
  </si>
  <si>
    <t>Sharp Copier</t>
  </si>
  <si>
    <t>Computer</t>
  </si>
  <si>
    <t>Radio/Telephone Remote</t>
  </si>
  <si>
    <t>MICOM 2K+ UPGRADE KIT</t>
  </si>
  <si>
    <t>COMPUTER EQUIP.</t>
  </si>
  <si>
    <t>EPSON PRINTER (LQ570+)</t>
  </si>
  <si>
    <t>FAX MODEM &amp; CABLE</t>
  </si>
  <si>
    <t>PC &amp; MONITOR</t>
  </si>
  <si>
    <t>(2) PCs &amp; MONITORS</t>
  </si>
  <si>
    <t>ADD'L PMT ON DELROY'S PC</t>
  </si>
  <si>
    <t>P.C. - DELROY'S</t>
  </si>
  <si>
    <t>P.C. (Delroy - Fleet Maintenance)</t>
  </si>
  <si>
    <t>USE TAX ON DELROY'S PC</t>
  </si>
  <si>
    <t>USE TAX PD</t>
  </si>
  <si>
    <t>2 PCs &amp; 2 MONITORS</t>
  </si>
  <si>
    <t>PRINTERS - ROVING FLEET MAINTENANCE</t>
  </si>
  <si>
    <t>USE TAX ON #20097-2</t>
  </si>
  <si>
    <t>MONITOR W/ PRINTER</t>
  </si>
  <si>
    <t>COMPUTERS FROM EGH</t>
  </si>
  <si>
    <t>8 HP HUNTER SPINNER</t>
  </si>
  <si>
    <t>EGH OFFICE EQUIPMENT-USE TAX</t>
  </si>
  <si>
    <t>ABERDEEN PHONE SYSTEM</t>
  </si>
  <si>
    <t>HP LASERJET 8100DN (ABERDEN)</t>
  </si>
  <si>
    <t>SHARP AR-286 DIGITAL COPIER</t>
  </si>
  <si>
    <t>HEAT PUMP ]ABERDEEN</t>
  </si>
  <si>
    <t>USE TAX ON LASER PRINTER</t>
  </si>
  <si>
    <t>INFOCUS LP130 XGA PROJECTOR</t>
  </si>
  <si>
    <t>3 COMPAQ WORKSTATIONS-ABERDEEN</t>
  </si>
  <si>
    <t>COMPUTER</t>
  </si>
  <si>
    <t>SAVIN DIGITAL COPIER</t>
  </si>
  <si>
    <t>COMPUTER - ABERDEEN CUST SVC</t>
  </si>
  <si>
    <t>COMPUTER - ABERDEEN OFC</t>
  </si>
  <si>
    <t>REFURBISHED COPIER</t>
  </si>
  <si>
    <t>NOTEBOOK COMPUTERS</t>
  </si>
  <si>
    <t>RETIRED/TRANSFERRED 2017</t>
  </si>
  <si>
    <t>1988 CHEVY PU</t>
  </si>
  <si>
    <t>Truck #6003 Amort of Salvage</t>
  </si>
  <si>
    <t>1977 Backhoe (U)</t>
  </si>
  <si>
    <t>RETIRED/TRANSFERRED 2018</t>
  </si>
  <si>
    <t>1985 GMC 1 TON HAUL-ALL</t>
  </si>
  <si>
    <t>Truck #9194 Amort of Salvage</t>
  </si>
  <si>
    <t>TOYOTA FORKLIFT</t>
  </si>
  <si>
    <t>CS TRL</t>
  </si>
  <si>
    <t>'91 EAGER BEAVER EGBAP12</t>
  </si>
  <si>
    <t>Trl</t>
  </si>
  <si>
    <t>04 HELM END DUMP (Recycle Stn)</t>
  </si>
  <si>
    <t>2186-11-0015-1</t>
  </si>
  <si>
    <t>2186-13-0014-1</t>
  </si>
  <si>
    <t>2186-13-0009-1</t>
  </si>
  <si>
    <t>2186-14-0010-1</t>
  </si>
  <si>
    <t>2186-14-0019-1</t>
  </si>
  <si>
    <t>2186-14-0019-2</t>
  </si>
  <si>
    <t>2186-15-0023-1</t>
  </si>
  <si>
    <t>2186-16-0022-1</t>
  </si>
  <si>
    <t>2186-17-0018-1</t>
  </si>
  <si>
    <t>2183-11-0019-1</t>
  </si>
  <si>
    <t>1010-12-0018-1</t>
  </si>
  <si>
    <t>2186-14-0013-1</t>
  </si>
  <si>
    <t>2000-14-0006-1</t>
  </si>
  <si>
    <t>2186-14-0018-1</t>
  </si>
  <si>
    <t>2186-15-0014-1</t>
  </si>
  <si>
    <t>2186-16-0019-1</t>
  </si>
  <si>
    <t>2186-17-0014-1</t>
  </si>
  <si>
    <t>2186-12-0011-1</t>
  </si>
  <si>
    <t>2186-12-0013-1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</si>
</sst>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"/>
    <numFmt numFmtId="166" formatCode="_(* #,##0_);_(* \(#,##0\);_(* &quot;-&quot;??_);_(@_)"/>
    <numFmt numFmtId="167" formatCode="General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8.8000000000000007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/>
    <xf numFmtId="0" fontId="12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5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4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1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41" fontId="12" fillId="0" borderId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3" fontId="12" fillId="0" borderId="0"/>
    <xf numFmtId="0" fontId="19" fillId="25" borderId="3" applyNumberFormat="0" applyAlignment="0" applyProtection="0"/>
    <xf numFmtId="0" fontId="19" fillId="5" borderId="3" applyNumberFormat="0" applyAlignment="0" applyProtection="0"/>
    <xf numFmtId="0" fontId="20" fillId="26" borderId="4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11" borderId="3" applyNumberFormat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27" borderId="11" applyNumberFormat="0" applyFont="0" applyAlignment="0" applyProtection="0"/>
    <xf numFmtId="0" fontId="16" fillId="27" borderId="11" applyNumberFormat="0" applyFont="0" applyAlignment="0" applyProtection="0"/>
    <xf numFmtId="0" fontId="35" fillId="5" borderId="12" applyNumberFormat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36" fillId="0" borderId="0">
      <alignment vertical="top"/>
    </xf>
    <xf numFmtId="0" fontId="36" fillId="0" borderId="0" applyNumberFormat="0" applyBorder="0" applyAlignment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4" applyNumberFormat="0" applyFill="0" applyAlignment="0" applyProtection="0"/>
    <xf numFmtId="0" fontId="39" fillId="0" borderId="0" applyNumberFormat="0" applyFill="0" applyBorder="0" applyAlignment="0" applyProtection="0"/>
  </cellStyleXfs>
  <cellXfs count="156">
    <xf numFmtId="0" fontId="0" fillId="0" borderId="0" xfId="0"/>
    <xf numFmtId="0" fontId="3" fillId="2" borderId="0" xfId="0" applyFont="1" applyFill="1" applyBorder="1"/>
    <xf numFmtId="0" fontId="5" fillId="2" borderId="0" xfId="3" applyFont="1" applyFill="1" applyBorder="1"/>
    <xf numFmtId="1" fontId="5" fillId="2" borderId="0" xfId="3" applyNumberFormat="1" applyFont="1" applyFill="1" applyBorder="1" applyAlignment="1">
      <alignment horizontal="center"/>
    </xf>
    <xf numFmtId="4" fontId="5" fillId="2" borderId="0" xfId="3" applyNumberFormat="1" applyFont="1" applyFill="1" applyBorder="1" applyAlignment="1">
      <alignment horizontal="right"/>
    </xf>
    <xf numFmtId="0" fontId="5" fillId="0" borderId="0" xfId="3" applyFont="1" applyFill="1" applyBorder="1"/>
    <xf numFmtId="0" fontId="0" fillId="0" borderId="0" xfId="0" applyFill="1"/>
    <xf numFmtId="0" fontId="5" fillId="2" borderId="0" xfId="4" applyNumberFormat="1" applyFont="1" applyFill="1" applyBorder="1" applyAlignment="1">
      <alignment horizontal="right"/>
    </xf>
    <xf numFmtId="43" fontId="5" fillId="2" borderId="0" xfId="3" applyNumberFormat="1" applyFont="1" applyFill="1" applyBorder="1"/>
    <xf numFmtId="0" fontId="6" fillId="2" borderId="0" xfId="3" applyFont="1" applyFill="1" applyBorder="1"/>
    <xf numFmtId="0" fontId="0" fillId="2" borderId="0" xfId="0" applyFill="1"/>
    <xf numFmtId="164" fontId="3" fillId="2" borderId="0" xfId="0" applyNumberFormat="1" applyFont="1" applyFill="1" applyBorder="1" applyAlignment="1">
      <alignment horizontal="left"/>
    </xf>
    <xf numFmtId="9" fontId="6" fillId="2" borderId="0" xfId="2" applyFont="1" applyFill="1" applyBorder="1"/>
    <xf numFmtId="4" fontId="6" fillId="2" borderId="0" xfId="3" applyNumberFormat="1" applyFont="1" applyFill="1" applyBorder="1" applyAlignment="1">
      <alignment horizontal="left"/>
    </xf>
    <xf numFmtId="43" fontId="7" fillId="2" borderId="0" xfId="3" applyNumberFormat="1" applyFont="1" applyFill="1" applyBorder="1"/>
    <xf numFmtId="165" fontId="5" fillId="2" borderId="0" xfId="3" applyNumberFormat="1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9" fontId="8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4" fontId="5" fillId="0" borderId="0" xfId="4" applyNumberFormat="1" applyFont="1" applyFill="1" applyBorder="1" applyAlignment="1">
      <alignment horizontal="right"/>
    </xf>
    <xf numFmtId="0" fontId="5" fillId="2" borderId="0" xfId="3" applyFont="1" applyFill="1" applyBorder="1" applyAlignment="1">
      <alignment horizontal="center"/>
    </xf>
    <xf numFmtId="9" fontId="5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 wrapText="1"/>
    </xf>
    <xf numFmtId="0" fontId="5" fillId="2" borderId="1" xfId="3" applyFont="1" applyFill="1" applyBorder="1" applyAlignment="1">
      <alignment horizontal="center"/>
    </xf>
    <xf numFmtId="9" fontId="5" fillId="2" borderId="1" xfId="3" applyNumberFormat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1" fontId="5" fillId="2" borderId="1" xfId="3" applyNumberFormat="1" applyFont="1" applyFill="1" applyBorder="1" applyAlignment="1">
      <alignment horizontal="center"/>
    </xf>
    <xf numFmtId="1" fontId="8" fillId="2" borderId="1" xfId="3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14" fontId="8" fillId="2" borderId="1" xfId="3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2" borderId="0" xfId="3" applyFont="1" applyFill="1" applyBorder="1"/>
    <xf numFmtId="0" fontId="7" fillId="2" borderId="0" xfId="3" applyFont="1" applyFill="1" applyBorder="1" applyAlignment="1">
      <alignment horizontal="center"/>
    </xf>
    <xf numFmtId="0" fontId="7" fillId="2" borderId="0" xfId="3" applyFont="1" applyFill="1" applyBorder="1" applyAlignment="1">
      <alignment horizontal="left"/>
    </xf>
    <xf numFmtId="1" fontId="7" fillId="2" borderId="0" xfId="3" applyNumberFormat="1" applyFont="1" applyFill="1" applyBorder="1" applyAlignment="1">
      <alignment horizontal="center"/>
    </xf>
    <xf numFmtId="39" fontId="7" fillId="2" borderId="0" xfId="3" applyNumberFormat="1" applyFont="1" applyFill="1" applyBorder="1" applyAlignment="1">
      <alignment horizontal="right"/>
    </xf>
    <xf numFmtId="4" fontId="7" fillId="2" borderId="0" xfId="3" applyNumberFormat="1" applyFont="1" applyFill="1" applyBorder="1" applyAlignment="1">
      <alignment horizontal="right"/>
    </xf>
    <xf numFmtId="0" fontId="9" fillId="2" borderId="0" xfId="0" applyFont="1" applyFill="1"/>
    <xf numFmtId="0" fontId="0" fillId="2" borderId="0" xfId="0" applyFill="1" applyAlignment="1">
      <alignment horizontal="center"/>
    </xf>
    <xf numFmtId="2" fontId="7" fillId="2" borderId="0" xfId="3" applyNumberFormat="1" applyFont="1" applyFill="1" applyBorder="1" applyAlignment="1">
      <alignment horizontal="right"/>
    </xf>
    <xf numFmtId="0" fontId="7" fillId="2" borderId="0" xfId="4" applyFont="1" applyFill="1" applyBorder="1"/>
    <xf numFmtId="1" fontId="7" fillId="2" borderId="0" xfId="4" applyNumberFormat="1" applyFont="1" applyFill="1" applyBorder="1" applyAlignment="1">
      <alignment horizontal="center"/>
    </xf>
    <xf numFmtId="0" fontId="7" fillId="2" borderId="0" xfId="4" applyFont="1" applyFill="1" applyBorder="1" applyAlignment="1">
      <alignment horizontal="center"/>
    </xf>
    <xf numFmtId="1" fontId="7" fillId="2" borderId="0" xfId="4" applyNumberFormat="1" applyFont="1" applyFill="1" applyBorder="1" applyAlignment="1">
      <alignment horizontal="right"/>
    </xf>
    <xf numFmtId="166" fontId="7" fillId="2" borderId="0" xfId="1" applyNumberFormat="1" applyFont="1" applyFill="1" applyBorder="1"/>
    <xf numFmtId="166" fontId="7" fillId="2" borderId="0" xfId="1" applyNumberFormat="1" applyFont="1" applyFill="1" applyBorder="1" applyAlignment="1">
      <alignment horizontal="right"/>
    </xf>
    <xf numFmtId="9" fontId="7" fillId="0" borderId="0" xfId="3" applyNumberFormat="1" applyFont="1" applyFill="1" applyBorder="1" applyAlignment="1">
      <alignment horizontal="center"/>
    </xf>
    <xf numFmtId="1" fontId="7" fillId="2" borderId="0" xfId="3" applyNumberFormat="1" applyFont="1" applyFill="1" applyBorder="1" applyAlignment="1">
      <alignment horizontal="right"/>
    </xf>
    <xf numFmtId="0" fontId="0" fillId="0" borderId="0" xfId="0" applyFill="1" applyBorder="1"/>
    <xf numFmtId="0" fontId="0" fillId="2" borderId="0" xfId="0" applyFill="1" applyBorder="1"/>
    <xf numFmtId="0" fontId="7" fillId="3" borderId="0" xfId="4" applyFont="1" applyFill="1" applyBorder="1"/>
    <xf numFmtId="1" fontId="7" fillId="3" borderId="0" xfId="4" applyNumberFormat="1" applyFont="1" applyFill="1" applyBorder="1" applyAlignment="1">
      <alignment horizontal="center"/>
    </xf>
    <xf numFmtId="0" fontId="7" fillId="3" borderId="0" xfId="4" applyFont="1" applyFill="1" applyBorder="1" applyAlignment="1">
      <alignment horizontal="center"/>
    </xf>
    <xf numFmtId="1" fontId="7" fillId="3" borderId="0" xfId="4" applyNumberFormat="1" applyFont="1" applyFill="1" applyBorder="1" applyAlignment="1">
      <alignment horizontal="right"/>
    </xf>
    <xf numFmtId="2" fontId="7" fillId="3" borderId="0" xfId="3" applyNumberFormat="1" applyFont="1" applyFill="1" applyBorder="1" applyAlignment="1">
      <alignment horizontal="right"/>
    </xf>
    <xf numFmtId="166" fontId="7" fillId="3" borderId="0" xfId="1" applyNumberFormat="1" applyFont="1" applyFill="1" applyBorder="1"/>
    <xf numFmtId="166" fontId="7" fillId="3" borderId="0" xfId="1" applyNumberFormat="1" applyFont="1" applyFill="1" applyBorder="1" applyAlignment="1">
      <alignment horizontal="right"/>
    </xf>
    <xf numFmtId="0" fontId="7" fillId="3" borderId="0" xfId="0" applyFont="1" applyFill="1"/>
    <xf numFmtId="0" fontId="10" fillId="3" borderId="0" xfId="0" applyFont="1" applyFill="1"/>
    <xf numFmtId="0" fontId="0" fillId="3" borderId="0" xfId="0" applyFill="1"/>
    <xf numFmtId="43" fontId="0" fillId="3" borderId="0" xfId="1" applyFont="1" applyFill="1"/>
    <xf numFmtId="166" fontId="0" fillId="3" borderId="0" xfId="0" applyNumberFormat="1" applyFill="1"/>
    <xf numFmtId="9" fontId="7" fillId="3" borderId="0" xfId="3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1" fontId="5" fillId="2" borderId="2" xfId="4" applyNumberFormat="1" applyFont="1" applyFill="1" applyBorder="1" applyAlignment="1">
      <alignment horizontal="right"/>
    </xf>
    <xf numFmtId="166" fontId="5" fillId="2" borderId="2" xfId="1" applyNumberFormat="1" applyFont="1" applyFill="1" applyBorder="1"/>
    <xf numFmtId="43" fontId="5" fillId="0" borderId="0" xfId="4" applyNumberFormat="1" applyFont="1" applyFill="1" applyBorder="1"/>
    <xf numFmtId="1" fontId="5" fillId="2" borderId="0" xfId="4" applyNumberFormat="1" applyFont="1" applyFill="1" applyBorder="1" applyAlignment="1">
      <alignment horizontal="center"/>
    </xf>
    <xf numFmtId="166" fontId="5" fillId="2" borderId="0" xfId="1" applyNumberFormat="1" applyFont="1" applyFill="1" applyBorder="1"/>
    <xf numFmtId="0" fontId="5" fillId="2" borderId="0" xfId="4" applyFont="1" applyFill="1" applyBorder="1" applyAlignment="1">
      <alignment horizontal="left"/>
    </xf>
    <xf numFmtId="166" fontId="7" fillId="2" borderId="0" xfId="1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2" borderId="0" xfId="0" applyFont="1" applyFill="1" applyBorder="1"/>
    <xf numFmtId="166" fontId="1" fillId="2" borderId="0" xfId="1" applyNumberFormat="1" applyFont="1" applyFill="1"/>
    <xf numFmtId="9" fontId="7" fillId="2" borderId="0" xfId="3" applyNumberFormat="1" applyFont="1" applyFill="1" applyBorder="1" applyAlignment="1">
      <alignment horizontal="center"/>
    </xf>
    <xf numFmtId="167" fontId="11" fillId="4" borderId="0" xfId="5" applyFont="1" applyFill="1"/>
    <xf numFmtId="0" fontId="11" fillId="4" borderId="0" xfId="6" applyFont="1" applyFill="1" applyAlignment="1">
      <alignment horizontal="center"/>
    </xf>
    <xf numFmtId="0" fontId="11" fillId="4" borderId="0" xfId="6" applyFont="1" applyFill="1" applyAlignment="1">
      <alignment horizontal="left" wrapText="1"/>
    </xf>
    <xf numFmtId="49" fontId="11" fillId="4" borderId="0" xfId="6" applyNumberFormat="1" applyFont="1" applyFill="1" applyAlignment="1"/>
    <xf numFmtId="0" fontId="11" fillId="4" borderId="0" xfId="6" applyNumberFormat="1" applyFont="1" applyFill="1" applyAlignment="1">
      <alignment horizontal="center"/>
    </xf>
    <xf numFmtId="3" fontId="11" fillId="4" borderId="0" xfId="5" applyNumberFormat="1" applyFont="1" applyFill="1" applyAlignment="1">
      <alignment horizontal="center"/>
    </xf>
    <xf numFmtId="9" fontId="11" fillId="4" borderId="0" xfId="5" applyNumberFormat="1" applyFont="1" applyFill="1" applyAlignment="1">
      <alignment horizontal="center"/>
    </xf>
    <xf numFmtId="1" fontId="11" fillId="4" borderId="0" xfId="5" applyNumberFormat="1" applyFont="1" applyFill="1" applyAlignment="1">
      <alignment horizontal="right"/>
    </xf>
    <xf numFmtId="43" fontId="11" fillId="4" borderId="0" xfId="1" applyFont="1" applyFill="1"/>
    <xf numFmtId="166" fontId="11" fillId="4" borderId="0" xfId="1" applyNumberFormat="1" applyFont="1" applyFill="1"/>
    <xf numFmtId="166" fontId="11" fillId="4" borderId="0" xfId="1" applyNumberFormat="1" applyFont="1" applyFill="1" applyBorder="1" applyAlignment="1">
      <alignment horizontal="right"/>
    </xf>
    <xf numFmtId="1" fontId="11" fillId="0" borderId="0" xfId="5" applyNumberFormat="1" applyFont="1" applyFill="1" applyAlignment="1"/>
    <xf numFmtId="1" fontId="11" fillId="0" borderId="0" xfId="5" applyNumberFormat="1" applyFont="1" applyFill="1"/>
    <xf numFmtId="167" fontId="11" fillId="0" borderId="0" xfId="5" applyFont="1" applyFill="1" applyAlignment="1">
      <alignment horizontal="left" wrapText="1"/>
    </xf>
    <xf numFmtId="0" fontId="2" fillId="0" borderId="0" xfId="0" applyFont="1" applyFill="1" applyBorder="1"/>
    <xf numFmtId="0" fontId="2" fillId="0" borderId="0" xfId="0" applyFont="1" applyFill="1"/>
    <xf numFmtId="0" fontId="2" fillId="4" borderId="0" xfId="0" applyFont="1" applyFill="1"/>
    <xf numFmtId="0" fontId="7" fillId="2" borderId="0" xfId="3" quotePrefix="1" applyFont="1" applyFill="1" applyBorder="1" applyAlignment="1">
      <alignment horizontal="left"/>
    </xf>
    <xf numFmtId="167" fontId="11" fillId="4" borderId="0" xfId="5" applyFont="1" applyFill="1" applyBorder="1"/>
    <xf numFmtId="0" fontId="11" fillId="4" borderId="0" xfId="6" applyFont="1" applyFill="1" applyBorder="1" applyAlignment="1">
      <alignment horizontal="center"/>
    </xf>
    <xf numFmtId="0" fontId="11" fillId="4" borderId="0" xfId="6" applyFont="1" applyFill="1" applyBorder="1" applyAlignment="1">
      <alignment horizontal="left" wrapText="1"/>
    </xf>
    <xf numFmtId="49" fontId="11" fillId="4" borderId="0" xfId="6" applyNumberFormat="1" applyFont="1" applyFill="1" applyBorder="1" applyAlignment="1"/>
    <xf numFmtId="0" fontId="11" fillId="4" borderId="0" xfId="6" applyNumberFormat="1" applyFont="1" applyFill="1" applyBorder="1" applyAlignment="1">
      <alignment horizontal="center"/>
    </xf>
    <xf numFmtId="3" fontId="11" fillId="4" borderId="0" xfId="5" applyNumberFormat="1" applyFont="1" applyFill="1" applyBorder="1" applyAlignment="1">
      <alignment horizontal="center"/>
    </xf>
    <xf numFmtId="9" fontId="11" fillId="4" borderId="0" xfId="5" applyNumberFormat="1" applyFont="1" applyFill="1" applyBorder="1" applyAlignment="1">
      <alignment horizontal="center"/>
    </xf>
    <xf numFmtId="1" fontId="11" fillId="4" borderId="0" xfId="5" applyNumberFormat="1" applyFont="1" applyFill="1" applyBorder="1" applyAlignment="1">
      <alignment horizontal="right"/>
    </xf>
    <xf numFmtId="43" fontId="11" fillId="4" borderId="0" xfId="1" applyFont="1" applyFill="1" applyBorder="1"/>
    <xf numFmtId="166" fontId="11" fillId="4" borderId="0" xfId="1" applyNumberFormat="1" applyFont="1" applyFill="1" applyBorder="1"/>
    <xf numFmtId="1" fontId="11" fillId="0" borderId="0" xfId="5" applyNumberFormat="1" applyFont="1" applyFill="1" applyBorder="1" applyAlignment="1"/>
    <xf numFmtId="1" fontId="11" fillId="0" borderId="0" xfId="5" applyNumberFormat="1" applyFont="1" applyFill="1" applyBorder="1"/>
    <xf numFmtId="167" fontId="11" fillId="0" borderId="0" xfId="5" applyFont="1" applyFill="1" applyBorder="1" applyAlignment="1">
      <alignment horizontal="left" wrapText="1"/>
    </xf>
    <xf numFmtId="0" fontId="2" fillId="4" borderId="0" xfId="0" applyFont="1" applyFill="1" applyBorder="1"/>
    <xf numFmtId="0" fontId="0" fillId="3" borderId="0" xfId="0" applyFont="1" applyFill="1" applyBorder="1"/>
    <xf numFmtId="0" fontId="7" fillId="3" borderId="0" xfId="3" applyFont="1" applyFill="1" applyBorder="1" applyAlignment="1">
      <alignment horizontal="center"/>
    </xf>
    <xf numFmtId="0" fontId="7" fillId="3" borderId="0" xfId="3" applyFont="1" applyFill="1" applyBorder="1" applyAlignment="1">
      <alignment horizontal="left"/>
    </xf>
    <xf numFmtId="1" fontId="7" fillId="3" borderId="0" xfId="3" applyNumberFormat="1" applyFont="1" applyFill="1" applyBorder="1" applyAlignment="1">
      <alignment horizontal="center"/>
    </xf>
    <xf numFmtId="1" fontId="7" fillId="3" borderId="0" xfId="3" applyNumberFormat="1" applyFont="1" applyFill="1" applyBorder="1" applyAlignment="1">
      <alignment horizontal="right"/>
    </xf>
    <xf numFmtId="4" fontId="7" fillId="3" borderId="0" xfId="3" applyNumberFormat="1" applyFont="1" applyFill="1" applyBorder="1" applyAlignment="1">
      <alignment horizontal="right"/>
    </xf>
    <xf numFmtId="166" fontId="5" fillId="2" borderId="2" xfId="1" applyNumberFormat="1" applyFont="1" applyFill="1" applyBorder="1" applyAlignment="1">
      <alignment horizontal="right"/>
    </xf>
    <xf numFmtId="4" fontId="5" fillId="0" borderId="0" xfId="3" applyNumberFormat="1" applyFont="1" applyFill="1" applyBorder="1" applyAlignment="1">
      <alignment horizontal="right"/>
    </xf>
    <xf numFmtId="0" fontId="5" fillId="2" borderId="1" xfId="4" applyFont="1" applyFill="1" applyBorder="1"/>
    <xf numFmtId="0" fontId="0" fillId="3" borderId="0" xfId="0" applyFont="1" applyFill="1"/>
    <xf numFmtId="43" fontId="7" fillId="3" borderId="0" xfId="1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center"/>
    </xf>
    <xf numFmtId="166" fontId="1" fillId="2" borderId="0" xfId="1" applyNumberFormat="1" applyFont="1" applyFill="1" applyBorder="1"/>
    <xf numFmtId="4" fontId="7" fillId="2" borderId="0" xfId="4" applyNumberFormat="1" applyFont="1" applyFill="1" applyBorder="1" applyAlignment="1"/>
    <xf numFmtId="166" fontId="7" fillId="2" borderId="0" xfId="1" applyNumberFormat="1" applyFont="1" applyFill="1" applyBorder="1" applyAlignment="1"/>
    <xf numFmtId="0" fontId="7" fillId="2" borderId="0" xfId="4" applyNumberFormat="1" applyFont="1" applyFill="1" applyBorder="1" applyAlignment="1">
      <alignment horizontal="center"/>
    </xf>
    <xf numFmtId="0" fontId="10" fillId="0" borderId="0" xfId="0" applyFont="1" applyFill="1"/>
    <xf numFmtId="4" fontId="7" fillId="0" borderId="0" xfId="4" applyNumberFormat="1" applyFont="1" applyFill="1" applyBorder="1" applyAlignment="1"/>
    <xf numFmtId="0" fontId="7" fillId="0" borderId="0" xfId="4" applyFont="1" applyFill="1" applyBorder="1"/>
    <xf numFmtId="0" fontId="7" fillId="0" borderId="0" xfId="4" applyFont="1" applyFill="1" applyBorder="1" applyAlignment="1">
      <alignment horizontal="center"/>
    </xf>
    <xf numFmtId="43" fontId="0" fillId="3" borderId="0" xfId="0" applyNumberFormat="1" applyFill="1"/>
    <xf numFmtId="0" fontId="13" fillId="3" borderId="0" xfId="0" applyFont="1" applyFill="1"/>
    <xf numFmtId="0" fontId="7" fillId="3" borderId="0" xfId="0" applyFont="1" applyFill="1" applyBorder="1"/>
    <xf numFmtId="0" fontId="7" fillId="3" borderId="0" xfId="0" applyFont="1" applyFill="1" applyBorder="1" applyAlignment="1">
      <alignment horizontal="left"/>
    </xf>
    <xf numFmtId="0" fontId="0" fillId="3" borderId="0" xfId="0" applyFill="1" applyBorder="1"/>
    <xf numFmtId="43" fontId="0" fillId="3" borderId="0" xfId="1" applyFont="1" applyFill="1" applyBorder="1"/>
    <xf numFmtId="4" fontId="7" fillId="3" borderId="0" xfId="4" applyNumberFormat="1" applyFont="1" applyFill="1" applyBorder="1" applyAlignment="1"/>
    <xf numFmtId="0" fontId="7" fillId="3" borderId="0" xfId="4" applyNumberFormat="1" applyFont="1" applyFill="1" applyBorder="1" applyAlignment="1"/>
    <xf numFmtId="166" fontId="7" fillId="3" borderId="0" xfId="1" applyNumberFormat="1" applyFont="1" applyFill="1" applyBorder="1" applyAlignment="1"/>
    <xf numFmtId="166" fontId="3" fillId="2" borderId="2" xfId="1" applyNumberFormat="1" applyFont="1" applyFill="1" applyBorder="1"/>
    <xf numFmtId="1" fontId="5" fillId="2" borderId="0" xfId="4" applyNumberFormat="1" applyFont="1" applyFill="1" applyBorder="1" applyAlignment="1">
      <alignment horizontal="right"/>
    </xf>
    <xf numFmtId="166" fontId="3" fillId="2" borderId="0" xfId="1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4" applyFont="1" applyFill="1" applyBorder="1"/>
    <xf numFmtId="1" fontId="2" fillId="2" borderId="0" xfId="4" applyNumberFormat="1" applyFont="1" applyFill="1" applyBorder="1" applyAlignment="1">
      <alignment horizontal="center"/>
    </xf>
    <xf numFmtId="0" fontId="2" fillId="2" borderId="0" xfId="4" applyFont="1" applyFill="1" applyBorder="1" applyAlignment="1">
      <alignment horizontal="center"/>
    </xf>
    <xf numFmtId="43" fontId="2" fillId="2" borderId="0" xfId="4" applyNumberFormat="1" applyFont="1" applyFill="1" applyBorder="1"/>
    <xf numFmtId="4" fontId="2" fillId="2" borderId="0" xfId="4" applyNumberFormat="1" applyFont="1" applyFill="1" applyBorder="1" applyAlignment="1">
      <alignment horizontal="right"/>
    </xf>
    <xf numFmtId="4" fontId="10" fillId="0" borderId="0" xfId="4" applyNumberFormat="1" applyFont="1" applyFill="1" applyBorder="1" applyAlignment="1">
      <alignment horizontal="right"/>
    </xf>
    <xf numFmtId="0" fontId="2" fillId="2" borderId="0" xfId="0" applyFont="1" applyFill="1"/>
    <xf numFmtId="43" fontId="7" fillId="2" borderId="0" xfId="4" applyNumberFormat="1" applyFont="1" applyFill="1" applyBorder="1"/>
    <xf numFmtId="4" fontId="7" fillId="2" borderId="0" xfId="4" applyNumberFormat="1" applyFont="1" applyFill="1" applyBorder="1" applyAlignment="1">
      <alignment horizontal="right"/>
    </xf>
    <xf numFmtId="43" fontId="11" fillId="4" borderId="0" xfId="1" applyFont="1" applyFill="1" applyBorder="1" applyAlignment="1">
      <alignment horizontal="right"/>
    </xf>
    <xf numFmtId="166" fontId="2" fillId="4" borderId="0" xfId="1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</cellXfs>
  <cellStyles count="150">
    <cellStyle name="20% - Accent1 2" xfId="7"/>
    <cellStyle name="20% - Accent1 3" xfId="8"/>
    <cellStyle name="20% - Accent2 2" xfId="9"/>
    <cellStyle name="20% - Accent3 2" xfId="10"/>
    <cellStyle name="20% - Accent4 2" xfId="11"/>
    <cellStyle name="20% - Accent4 3" xfId="12"/>
    <cellStyle name="20% - Accent5 2" xfId="13"/>
    <cellStyle name="20% - Accent6 2" xfId="14"/>
    <cellStyle name="40% - Accent1 2" xfId="15"/>
    <cellStyle name="40% - Accent1 3" xfId="16"/>
    <cellStyle name="40% - Accent2 2" xfId="17"/>
    <cellStyle name="40% - Accent3 2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Accent1 2" xfId="36"/>
    <cellStyle name="Accent1 3" xfId="37"/>
    <cellStyle name="Accent2 2" xfId="38"/>
    <cellStyle name="Accent2 3" xfId="39"/>
    <cellStyle name="Accent3 2" xfId="40"/>
    <cellStyle name="Accent3 3" xfId="41"/>
    <cellStyle name="Accent4 2" xfId="42"/>
    <cellStyle name="Accent5 2" xfId="43"/>
    <cellStyle name="Accent6 2" xfId="44"/>
    <cellStyle name="Accent6 3" xfId="45"/>
    <cellStyle name="Accounting" xfId="46"/>
    <cellStyle name="Bad 2" xfId="47"/>
    <cellStyle name="Bad 3" xfId="48"/>
    <cellStyle name="Budget" xfId="49"/>
    <cellStyle name="Calculation 2" xfId="50"/>
    <cellStyle name="Calculation 3" xfId="51"/>
    <cellStyle name="Check Cell 2" xfId="52"/>
    <cellStyle name="Comma" xfId="1" builtinId="3"/>
    <cellStyle name="Comma 10" xfId="53"/>
    <cellStyle name="Comma 11" xfId="54"/>
    <cellStyle name="Comma 12" xfId="55"/>
    <cellStyle name="Comma 13" xfId="56"/>
    <cellStyle name="Comma 14" xfId="57"/>
    <cellStyle name="Comma 15" xfId="58"/>
    <cellStyle name="Comma 16" xfId="59"/>
    <cellStyle name="Comma 2" xfId="60"/>
    <cellStyle name="Comma 2 2" xfId="61"/>
    <cellStyle name="Comma 2 3" xfId="62"/>
    <cellStyle name="Comma 3" xfId="63"/>
    <cellStyle name="Comma 3 2" xfId="64"/>
    <cellStyle name="Comma 3 3" xfId="65"/>
    <cellStyle name="Comma 4" xfId="66"/>
    <cellStyle name="Comma 5" xfId="67"/>
    <cellStyle name="Comma 6" xfId="68"/>
    <cellStyle name="Comma 7" xfId="69"/>
    <cellStyle name="Comma 8" xfId="70"/>
    <cellStyle name="Comma 9" xfId="71"/>
    <cellStyle name="Currency 2" xfId="72"/>
    <cellStyle name="Currency 3" xfId="73"/>
    <cellStyle name="Currency 4" xfId="74"/>
    <cellStyle name="Currency 5" xfId="75"/>
    <cellStyle name="Currency 6" xfId="76"/>
    <cellStyle name="Currency 7" xfId="77"/>
    <cellStyle name="Currency 8" xfId="78"/>
    <cellStyle name="Explanatory Text 2" xfId="79"/>
    <cellStyle name="Good 2" xfId="80"/>
    <cellStyle name="Good 3" xfId="81"/>
    <cellStyle name="Heading 1 2" xfId="82"/>
    <cellStyle name="Heading 1 3" xfId="83"/>
    <cellStyle name="Heading 2 2" xfId="84"/>
    <cellStyle name="Heading 2 3" xfId="85"/>
    <cellStyle name="Heading 3 2" xfId="86"/>
    <cellStyle name="Heading 3 3" xfId="87"/>
    <cellStyle name="Heading 4 2" xfId="88"/>
    <cellStyle name="Hyperlink 2" xfId="89"/>
    <cellStyle name="Input 2" xfId="90"/>
    <cellStyle name="Linked Cell 2" xfId="91"/>
    <cellStyle name="Linked Cell 3" xfId="92"/>
    <cellStyle name="Neutral 2" xfId="93"/>
    <cellStyle name="Neutral 3" xfId="94"/>
    <cellStyle name="Normal" xfId="0" builtinId="0"/>
    <cellStyle name="Normal - Style1" xfId="4"/>
    <cellStyle name="Normal - Style2" xfId="95"/>
    <cellStyle name="Normal - Style3" xfId="96"/>
    <cellStyle name="Normal - Style4" xfId="97"/>
    <cellStyle name="Normal - Style5" xfId="98"/>
    <cellStyle name="Normal 10" xfId="99"/>
    <cellStyle name="Normal 11" xfId="100"/>
    <cellStyle name="Normal 12" xfId="101"/>
    <cellStyle name="Normal 13" xfId="102"/>
    <cellStyle name="Normal 14" xfId="103"/>
    <cellStyle name="Normal 15" xfId="104"/>
    <cellStyle name="Normal 16" xfId="105"/>
    <cellStyle name="Normal 17" xfId="106"/>
    <cellStyle name="Normal 18" xfId="107"/>
    <cellStyle name="Normal 19" xfId="108"/>
    <cellStyle name="Normal 2" xfId="109"/>
    <cellStyle name="Normal 2 2" xfId="110"/>
    <cellStyle name="Normal 2 2 2" xfId="111"/>
    <cellStyle name="Normal 2 2_IS210PL" xfId="112"/>
    <cellStyle name="Normal 2 3" xfId="113"/>
    <cellStyle name="Normal 2 3 2" xfId="114"/>
    <cellStyle name="Normal 2_2195 Payroll Schedule" xfId="115"/>
    <cellStyle name="Normal 20" xfId="116"/>
    <cellStyle name="Normal 21" xfId="117"/>
    <cellStyle name="Normal 22" xfId="118"/>
    <cellStyle name="Normal 23" xfId="119"/>
    <cellStyle name="Normal 24" xfId="120"/>
    <cellStyle name="Normal 25" xfId="121"/>
    <cellStyle name="Normal 26" xfId="122"/>
    <cellStyle name="Normal 27" xfId="123"/>
    <cellStyle name="Normal 28" xfId="124"/>
    <cellStyle name="Normal 29" xfId="125"/>
    <cellStyle name="Normal 3" xfId="3"/>
    <cellStyle name="Normal 3 2" xfId="126"/>
    <cellStyle name="Normal 30" xfId="127"/>
    <cellStyle name="Normal 31" xfId="128"/>
    <cellStyle name="Normal 32" xfId="129"/>
    <cellStyle name="Normal 33" xfId="130"/>
    <cellStyle name="Normal 4" xfId="131"/>
    <cellStyle name="Normal 5" xfId="132"/>
    <cellStyle name="Normal 6" xfId="133"/>
    <cellStyle name="Normal 7" xfId="134"/>
    <cellStyle name="Normal 8" xfId="135"/>
    <cellStyle name="Normal 9" xfId="136"/>
    <cellStyle name="Normal_Depr Sch" xfId="6"/>
    <cellStyle name="Normal_Proforma Yakima" xfId="5"/>
    <cellStyle name="Note 2" xfId="137"/>
    <cellStyle name="Note 3" xfId="138"/>
    <cellStyle name="Output 2" xfId="139"/>
    <cellStyle name="Percent" xfId="2" builtinId="5"/>
    <cellStyle name="Percent 2" xfId="140"/>
    <cellStyle name="Percent 3" xfId="141"/>
    <cellStyle name="Percent 3 2" xfId="142"/>
    <cellStyle name="PRM" xfId="143"/>
    <cellStyle name="Style 1" xfId="144"/>
    <cellStyle name="STYLE1" xfId="145"/>
    <cellStyle name="Title 2" xfId="146"/>
    <cellStyle name="Total 2" xfId="147"/>
    <cellStyle name="Total 3" xfId="148"/>
    <cellStyle name="Warning Text 2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BX213"/>
  <sheetViews>
    <sheetView showGridLines="0" tabSelected="1" view="pageBreakPreview" zoomScale="85" zoomScaleNormal="80" zoomScaleSheetLayoutView="85" workbookViewId="0">
      <pane xSplit="3" ySplit="14" topLeftCell="D15" activePane="bottomRight" state="frozen"/>
      <selection activeCell="P28" sqref="P28"/>
      <selection pane="topRight" activeCell="P28" sqref="P28"/>
      <selection pane="bottomLeft" activeCell="P28" sqref="P28"/>
      <selection pane="bottomRight" activeCell="O67" sqref="O67"/>
    </sheetView>
  </sheetViews>
  <sheetFormatPr defaultRowHeight="15" x14ac:dyDescent="0.25"/>
  <cols>
    <col min="1" max="1" width="12.28515625" style="10" customWidth="1"/>
    <col min="2" max="2" width="12.140625" style="10" customWidth="1"/>
    <col min="3" max="3" width="38.7109375" style="10" customWidth="1"/>
    <col min="4" max="4" width="9" style="10" customWidth="1"/>
    <col min="5" max="5" width="6" style="10" customWidth="1"/>
    <col min="6" max="6" width="5.42578125" style="10" customWidth="1"/>
    <col min="7" max="7" width="10" style="10" customWidth="1"/>
    <col min="8" max="8" width="9.7109375" style="10" customWidth="1"/>
    <col min="9" max="9" width="7.7109375" style="10" customWidth="1"/>
    <col min="10" max="11" width="11" style="40" customWidth="1"/>
    <col min="12" max="13" width="11.28515625" style="10" bestFit="1" customWidth="1"/>
    <col min="14" max="14" width="10.140625" style="10" bestFit="1" customWidth="1"/>
    <col min="15" max="15" width="13.140625" style="10" customWidth="1"/>
    <col min="16" max="16" width="10" style="10" bestFit="1" customWidth="1"/>
    <col min="17" max="17" width="6.42578125" style="10" bestFit="1" customWidth="1"/>
    <col min="18" max="20" width="11.28515625" style="10" bestFit="1" customWidth="1"/>
    <col min="21" max="21" width="14.42578125" style="6" bestFit="1" customWidth="1"/>
    <col min="22" max="22" width="38.42578125" style="6" bestFit="1" customWidth="1"/>
    <col min="23" max="23" width="10.5703125" style="6" bestFit="1" customWidth="1"/>
    <col min="24" max="76" width="9.140625" style="6"/>
    <col min="77" max="16384" width="9.140625" style="10"/>
  </cols>
  <sheetData>
    <row r="1" spans="1:24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3"/>
      <c r="K1" s="3"/>
      <c r="L1" s="2"/>
      <c r="M1" s="4"/>
      <c r="N1" s="4"/>
      <c r="O1" s="2"/>
      <c r="P1" s="2"/>
      <c r="Q1" s="2"/>
      <c r="R1" s="2"/>
      <c r="S1" s="2"/>
      <c r="T1" s="2"/>
      <c r="U1" s="5"/>
    </row>
    <row r="2" spans="1:24" x14ac:dyDescent="0.25">
      <c r="A2" s="1" t="s">
        <v>1</v>
      </c>
      <c r="B2" s="1"/>
      <c r="C2" s="1"/>
      <c r="D2" s="2"/>
      <c r="E2" s="2"/>
      <c r="F2" s="2"/>
      <c r="G2" s="2"/>
      <c r="H2" s="2"/>
      <c r="I2" s="2"/>
      <c r="J2" s="3"/>
      <c r="K2" s="3"/>
      <c r="L2" s="2"/>
      <c r="M2" s="7"/>
      <c r="N2" s="2">
        <v>6</v>
      </c>
      <c r="O2" s="8" t="s">
        <v>2</v>
      </c>
      <c r="P2" s="2"/>
      <c r="Q2" s="9"/>
      <c r="R2" s="9"/>
      <c r="T2" s="2"/>
      <c r="U2" s="5"/>
    </row>
    <row r="3" spans="1:24" x14ac:dyDescent="0.25">
      <c r="A3" s="11">
        <v>43159</v>
      </c>
      <c r="B3" s="11"/>
      <c r="C3" s="11"/>
      <c r="D3" s="2"/>
      <c r="E3" s="2"/>
      <c r="F3" s="2"/>
      <c r="G3" s="2"/>
      <c r="H3" s="2"/>
      <c r="I3" s="2"/>
      <c r="J3" s="3"/>
      <c r="K3" s="3"/>
      <c r="L3" s="2"/>
      <c r="M3" s="7"/>
      <c r="N3" s="2">
        <v>2017</v>
      </c>
      <c r="O3" s="2" t="s">
        <v>3</v>
      </c>
      <c r="P3" s="2"/>
      <c r="Q3" s="12"/>
      <c r="R3" s="13"/>
      <c r="T3" s="2"/>
      <c r="U3" s="5"/>
    </row>
    <row r="4" spans="1:24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2"/>
      <c r="M4" s="7"/>
      <c r="N4" s="2">
        <v>2018</v>
      </c>
      <c r="O4" s="2" t="s">
        <v>4</v>
      </c>
      <c r="P4" s="2"/>
      <c r="Q4" s="12"/>
      <c r="R4" s="13"/>
      <c r="T4" s="2"/>
      <c r="U4" s="5"/>
    </row>
    <row r="5" spans="1:24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14"/>
      <c r="M5" s="7"/>
      <c r="N5" s="8">
        <f>N4+(N2/12)</f>
        <v>2018.5</v>
      </c>
      <c r="O5" s="2" t="s">
        <v>5</v>
      </c>
      <c r="P5" s="2"/>
      <c r="Q5" s="2"/>
      <c r="R5" s="2"/>
      <c r="S5" s="2"/>
      <c r="T5" s="2"/>
      <c r="U5" s="5"/>
    </row>
    <row r="6" spans="1:24" x14ac:dyDescent="0.25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8"/>
      <c r="M6" s="2"/>
      <c r="N6" s="2"/>
      <c r="O6" s="2"/>
      <c r="P6" s="2"/>
      <c r="Q6" s="2"/>
      <c r="R6" s="2"/>
      <c r="S6" s="2"/>
      <c r="T6" s="15"/>
      <c r="U6" s="5"/>
    </row>
    <row r="7" spans="1:24" x14ac:dyDescent="0.25">
      <c r="A7" s="2"/>
      <c r="B7" s="2"/>
      <c r="C7" s="2"/>
      <c r="D7" s="2"/>
      <c r="E7" s="2"/>
      <c r="F7" s="2"/>
      <c r="G7" s="2"/>
      <c r="H7" s="2"/>
      <c r="I7" s="2"/>
      <c r="J7" s="3"/>
      <c r="K7" s="3"/>
      <c r="L7" s="2"/>
      <c r="M7" s="2"/>
      <c r="N7" s="2"/>
      <c r="O7" s="2"/>
      <c r="P7" s="2"/>
      <c r="Q7" s="2"/>
      <c r="R7" s="2"/>
      <c r="S7" s="2"/>
      <c r="T7" s="2"/>
      <c r="U7" s="5"/>
    </row>
    <row r="8" spans="1:24" x14ac:dyDescent="0.25">
      <c r="A8" s="2"/>
      <c r="B8" s="2"/>
      <c r="C8" s="2"/>
      <c r="D8" s="2"/>
      <c r="E8" s="4"/>
      <c r="F8" s="4"/>
      <c r="G8" s="4"/>
      <c r="H8" s="4"/>
      <c r="I8" s="4"/>
      <c r="J8" s="3"/>
      <c r="K8" s="3"/>
      <c r="L8" s="2"/>
      <c r="M8" s="2"/>
      <c r="N8" s="2"/>
      <c r="O8" s="2"/>
      <c r="P8" s="1"/>
      <c r="Q8" s="2"/>
      <c r="R8" s="2"/>
      <c r="S8" s="16"/>
      <c r="T8" s="1"/>
      <c r="U8" s="5"/>
    </row>
    <row r="9" spans="1:24" x14ac:dyDescent="0.25">
      <c r="A9" s="2"/>
      <c r="B9" s="2"/>
      <c r="C9" s="2"/>
      <c r="D9" s="2"/>
      <c r="E9" s="4"/>
      <c r="F9" s="4"/>
      <c r="G9" s="4"/>
      <c r="H9" s="4"/>
      <c r="I9" s="4"/>
      <c r="J9" s="3"/>
      <c r="K9" s="3"/>
      <c r="L9" s="2"/>
      <c r="M9" s="2"/>
      <c r="N9" s="2"/>
      <c r="O9" s="2"/>
      <c r="P9" s="2"/>
      <c r="Q9" s="2"/>
      <c r="R9" s="16" t="s">
        <v>6</v>
      </c>
      <c r="S9" s="16" t="s">
        <v>7</v>
      </c>
      <c r="T9" s="2"/>
      <c r="U9" s="5"/>
    </row>
    <row r="10" spans="1:24" x14ac:dyDescent="0.25">
      <c r="A10" s="1"/>
      <c r="B10" s="1"/>
      <c r="C10" s="1"/>
      <c r="D10" s="1"/>
      <c r="E10" s="16" t="s">
        <v>8</v>
      </c>
      <c r="F10" s="16" t="s">
        <v>9</v>
      </c>
      <c r="G10" s="17" t="s">
        <v>10</v>
      </c>
      <c r="H10" s="1"/>
      <c r="I10" s="1"/>
      <c r="J10" s="3" t="s">
        <v>8</v>
      </c>
      <c r="K10" s="3"/>
      <c r="L10" s="18"/>
      <c r="M10" s="18"/>
      <c r="N10" s="18"/>
      <c r="O10" s="18"/>
      <c r="P10" s="18"/>
      <c r="Q10" s="18"/>
      <c r="R10" s="18" t="s">
        <v>11</v>
      </c>
      <c r="S10" s="18" t="s">
        <v>11</v>
      </c>
      <c r="T10" s="18" t="s">
        <v>12</v>
      </c>
      <c r="U10" s="19"/>
    </row>
    <row r="11" spans="1:24" x14ac:dyDescent="0.25">
      <c r="A11" s="16"/>
      <c r="B11" s="16"/>
      <c r="C11" s="16"/>
      <c r="D11" s="16"/>
      <c r="E11" s="20" t="s">
        <v>13</v>
      </c>
      <c r="F11" s="20"/>
      <c r="G11" s="21" t="s">
        <v>14</v>
      </c>
      <c r="H11" s="16" t="s">
        <v>15</v>
      </c>
      <c r="I11" s="16" t="s">
        <v>16</v>
      </c>
      <c r="J11" s="3" t="s">
        <v>17</v>
      </c>
      <c r="K11" s="3" t="s">
        <v>18</v>
      </c>
      <c r="L11" s="16" t="s">
        <v>19</v>
      </c>
      <c r="M11" s="16" t="s">
        <v>20</v>
      </c>
      <c r="N11" s="16" t="s">
        <v>21</v>
      </c>
      <c r="O11" s="16" t="s">
        <v>22</v>
      </c>
      <c r="P11" s="16" t="s">
        <v>23</v>
      </c>
      <c r="Q11" s="16"/>
      <c r="R11" s="16" t="s">
        <v>20</v>
      </c>
      <c r="S11" s="16" t="s">
        <v>20</v>
      </c>
      <c r="T11" s="16" t="s">
        <v>24</v>
      </c>
      <c r="U11" s="5"/>
    </row>
    <row r="12" spans="1:24" ht="15.75" customHeight="1" x14ac:dyDescent="0.25">
      <c r="A12" s="18" t="s">
        <v>25</v>
      </c>
      <c r="B12" s="22" t="s">
        <v>26</v>
      </c>
      <c r="C12" s="18" t="s">
        <v>27</v>
      </c>
      <c r="D12" s="18" t="s">
        <v>28</v>
      </c>
      <c r="E12" s="23" t="s">
        <v>29</v>
      </c>
      <c r="F12" s="23"/>
      <c r="G12" s="24" t="s">
        <v>30</v>
      </c>
      <c r="H12" s="25" t="s">
        <v>31</v>
      </c>
      <c r="I12" s="25" t="s">
        <v>32</v>
      </c>
      <c r="J12" s="26" t="s">
        <v>33</v>
      </c>
      <c r="K12" s="27" t="s">
        <v>34</v>
      </c>
      <c r="L12" s="25" t="s">
        <v>35</v>
      </c>
      <c r="M12" s="25" t="s">
        <v>35</v>
      </c>
      <c r="N12" s="25" t="s">
        <v>20</v>
      </c>
      <c r="O12" s="28" t="s">
        <v>20</v>
      </c>
      <c r="P12" s="28" t="s">
        <v>20</v>
      </c>
      <c r="Q12" s="28"/>
      <c r="R12" s="29">
        <v>42795</v>
      </c>
      <c r="S12" s="29">
        <v>43159</v>
      </c>
      <c r="T12" s="29">
        <f>+S12</f>
        <v>43159</v>
      </c>
      <c r="U12" s="30" t="s">
        <v>36</v>
      </c>
      <c r="V12" s="30" t="s">
        <v>37</v>
      </c>
      <c r="W12" s="31" t="s">
        <v>38</v>
      </c>
      <c r="X12" s="32" t="s">
        <v>39</v>
      </c>
    </row>
    <row r="13" spans="1:24" x14ac:dyDescent="0.25">
      <c r="A13" s="33"/>
      <c r="B13" s="34"/>
      <c r="C13" s="35"/>
      <c r="D13" s="33"/>
      <c r="E13" s="36"/>
      <c r="F13" s="36"/>
      <c r="G13" s="36"/>
      <c r="H13" s="34"/>
      <c r="I13" s="34"/>
      <c r="J13" s="36"/>
      <c r="K13" s="10"/>
      <c r="L13" s="37"/>
      <c r="M13" s="38"/>
      <c r="N13" s="38"/>
      <c r="O13" s="38"/>
      <c r="P13" s="38"/>
      <c r="Q13" s="38"/>
      <c r="R13" s="38"/>
      <c r="S13" s="38"/>
      <c r="T13" s="38"/>
      <c r="U13" s="19"/>
    </row>
    <row r="14" spans="1:24" x14ac:dyDescent="0.25">
      <c r="B14" s="39" t="s">
        <v>40</v>
      </c>
      <c r="K14" s="41"/>
    </row>
    <row r="15" spans="1:24" x14ac:dyDescent="0.25">
      <c r="A15" s="42"/>
      <c r="B15" s="42"/>
      <c r="C15" s="42" t="s">
        <v>41</v>
      </c>
      <c r="D15" s="42"/>
      <c r="E15" s="43">
        <v>2004</v>
      </c>
      <c r="F15" s="43">
        <v>4</v>
      </c>
      <c r="G15" s="43">
        <v>0</v>
      </c>
      <c r="H15" s="44" t="s">
        <v>42</v>
      </c>
      <c r="I15" s="44">
        <v>5</v>
      </c>
      <c r="J15" s="45">
        <f t="shared" ref="J15:J34" si="0">E15+I15</f>
        <v>2009</v>
      </c>
      <c r="K15" s="41">
        <f t="shared" ref="K15:K34" si="1">J15+(F15/12)</f>
        <v>2009.3333333333333</v>
      </c>
      <c r="L15" s="46">
        <v>3234.92</v>
      </c>
      <c r="M15" s="47">
        <f t="shared" ref="M15:M34" si="2">L15-L15*G15</f>
        <v>3234.92</v>
      </c>
      <c r="N15" s="47">
        <f t="shared" ref="N15:N34" si="3">M15/I15/12</f>
        <v>53.915333333333336</v>
      </c>
      <c r="O15" s="47">
        <f t="shared" ref="O15:O34" si="4">+N15*12</f>
        <v>646.98400000000004</v>
      </c>
      <c r="P15" s="47">
        <f t="shared" ref="P15:P34" si="5">+IF(K15&lt;=$N$5,0,IF(J15&gt;$N$4,O15,(N15*F15)))</f>
        <v>0</v>
      </c>
      <c r="Q15" s="47"/>
      <c r="R15" s="47">
        <f t="shared" ref="R15:R34" si="6">+IF(P15=0,M15,IF($N$3-E15&lt;1,0,(($N$3-E15)*O15)))</f>
        <v>3234.92</v>
      </c>
      <c r="S15" s="47">
        <f t="shared" ref="S15:S34" si="7">+IF(P15=0,R15,R15+P15)</f>
        <v>3234.92</v>
      </c>
      <c r="T15" s="47">
        <f t="shared" ref="T15:T34" si="8">+IF(P15=0,0,((L15-R15)+(L15-S15))/2)</f>
        <v>0</v>
      </c>
      <c r="U15" s="19"/>
    </row>
    <row r="16" spans="1:24" x14ac:dyDescent="0.25">
      <c r="A16" s="42"/>
      <c r="B16" s="42"/>
      <c r="C16" s="42" t="s">
        <v>43</v>
      </c>
      <c r="D16" s="42"/>
      <c r="E16" s="43">
        <v>2005</v>
      </c>
      <c r="F16" s="43">
        <v>1</v>
      </c>
      <c r="G16" s="43">
        <v>0</v>
      </c>
      <c r="H16" s="44" t="s">
        <v>42</v>
      </c>
      <c r="I16" s="44">
        <v>5</v>
      </c>
      <c r="J16" s="45">
        <f t="shared" si="0"/>
        <v>2010</v>
      </c>
      <c r="K16" s="41">
        <f t="shared" si="1"/>
        <v>2010.0833333333333</v>
      </c>
      <c r="L16" s="46">
        <v>1626</v>
      </c>
      <c r="M16" s="47">
        <f t="shared" si="2"/>
        <v>1626</v>
      </c>
      <c r="N16" s="47">
        <f t="shared" si="3"/>
        <v>27.099999999999998</v>
      </c>
      <c r="O16" s="47">
        <f t="shared" si="4"/>
        <v>325.2</v>
      </c>
      <c r="P16" s="47">
        <f t="shared" si="5"/>
        <v>0</v>
      </c>
      <c r="Q16" s="47"/>
      <c r="R16" s="47">
        <f t="shared" si="6"/>
        <v>1626</v>
      </c>
      <c r="S16" s="47">
        <f t="shared" si="7"/>
        <v>1626</v>
      </c>
      <c r="T16" s="47">
        <f t="shared" si="8"/>
        <v>0</v>
      </c>
      <c r="U16" s="19"/>
    </row>
    <row r="17" spans="1:76" x14ac:dyDescent="0.25">
      <c r="A17" s="42"/>
      <c r="B17" s="42"/>
      <c r="C17" s="42" t="s">
        <v>44</v>
      </c>
      <c r="D17" s="42"/>
      <c r="E17" s="43">
        <v>2006</v>
      </c>
      <c r="F17" s="43">
        <v>4</v>
      </c>
      <c r="G17" s="43">
        <v>0</v>
      </c>
      <c r="H17" s="44" t="s">
        <v>42</v>
      </c>
      <c r="I17" s="34">
        <v>5</v>
      </c>
      <c r="J17" s="45">
        <f t="shared" si="0"/>
        <v>2011</v>
      </c>
      <c r="K17" s="41">
        <f t="shared" si="1"/>
        <v>2011.3333333333333</v>
      </c>
      <c r="L17" s="46">
        <v>7730.24</v>
      </c>
      <c r="M17" s="47">
        <f t="shared" si="2"/>
        <v>7730.24</v>
      </c>
      <c r="N17" s="47">
        <f t="shared" si="3"/>
        <v>128.83733333333333</v>
      </c>
      <c r="O17" s="47">
        <f t="shared" si="4"/>
        <v>1546.048</v>
      </c>
      <c r="P17" s="47">
        <f t="shared" si="5"/>
        <v>0</v>
      </c>
      <c r="Q17" s="47"/>
      <c r="R17" s="47">
        <f t="shared" si="6"/>
        <v>7730.24</v>
      </c>
      <c r="S17" s="47">
        <f t="shared" si="7"/>
        <v>7730.24</v>
      </c>
      <c r="T17" s="47">
        <f t="shared" si="8"/>
        <v>0</v>
      </c>
      <c r="U17" s="19"/>
    </row>
    <row r="18" spans="1:76" x14ac:dyDescent="0.25">
      <c r="A18" s="42"/>
      <c r="B18" s="42"/>
      <c r="C18" s="42" t="s">
        <v>45</v>
      </c>
      <c r="D18" s="42"/>
      <c r="E18" s="43">
        <v>2006</v>
      </c>
      <c r="F18" s="43">
        <v>12</v>
      </c>
      <c r="G18" s="43">
        <v>0</v>
      </c>
      <c r="H18" s="44" t="s">
        <v>42</v>
      </c>
      <c r="I18" s="34">
        <v>5</v>
      </c>
      <c r="J18" s="45">
        <f t="shared" si="0"/>
        <v>2011</v>
      </c>
      <c r="K18" s="41">
        <f t="shared" si="1"/>
        <v>2012</v>
      </c>
      <c r="L18" s="46">
        <v>1192.3499999999999</v>
      </c>
      <c r="M18" s="47">
        <f t="shared" si="2"/>
        <v>1192.3499999999999</v>
      </c>
      <c r="N18" s="47">
        <f t="shared" si="3"/>
        <v>19.872499999999999</v>
      </c>
      <c r="O18" s="47">
        <f t="shared" si="4"/>
        <v>238.46999999999997</v>
      </c>
      <c r="P18" s="47">
        <f t="shared" si="5"/>
        <v>0</v>
      </c>
      <c r="Q18" s="47"/>
      <c r="R18" s="47">
        <f t="shared" si="6"/>
        <v>1192.3499999999999</v>
      </c>
      <c r="S18" s="47">
        <f t="shared" si="7"/>
        <v>1192.3499999999999</v>
      </c>
      <c r="T18" s="47">
        <f t="shared" si="8"/>
        <v>0</v>
      </c>
      <c r="U18" s="19"/>
    </row>
    <row r="19" spans="1:76" x14ac:dyDescent="0.25">
      <c r="A19" s="42"/>
      <c r="B19" s="42"/>
      <c r="C19" s="42" t="s">
        <v>46</v>
      </c>
      <c r="D19" s="42"/>
      <c r="E19" s="43">
        <v>2006</v>
      </c>
      <c r="F19" s="43">
        <v>12</v>
      </c>
      <c r="G19" s="43">
        <v>0</v>
      </c>
      <c r="H19" s="44" t="s">
        <v>42</v>
      </c>
      <c r="I19" s="34">
        <v>5</v>
      </c>
      <c r="J19" s="45">
        <f t="shared" si="0"/>
        <v>2011</v>
      </c>
      <c r="K19" s="41">
        <f t="shared" si="1"/>
        <v>2012</v>
      </c>
      <c r="L19" s="46">
        <v>10608</v>
      </c>
      <c r="M19" s="47">
        <f t="shared" si="2"/>
        <v>10608</v>
      </c>
      <c r="N19" s="47">
        <f t="shared" si="3"/>
        <v>176.79999999999998</v>
      </c>
      <c r="O19" s="47">
        <f t="shared" si="4"/>
        <v>2121.6</v>
      </c>
      <c r="P19" s="47">
        <f t="shared" si="5"/>
        <v>0</v>
      </c>
      <c r="Q19" s="47"/>
      <c r="R19" s="47">
        <f t="shared" si="6"/>
        <v>10608</v>
      </c>
      <c r="S19" s="47">
        <f t="shared" si="7"/>
        <v>10608</v>
      </c>
      <c r="T19" s="47">
        <f t="shared" si="8"/>
        <v>0</v>
      </c>
      <c r="U19" s="19"/>
    </row>
    <row r="20" spans="1:76" x14ac:dyDescent="0.25">
      <c r="A20" s="42"/>
      <c r="B20" s="42"/>
      <c r="C20" s="42" t="s">
        <v>47</v>
      </c>
      <c r="D20" s="42"/>
      <c r="E20" s="43">
        <v>2007</v>
      </c>
      <c r="F20" s="43">
        <v>5</v>
      </c>
      <c r="G20" s="43">
        <v>0</v>
      </c>
      <c r="H20" s="44" t="s">
        <v>42</v>
      </c>
      <c r="I20" s="34">
        <v>5</v>
      </c>
      <c r="J20" s="45">
        <f t="shared" si="0"/>
        <v>2012</v>
      </c>
      <c r="K20" s="41">
        <f t="shared" si="1"/>
        <v>2012.4166666666667</v>
      </c>
      <c r="L20" s="46">
        <v>3325.54</v>
      </c>
      <c r="M20" s="47">
        <f t="shared" si="2"/>
        <v>3325.54</v>
      </c>
      <c r="N20" s="47">
        <f t="shared" si="3"/>
        <v>55.425666666666665</v>
      </c>
      <c r="O20" s="47">
        <f t="shared" si="4"/>
        <v>665.10799999999995</v>
      </c>
      <c r="P20" s="47">
        <f t="shared" si="5"/>
        <v>0</v>
      </c>
      <c r="Q20" s="47"/>
      <c r="R20" s="47">
        <f t="shared" si="6"/>
        <v>3325.54</v>
      </c>
      <c r="S20" s="47">
        <f t="shared" si="7"/>
        <v>3325.54</v>
      </c>
      <c r="T20" s="47">
        <f t="shared" si="8"/>
        <v>0</v>
      </c>
      <c r="U20" s="19"/>
    </row>
    <row r="21" spans="1:76" x14ac:dyDescent="0.25">
      <c r="A21" s="42"/>
      <c r="B21" s="42"/>
      <c r="C21" s="42" t="s">
        <v>48</v>
      </c>
      <c r="D21" s="42"/>
      <c r="E21" s="43">
        <v>2007</v>
      </c>
      <c r="F21" s="43">
        <v>5</v>
      </c>
      <c r="G21" s="43">
        <v>0</v>
      </c>
      <c r="H21" s="44" t="s">
        <v>42</v>
      </c>
      <c r="I21" s="34">
        <v>5</v>
      </c>
      <c r="J21" s="45">
        <f t="shared" si="0"/>
        <v>2012</v>
      </c>
      <c r="K21" s="41">
        <f t="shared" si="1"/>
        <v>2012.4166666666667</v>
      </c>
      <c r="L21" s="46">
        <v>11026.13</v>
      </c>
      <c r="M21" s="47">
        <f t="shared" si="2"/>
        <v>11026.13</v>
      </c>
      <c r="N21" s="47">
        <f t="shared" si="3"/>
        <v>183.7688333333333</v>
      </c>
      <c r="O21" s="47">
        <f t="shared" si="4"/>
        <v>2205.2259999999997</v>
      </c>
      <c r="P21" s="47">
        <f t="shared" si="5"/>
        <v>0</v>
      </c>
      <c r="Q21" s="47"/>
      <c r="R21" s="47">
        <f t="shared" si="6"/>
        <v>11026.13</v>
      </c>
      <c r="S21" s="47">
        <f t="shared" si="7"/>
        <v>11026.13</v>
      </c>
      <c r="T21" s="47">
        <f t="shared" si="8"/>
        <v>0</v>
      </c>
      <c r="U21" s="19"/>
    </row>
    <row r="22" spans="1:76" x14ac:dyDescent="0.25">
      <c r="A22" s="34"/>
      <c r="B22" s="34">
        <v>7034</v>
      </c>
      <c r="C22" s="35" t="s">
        <v>49</v>
      </c>
      <c r="D22" s="34"/>
      <c r="E22" s="36">
        <v>2008</v>
      </c>
      <c r="F22" s="36">
        <v>4</v>
      </c>
      <c r="G22" s="48">
        <v>0</v>
      </c>
      <c r="H22" s="34" t="s">
        <v>42</v>
      </c>
      <c r="I22" s="34">
        <v>5</v>
      </c>
      <c r="J22" s="49">
        <f t="shared" si="0"/>
        <v>2013</v>
      </c>
      <c r="K22" s="41">
        <f t="shared" si="1"/>
        <v>2013.3333333333333</v>
      </c>
      <c r="L22" s="47">
        <v>14688</v>
      </c>
      <c r="M22" s="47">
        <f t="shared" si="2"/>
        <v>14688</v>
      </c>
      <c r="N22" s="47">
        <f t="shared" si="3"/>
        <v>244.79999999999998</v>
      </c>
      <c r="O22" s="47">
        <f t="shared" si="4"/>
        <v>2937.6</v>
      </c>
      <c r="P22" s="47">
        <f t="shared" si="5"/>
        <v>0</v>
      </c>
      <c r="Q22" s="47"/>
      <c r="R22" s="47">
        <f t="shared" si="6"/>
        <v>14688</v>
      </c>
      <c r="S22" s="47">
        <f t="shared" si="7"/>
        <v>14688</v>
      </c>
      <c r="T22" s="47">
        <f t="shared" si="8"/>
        <v>0</v>
      </c>
      <c r="U22" s="19"/>
    </row>
    <row r="23" spans="1:76" x14ac:dyDescent="0.25">
      <c r="A23" s="42"/>
      <c r="B23" s="42"/>
      <c r="C23" s="42" t="s">
        <v>50</v>
      </c>
      <c r="D23" s="42"/>
      <c r="E23" s="43">
        <v>2009</v>
      </c>
      <c r="F23" s="43">
        <v>1</v>
      </c>
      <c r="G23" s="43">
        <v>0</v>
      </c>
      <c r="H23" s="44" t="s">
        <v>42</v>
      </c>
      <c r="I23" s="43">
        <v>4.916666666666667</v>
      </c>
      <c r="J23" s="45">
        <f t="shared" si="0"/>
        <v>2013.9166666666667</v>
      </c>
      <c r="K23" s="41">
        <f t="shared" si="1"/>
        <v>2014</v>
      </c>
      <c r="L23" s="46">
        <v>2847</v>
      </c>
      <c r="M23" s="47">
        <f t="shared" si="2"/>
        <v>2847</v>
      </c>
      <c r="N23" s="47">
        <f t="shared" si="3"/>
        <v>48.254237288135592</v>
      </c>
      <c r="O23" s="47">
        <f t="shared" si="4"/>
        <v>579.05084745762713</v>
      </c>
      <c r="P23" s="47">
        <f t="shared" si="5"/>
        <v>0</v>
      </c>
      <c r="Q23" s="47"/>
      <c r="R23" s="47">
        <f t="shared" si="6"/>
        <v>2847</v>
      </c>
      <c r="S23" s="47">
        <f t="shared" si="7"/>
        <v>2847</v>
      </c>
      <c r="T23" s="47">
        <f t="shared" si="8"/>
        <v>0</v>
      </c>
      <c r="U23" s="19"/>
    </row>
    <row r="24" spans="1:76" x14ac:dyDescent="0.25">
      <c r="A24" s="42"/>
      <c r="B24" s="42"/>
      <c r="C24" s="42" t="s">
        <v>51</v>
      </c>
      <c r="D24" s="42"/>
      <c r="E24" s="43">
        <v>2009</v>
      </c>
      <c r="F24" s="43">
        <v>4</v>
      </c>
      <c r="G24" s="43">
        <v>0</v>
      </c>
      <c r="H24" s="44" t="s">
        <v>42</v>
      </c>
      <c r="I24" s="44">
        <v>5</v>
      </c>
      <c r="J24" s="45">
        <f t="shared" si="0"/>
        <v>2014</v>
      </c>
      <c r="K24" s="41">
        <f t="shared" si="1"/>
        <v>2014.3333333333333</v>
      </c>
      <c r="L24" s="46">
        <v>2808</v>
      </c>
      <c r="M24" s="47">
        <f t="shared" si="2"/>
        <v>2808</v>
      </c>
      <c r="N24" s="47">
        <f t="shared" si="3"/>
        <v>46.800000000000004</v>
      </c>
      <c r="O24" s="47">
        <f t="shared" si="4"/>
        <v>561.6</v>
      </c>
      <c r="P24" s="47">
        <f t="shared" si="5"/>
        <v>0</v>
      </c>
      <c r="Q24" s="47"/>
      <c r="R24" s="47">
        <f t="shared" si="6"/>
        <v>2808</v>
      </c>
      <c r="S24" s="47">
        <f t="shared" si="7"/>
        <v>2808</v>
      </c>
      <c r="T24" s="47">
        <f t="shared" si="8"/>
        <v>0</v>
      </c>
      <c r="U24" s="19"/>
    </row>
    <row r="25" spans="1:76" s="51" customFormat="1" x14ac:dyDescent="0.25">
      <c r="A25" s="42"/>
      <c r="B25" s="42"/>
      <c r="C25" s="42" t="s">
        <v>52</v>
      </c>
      <c r="D25" s="42"/>
      <c r="E25" s="43">
        <v>2009</v>
      </c>
      <c r="F25" s="43">
        <v>5</v>
      </c>
      <c r="G25" s="43">
        <v>0</v>
      </c>
      <c r="H25" s="44" t="s">
        <v>42</v>
      </c>
      <c r="I25" s="44">
        <v>3</v>
      </c>
      <c r="J25" s="45">
        <f t="shared" si="0"/>
        <v>2012</v>
      </c>
      <c r="K25" s="41">
        <f t="shared" si="1"/>
        <v>2012.4166666666667</v>
      </c>
      <c r="L25" s="46">
        <v>13294.47</v>
      </c>
      <c r="M25" s="47">
        <f t="shared" si="2"/>
        <v>13294.47</v>
      </c>
      <c r="N25" s="47">
        <f t="shared" si="3"/>
        <v>369.2908333333333</v>
      </c>
      <c r="O25" s="47">
        <f t="shared" si="4"/>
        <v>4431.49</v>
      </c>
      <c r="P25" s="47">
        <f t="shared" si="5"/>
        <v>0</v>
      </c>
      <c r="Q25" s="47"/>
      <c r="R25" s="47">
        <f t="shared" si="6"/>
        <v>13294.47</v>
      </c>
      <c r="S25" s="47">
        <f t="shared" si="7"/>
        <v>13294.47</v>
      </c>
      <c r="T25" s="47">
        <f t="shared" si="8"/>
        <v>0</v>
      </c>
      <c r="U25" s="19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</row>
    <row r="26" spans="1:76" s="61" customFormat="1" x14ac:dyDescent="0.25">
      <c r="A26" s="52"/>
      <c r="B26" s="52"/>
      <c r="C26" s="52" t="s">
        <v>53</v>
      </c>
      <c r="D26" s="52">
        <v>88978</v>
      </c>
      <c r="E26" s="53">
        <v>2011</v>
      </c>
      <c r="F26" s="53">
        <v>12</v>
      </c>
      <c r="G26" s="53">
        <v>0</v>
      </c>
      <c r="H26" s="54" t="s">
        <v>42</v>
      </c>
      <c r="I26" s="54">
        <v>5</v>
      </c>
      <c r="J26" s="55">
        <f t="shared" si="0"/>
        <v>2016</v>
      </c>
      <c r="K26" s="56">
        <f t="shared" si="1"/>
        <v>2017</v>
      </c>
      <c r="L26" s="57">
        <v>8341.39</v>
      </c>
      <c r="M26" s="58">
        <f t="shared" si="2"/>
        <v>8341.39</v>
      </c>
      <c r="N26" s="58">
        <f t="shared" si="3"/>
        <v>139.02316666666664</v>
      </c>
      <c r="O26" s="58">
        <f t="shared" si="4"/>
        <v>1668.2779999999998</v>
      </c>
      <c r="P26" s="58">
        <f t="shared" si="5"/>
        <v>0</v>
      </c>
      <c r="Q26" s="58"/>
      <c r="R26" s="58">
        <f t="shared" si="6"/>
        <v>8341.39</v>
      </c>
      <c r="S26" s="58">
        <f t="shared" si="7"/>
        <v>8341.39</v>
      </c>
      <c r="T26" s="58">
        <f t="shared" si="8"/>
        <v>0</v>
      </c>
      <c r="U26" s="59" t="s">
        <v>240</v>
      </c>
      <c r="V26" s="60" t="s">
        <v>54</v>
      </c>
    </row>
    <row r="27" spans="1:76" s="61" customFormat="1" x14ac:dyDescent="0.25">
      <c r="A27" s="52"/>
      <c r="B27" s="52"/>
      <c r="C27" s="52" t="s">
        <v>55</v>
      </c>
      <c r="D27" s="52">
        <v>110705</v>
      </c>
      <c r="E27" s="53">
        <v>2013</v>
      </c>
      <c r="F27" s="53">
        <v>12</v>
      </c>
      <c r="G27" s="53">
        <v>0</v>
      </c>
      <c r="H27" s="54" t="s">
        <v>42</v>
      </c>
      <c r="I27" s="54">
        <v>5</v>
      </c>
      <c r="J27" s="55">
        <f t="shared" si="0"/>
        <v>2018</v>
      </c>
      <c r="K27" s="56">
        <f t="shared" si="1"/>
        <v>2019</v>
      </c>
      <c r="L27" s="57">
        <v>14214.49</v>
      </c>
      <c r="M27" s="58">
        <f t="shared" si="2"/>
        <v>14214.49</v>
      </c>
      <c r="N27" s="58">
        <f t="shared" si="3"/>
        <v>236.90816666666669</v>
      </c>
      <c r="O27" s="58">
        <f t="shared" si="4"/>
        <v>2842.8980000000001</v>
      </c>
      <c r="P27" s="58">
        <f t="shared" si="5"/>
        <v>2842.8980000000001</v>
      </c>
      <c r="Q27" s="58"/>
      <c r="R27" s="58">
        <f t="shared" si="6"/>
        <v>11371.592000000001</v>
      </c>
      <c r="S27" s="58">
        <f t="shared" si="7"/>
        <v>14214.490000000002</v>
      </c>
      <c r="T27" s="58">
        <f t="shared" si="8"/>
        <v>1421.4489999999987</v>
      </c>
      <c r="U27" s="59" t="s">
        <v>241</v>
      </c>
      <c r="V27" s="62" t="s">
        <v>56</v>
      </c>
      <c r="W27" s="62">
        <v>14214.49</v>
      </c>
      <c r="X27" s="63">
        <f>+L27-W27</f>
        <v>0</v>
      </c>
    </row>
    <row r="28" spans="1:76" s="61" customFormat="1" x14ac:dyDescent="0.25">
      <c r="A28" s="52"/>
      <c r="B28" s="52">
        <v>8389</v>
      </c>
      <c r="C28" s="52" t="s">
        <v>57</v>
      </c>
      <c r="D28" s="52">
        <v>107517</v>
      </c>
      <c r="E28" s="53">
        <v>2013</v>
      </c>
      <c r="F28" s="53">
        <v>7</v>
      </c>
      <c r="G28" s="64">
        <v>0</v>
      </c>
      <c r="H28" s="54" t="s">
        <v>42</v>
      </c>
      <c r="I28" s="54">
        <v>7</v>
      </c>
      <c r="J28" s="55">
        <f t="shared" si="0"/>
        <v>2020</v>
      </c>
      <c r="K28" s="56">
        <f t="shared" si="1"/>
        <v>2020.5833333333333</v>
      </c>
      <c r="L28" s="57">
        <v>11434.13</v>
      </c>
      <c r="M28" s="58">
        <f t="shared" si="2"/>
        <v>11434.13</v>
      </c>
      <c r="N28" s="58">
        <f t="shared" si="3"/>
        <v>136.12059523809523</v>
      </c>
      <c r="O28" s="58">
        <f t="shared" si="4"/>
        <v>1633.4471428571428</v>
      </c>
      <c r="P28" s="58">
        <f t="shared" si="5"/>
        <v>1633.4471428571428</v>
      </c>
      <c r="Q28" s="58"/>
      <c r="R28" s="58">
        <f t="shared" si="6"/>
        <v>6533.7885714285712</v>
      </c>
      <c r="S28" s="58">
        <f t="shared" si="7"/>
        <v>8167.2357142857145</v>
      </c>
      <c r="T28" s="58">
        <f t="shared" si="8"/>
        <v>4083.6178571428563</v>
      </c>
      <c r="U28" s="59" t="s">
        <v>242</v>
      </c>
      <c r="V28" s="61" t="s">
        <v>58</v>
      </c>
      <c r="W28" s="62">
        <v>11434.13</v>
      </c>
      <c r="X28" s="63">
        <f>+L28-W28</f>
        <v>0</v>
      </c>
    </row>
    <row r="29" spans="1:76" s="61" customFormat="1" x14ac:dyDescent="0.25">
      <c r="A29" s="52"/>
      <c r="B29" s="52">
        <v>9227</v>
      </c>
      <c r="C29" s="52" t="s">
        <v>59</v>
      </c>
      <c r="D29" s="52">
        <v>110367</v>
      </c>
      <c r="E29" s="53">
        <v>2014</v>
      </c>
      <c r="F29" s="53">
        <v>1</v>
      </c>
      <c r="G29" s="64">
        <v>0</v>
      </c>
      <c r="H29" s="54" t="s">
        <v>42</v>
      </c>
      <c r="I29" s="54">
        <v>3</v>
      </c>
      <c r="J29" s="55">
        <f t="shared" si="0"/>
        <v>2017</v>
      </c>
      <c r="K29" s="56">
        <f t="shared" si="1"/>
        <v>2017.0833333333333</v>
      </c>
      <c r="L29" s="57">
        <v>50193</v>
      </c>
      <c r="M29" s="58">
        <f t="shared" si="2"/>
        <v>50193</v>
      </c>
      <c r="N29" s="58">
        <f t="shared" si="3"/>
        <v>1394.25</v>
      </c>
      <c r="O29" s="58">
        <f t="shared" si="4"/>
        <v>16731</v>
      </c>
      <c r="P29" s="58">
        <f t="shared" si="5"/>
        <v>0</v>
      </c>
      <c r="Q29" s="58"/>
      <c r="R29" s="58">
        <f t="shared" si="6"/>
        <v>50193</v>
      </c>
      <c r="S29" s="58">
        <f t="shared" si="7"/>
        <v>50193</v>
      </c>
      <c r="T29" s="58">
        <f t="shared" si="8"/>
        <v>0</v>
      </c>
      <c r="U29" s="59" t="s">
        <v>243</v>
      </c>
      <c r="V29" s="60" t="s">
        <v>54</v>
      </c>
    </row>
    <row r="30" spans="1:76" s="61" customFormat="1" x14ac:dyDescent="0.25">
      <c r="A30" s="52"/>
      <c r="B30" s="52"/>
      <c r="C30" s="52" t="s">
        <v>60</v>
      </c>
      <c r="D30" s="52">
        <v>116109</v>
      </c>
      <c r="E30" s="53">
        <v>2014</v>
      </c>
      <c r="F30" s="53">
        <v>7</v>
      </c>
      <c r="G30" s="64">
        <v>0</v>
      </c>
      <c r="H30" s="54" t="s">
        <v>42</v>
      </c>
      <c r="I30" s="54">
        <v>2</v>
      </c>
      <c r="J30" s="55">
        <f t="shared" si="0"/>
        <v>2016</v>
      </c>
      <c r="K30" s="56">
        <f t="shared" si="1"/>
        <v>2016.5833333333333</v>
      </c>
      <c r="L30" s="57">
        <v>1705.08</v>
      </c>
      <c r="M30" s="58">
        <f t="shared" si="2"/>
        <v>1705.08</v>
      </c>
      <c r="N30" s="58">
        <f t="shared" si="3"/>
        <v>71.045000000000002</v>
      </c>
      <c r="O30" s="58">
        <f t="shared" si="4"/>
        <v>852.54</v>
      </c>
      <c r="P30" s="58">
        <f t="shared" si="5"/>
        <v>0</v>
      </c>
      <c r="Q30" s="58"/>
      <c r="R30" s="58">
        <f t="shared" si="6"/>
        <v>1705.08</v>
      </c>
      <c r="S30" s="58">
        <f t="shared" si="7"/>
        <v>1705.08</v>
      </c>
      <c r="T30" s="58">
        <f t="shared" si="8"/>
        <v>0</v>
      </c>
      <c r="U30" s="59" t="s">
        <v>244</v>
      </c>
      <c r="V30" s="60" t="s">
        <v>54</v>
      </c>
    </row>
    <row r="31" spans="1:76" s="61" customFormat="1" x14ac:dyDescent="0.25">
      <c r="A31" s="52"/>
      <c r="B31" s="52"/>
      <c r="C31" s="52" t="s">
        <v>61</v>
      </c>
      <c r="D31" s="52">
        <v>117341</v>
      </c>
      <c r="E31" s="53">
        <v>2014</v>
      </c>
      <c r="F31" s="53">
        <v>11</v>
      </c>
      <c r="G31" s="64">
        <v>0</v>
      </c>
      <c r="H31" s="54" t="s">
        <v>42</v>
      </c>
      <c r="I31" s="54">
        <v>2</v>
      </c>
      <c r="J31" s="55">
        <f t="shared" si="0"/>
        <v>2016</v>
      </c>
      <c r="K31" s="56">
        <f t="shared" si="1"/>
        <v>2016.9166666666667</v>
      </c>
      <c r="L31" s="57">
        <v>3044.85</v>
      </c>
      <c r="M31" s="58">
        <f t="shared" si="2"/>
        <v>3044.85</v>
      </c>
      <c r="N31" s="58">
        <f t="shared" si="3"/>
        <v>126.86874999999999</v>
      </c>
      <c r="O31" s="58">
        <f t="shared" si="4"/>
        <v>1522.425</v>
      </c>
      <c r="P31" s="58">
        <f t="shared" si="5"/>
        <v>0</v>
      </c>
      <c r="Q31" s="58"/>
      <c r="R31" s="58">
        <f t="shared" si="6"/>
        <v>3044.85</v>
      </c>
      <c r="S31" s="58">
        <f t="shared" si="7"/>
        <v>3044.85</v>
      </c>
      <c r="T31" s="58">
        <f t="shared" si="8"/>
        <v>0</v>
      </c>
      <c r="U31" s="59" t="s">
        <v>245</v>
      </c>
      <c r="V31" s="60" t="s">
        <v>54</v>
      </c>
    </row>
    <row r="32" spans="1:76" s="61" customFormat="1" x14ac:dyDescent="0.25">
      <c r="A32" s="52"/>
      <c r="B32" s="52">
        <v>7965</v>
      </c>
      <c r="C32" s="52" t="s">
        <v>62</v>
      </c>
      <c r="D32" s="52">
        <v>128433</v>
      </c>
      <c r="E32" s="53">
        <v>2015</v>
      </c>
      <c r="F32" s="53">
        <v>12</v>
      </c>
      <c r="G32" s="64">
        <v>0</v>
      </c>
      <c r="H32" s="54" t="s">
        <v>42</v>
      </c>
      <c r="I32" s="54">
        <v>9</v>
      </c>
      <c r="J32" s="55">
        <f t="shared" si="0"/>
        <v>2024</v>
      </c>
      <c r="K32" s="56">
        <f t="shared" si="1"/>
        <v>2025</v>
      </c>
      <c r="L32" s="57">
        <v>11826.5</v>
      </c>
      <c r="M32" s="58">
        <f t="shared" si="2"/>
        <v>11826.5</v>
      </c>
      <c r="N32" s="58">
        <f t="shared" si="3"/>
        <v>109.50462962962963</v>
      </c>
      <c r="O32" s="58">
        <f t="shared" si="4"/>
        <v>1314.0555555555557</v>
      </c>
      <c r="P32" s="58">
        <f t="shared" si="5"/>
        <v>1314.0555555555557</v>
      </c>
      <c r="Q32" s="58"/>
      <c r="R32" s="58">
        <f t="shared" si="6"/>
        <v>2628.1111111111113</v>
      </c>
      <c r="S32" s="58">
        <f t="shared" si="7"/>
        <v>3942.166666666667</v>
      </c>
      <c r="T32" s="58">
        <f t="shared" si="8"/>
        <v>8541.3611111111113</v>
      </c>
      <c r="U32" s="59" t="s">
        <v>246</v>
      </c>
      <c r="V32" s="61" t="s">
        <v>63</v>
      </c>
      <c r="W32" s="62">
        <v>11826.5</v>
      </c>
      <c r="X32" s="63">
        <f>+L32-W32</f>
        <v>0</v>
      </c>
    </row>
    <row r="33" spans="1:76" s="61" customFormat="1" x14ac:dyDescent="0.25">
      <c r="A33" s="52"/>
      <c r="B33" s="52"/>
      <c r="C33" s="59" t="s">
        <v>64</v>
      </c>
      <c r="D33" s="65">
        <v>171079</v>
      </c>
      <c r="E33" s="53">
        <v>2016</v>
      </c>
      <c r="F33" s="53">
        <v>12</v>
      </c>
      <c r="G33" s="53">
        <v>0</v>
      </c>
      <c r="H33" s="54" t="s">
        <v>42</v>
      </c>
      <c r="I33" s="54">
        <v>4</v>
      </c>
      <c r="J33" s="53">
        <f>E33+I33</f>
        <v>2020</v>
      </c>
      <c r="K33" s="56">
        <f>J33+(F33/12)</f>
        <v>2021</v>
      </c>
      <c r="L33" s="57">
        <v>3178.44</v>
      </c>
      <c r="M33" s="58">
        <f>L33-L33*G33</f>
        <v>3178.44</v>
      </c>
      <c r="N33" s="58">
        <f>M33/I33/12</f>
        <v>66.217500000000001</v>
      </c>
      <c r="O33" s="58">
        <f>+N33*12</f>
        <v>794.61</v>
      </c>
      <c r="P33" s="58">
        <f>+IF(K33&lt;=$N$5,0,IF(J33&gt;$N$4,O33,(N33*F33)))</f>
        <v>794.61</v>
      </c>
      <c r="Q33" s="58"/>
      <c r="R33" s="58">
        <f>+IF(P33=0,M33,IF($N$3-E33&lt;1,0,(($N$3-E33)*O33)))</f>
        <v>794.61</v>
      </c>
      <c r="S33" s="58">
        <f>+IF(P33=0,R33,R33+P33)</f>
        <v>1589.22</v>
      </c>
      <c r="T33" s="58">
        <f>+IF(P33=0,0,((L33-R33)+(L33-S33))/2)</f>
        <v>1986.5250000000001</v>
      </c>
      <c r="U33" s="59" t="s">
        <v>247</v>
      </c>
      <c r="V33" s="59" t="s">
        <v>65</v>
      </c>
      <c r="W33" s="62">
        <v>3178.44</v>
      </c>
      <c r="X33" s="63">
        <f>+L33-W33</f>
        <v>0</v>
      </c>
    </row>
    <row r="34" spans="1:76" s="61" customFormat="1" x14ac:dyDescent="0.25">
      <c r="A34" s="52"/>
      <c r="B34" s="52"/>
      <c r="C34" s="52" t="s">
        <v>66</v>
      </c>
      <c r="D34" s="52">
        <v>178940</v>
      </c>
      <c r="E34" s="53">
        <v>2017</v>
      </c>
      <c r="F34" s="53">
        <v>1</v>
      </c>
      <c r="G34" s="64">
        <v>0</v>
      </c>
      <c r="H34" s="54" t="s">
        <v>42</v>
      </c>
      <c r="I34" s="54">
        <v>20</v>
      </c>
      <c r="J34" s="55">
        <f t="shared" si="0"/>
        <v>2037</v>
      </c>
      <c r="K34" s="56">
        <f t="shared" si="1"/>
        <v>2037.0833333333333</v>
      </c>
      <c r="L34" s="57">
        <v>17488.03</v>
      </c>
      <c r="M34" s="58">
        <f t="shared" si="2"/>
        <v>17488.03</v>
      </c>
      <c r="N34" s="58">
        <f t="shared" si="3"/>
        <v>72.866791666666657</v>
      </c>
      <c r="O34" s="58">
        <f t="shared" si="4"/>
        <v>874.40149999999994</v>
      </c>
      <c r="P34" s="58">
        <f t="shared" si="5"/>
        <v>874.40149999999994</v>
      </c>
      <c r="Q34" s="58"/>
      <c r="R34" s="58">
        <f t="shared" si="6"/>
        <v>0</v>
      </c>
      <c r="S34" s="58">
        <f t="shared" si="7"/>
        <v>874.40149999999994</v>
      </c>
      <c r="T34" s="58">
        <f t="shared" si="8"/>
        <v>17050.829249999999</v>
      </c>
      <c r="U34" s="59" t="s">
        <v>247</v>
      </c>
      <c r="V34" s="61" t="s">
        <v>67</v>
      </c>
      <c r="W34" s="62">
        <v>17488.03</v>
      </c>
      <c r="X34" s="63">
        <f>+L34-W34</f>
        <v>0</v>
      </c>
    </row>
    <row r="35" spans="1:76" s="61" customFormat="1" x14ac:dyDescent="0.25">
      <c r="A35" s="52"/>
      <c r="B35" s="52"/>
      <c r="C35" s="59" t="s">
        <v>68</v>
      </c>
      <c r="D35" s="65">
        <v>187758</v>
      </c>
      <c r="E35" s="53">
        <v>2017</v>
      </c>
      <c r="F35" s="53">
        <v>10</v>
      </c>
      <c r="G35" s="53">
        <v>0</v>
      </c>
      <c r="H35" s="54" t="s">
        <v>42</v>
      </c>
      <c r="I35" s="54">
        <v>10</v>
      </c>
      <c r="J35" s="53">
        <f>E35+I35</f>
        <v>2027</v>
      </c>
      <c r="K35" s="56">
        <f>J35+(F35/12)</f>
        <v>2027.8333333333333</v>
      </c>
      <c r="L35" s="57">
        <v>14677.12</v>
      </c>
      <c r="M35" s="58">
        <f>L35-L35*G35</f>
        <v>14677.12</v>
      </c>
      <c r="N35" s="58">
        <f>M35/I35/12</f>
        <v>122.30933333333333</v>
      </c>
      <c r="O35" s="58">
        <f>+N35*12</f>
        <v>1467.712</v>
      </c>
      <c r="P35" s="58">
        <f>+IF(K35&lt;=$N$5,0,IF(J35&gt;$N$4,O35,(N35*F35)))</f>
        <v>1467.712</v>
      </c>
      <c r="Q35" s="58"/>
      <c r="R35" s="58">
        <f>+IF(P35=0,M35,IF($N$3-E35&lt;1,0,(($N$3-E35)*O35)))</f>
        <v>0</v>
      </c>
      <c r="S35" s="58">
        <f>+IF(P35=0,R35,R35+P35)</f>
        <v>1467.712</v>
      </c>
      <c r="T35" s="58">
        <f>+IF(P35=0,0,((L35-R35)+(L35-S35))/2)</f>
        <v>13943.264000000001</v>
      </c>
      <c r="U35" s="59" t="s">
        <v>248</v>
      </c>
      <c r="V35" s="59" t="s">
        <v>69</v>
      </c>
      <c r="W35" s="62">
        <v>14677.12</v>
      </c>
      <c r="X35" s="63">
        <f>+L35-W35</f>
        <v>0</v>
      </c>
    </row>
    <row r="36" spans="1:76" x14ac:dyDescent="0.25">
      <c r="A36" s="42"/>
      <c r="B36" s="42"/>
      <c r="C36" s="42"/>
      <c r="D36" s="42"/>
      <c r="E36" s="43"/>
      <c r="F36" s="43"/>
      <c r="G36" s="43"/>
      <c r="H36" s="44"/>
      <c r="I36" s="44"/>
      <c r="J36" s="43"/>
      <c r="K36" s="43"/>
      <c r="L36" s="46"/>
      <c r="M36" s="47"/>
      <c r="N36" s="47"/>
      <c r="O36" s="47"/>
      <c r="P36" s="47"/>
      <c r="Q36" s="47"/>
      <c r="R36" s="47"/>
      <c r="S36" s="47"/>
      <c r="T36" s="47"/>
      <c r="U36" s="19"/>
    </row>
    <row r="37" spans="1:76" x14ac:dyDescent="0.25">
      <c r="A37" s="42"/>
      <c r="B37" s="42"/>
      <c r="C37" s="42"/>
      <c r="D37" s="42"/>
      <c r="E37" s="43"/>
      <c r="F37" s="43"/>
      <c r="G37" s="43"/>
      <c r="H37" s="44"/>
      <c r="I37" s="44"/>
      <c r="J37" s="66" t="s">
        <v>70</v>
      </c>
      <c r="K37" s="66"/>
      <c r="L37" s="67">
        <f t="shared" ref="L37:T37" si="9">SUM(L15:L36)</f>
        <v>208483.68</v>
      </c>
      <c r="M37" s="67">
        <f t="shared" si="9"/>
        <v>208483.68</v>
      </c>
      <c r="N37" s="67">
        <f t="shared" si="9"/>
        <v>3829.978670489194</v>
      </c>
      <c r="O37" s="67">
        <f t="shared" si="9"/>
        <v>45959.744045870328</v>
      </c>
      <c r="P37" s="67">
        <f t="shared" si="9"/>
        <v>8927.1241984126973</v>
      </c>
      <c r="Q37" s="67">
        <f t="shared" si="9"/>
        <v>0</v>
      </c>
      <c r="R37" s="67">
        <f t="shared" si="9"/>
        <v>156993.07168253965</v>
      </c>
      <c r="S37" s="67">
        <f t="shared" si="9"/>
        <v>165920.19588095238</v>
      </c>
      <c r="T37" s="67">
        <f t="shared" si="9"/>
        <v>47027.04621825397</v>
      </c>
      <c r="U37" s="68"/>
    </row>
    <row r="38" spans="1:76" x14ac:dyDescent="0.25">
      <c r="A38" s="42"/>
      <c r="B38" s="42"/>
      <c r="C38" s="42"/>
      <c r="D38" s="42"/>
      <c r="E38" s="43"/>
      <c r="F38" s="43"/>
      <c r="G38" s="43"/>
      <c r="H38" s="44"/>
      <c r="I38" s="44"/>
      <c r="J38" s="69"/>
      <c r="K38" s="69"/>
      <c r="L38" s="70"/>
      <c r="M38" s="70"/>
      <c r="N38" s="70"/>
      <c r="O38" s="70"/>
      <c r="P38" s="70"/>
      <c r="Q38" s="70"/>
      <c r="R38" s="70"/>
      <c r="S38" s="70"/>
      <c r="T38" s="70"/>
      <c r="U38" s="68"/>
    </row>
    <row r="39" spans="1:76" s="74" customFormat="1" x14ac:dyDescent="0.25">
      <c r="A39" s="1" t="s">
        <v>71</v>
      </c>
      <c r="B39" s="71"/>
      <c r="C39" s="42"/>
      <c r="D39" s="42"/>
      <c r="E39" s="44"/>
      <c r="F39" s="42"/>
      <c r="G39" s="43"/>
      <c r="H39" s="43"/>
      <c r="I39" s="43"/>
      <c r="J39" s="44"/>
      <c r="K39" s="44"/>
      <c r="L39" s="72"/>
      <c r="M39" s="70"/>
      <c r="N39" s="70"/>
      <c r="O39" s="70"/>
      <c r="P39" s="70"/>
      <c r="Q39" s="70"/>
      <c r="R39" s="70"/>
      <c r="S39" s="70"/>
      <c r="T39" s="70"/>
      <c r="U39" s="68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</row>
    <row r="40" spans="1:76" x14ac:dyDescent="0.25">
      <c r="L40" s="75"/>
      <c r="M40" s="75"/>
      <c r="N40" s="75"/>
      <c r="O40" s="75"/>
      <c r="P40" s="75"/>
      <c r="Q40" s="75"/>
      <c r="R40" s="75"/>
      <c r="S40" s="75"/>
      <c r="T40" s="75"/>
    </row>
    <row r="41" spans="1:76" x14ac:dyDescent="0.25">
      <c r="A41" s="34"/>
      <c r="B41" s="34">
        <v>6017</v>
      </c>
      <c r="C41" s="35" t="s">
        <v>72</v>
      </c>
      <c r="D41" s="34">
        <v>61235</v>
      </c>
      <c r="E41" s="36">
        <v>1999</v>
      </c>
      <c r="F41" s="36">
        <v>5</v>
      </c>
      <c r="G41" s="76">
        <v>0</v>
      </c>
      <c r="H41" s="34" t="s">
        <v>42</v>
      </c>
      <c r="I41" s="34">
        <v>5</v>
      </c>
      <c r="J41" s="49">
        <f t="shared" ref="J41:J47" si="10">E41+I41</f>
        <v>2004</v>
      </c>
      <c r="K41" s="38">
        <f t="shared" ref="K41:K50" si="11">J41+(F41/12)</f>
        <v>2004.4166666666667</v>
      </c>
      <c r="L41" s="47">
        <v>3015</v>
      </c>
      <c r="M41" s="47">
        <f>L41-L41*G41</f>
        <v>3015</v>
      </c>
      <c r="N41" s="47">
        <f>M41/I41/12</f>
        <v>50.25</v>
      </c>
      <c r="O41" s="47">
        <f t="shared" ref="O41:O49" si="12">+N41*12</f>
        <v>603</v>
      </c>
      <c r="P41" s="47">
        <f t="shared" ref="P41:P49" si="13">+IF(K41&lt;=$N$5,0,IF(J41&gt;$N$4,O41,(N41*F41)))</f>
        <v>0</v>
      </c>
      <c r="Q41" s="47"/>
      <c r="R41" s="47">
        <f t="shared" ref="R41:R49" si="14">+IF(P41=0,M41,IF($N$3-E41&lt;1,0,(($N$3-E41)*O41)))</f>
        <v>3015</v>
      </c>
      <c r="S41" s="47">
        <f t="shared" ref="S41:S49" si="15">+IF(P41=0,R41,R41+P41)</f>
        <v>3015</v>
      </c>
      <c r="T41" s="47">
        <f t="shared" ref="T41:T49" si="16">+IF(P41=0,0,((L41-R41)+(L41-S41))/2)</f>
        <v>0</v>
      </c>
      <c r="U41" s="19"/>
    </row>
    <row r="42" spans="1:76" s="93" customFormat="1" x14ac:dyDescent="0.25">
      <c r="A42" s="77"/>
      <c r="B42" s="78">
        <v>6017</v>
      </c>
      <c r="C42" s="79" t="s">
        <v>73</v>
      </c>
      <c r="D42" s="80"/>
      <c r="E42" s="81">
        <v>2017</v>
      </c>
      <c r="F42" s="82">
        <v>3</v>
      </c>
      <c r="G42" s="83">
        <v>0</v>
      </c>
      <c r="H42" s="82" t="s">
        <v>42</v>
      </c>
      <c r="I42" s="82">
        <f>+IF(J41-$N$3&gt;=3,J41-$N$3,3)</f>
        <v>3</v>
      </c>
      <c r="J42" s="84">
        <f>+E42+I42</f>
        <v>2020</v>
      </c>
      <c r="K42" s="85">
        <f t="shared" si="11"/>
        <v>2020.25</v>
      </c>
      <c r="L42" s="86">
        <v>1485</v>
      </c>
      <c r="M42" s="87">
        <f>+L42-L42*G42</f>
        <v>1485</v>
      </c>
      <c r="N42" s="86">
        <f>+M42/I42/12</f>
        <v>41.25</v>
      </c>
      <c r="O42" s="86">
        <f t="shared" si="12"/>
        <v>495</v>
      </c>
      <c r="P42" s="86">
        <f t="shared" si="13"/>
        <v>495</v>
      </c>
      <c r="Q42" s="86"/>
      <c r="R42" s="86">
        <f t="shared" si="14"/>
        <v>0</v>
      </c>
      <c r="S42" s="86">
        <f t="shared" si="15"/>
        <v>495</v>
      </c>
      <c r="T42" s="85">
        <f>+IF(T41=0,0,IF(P42=0,0,((L42-R42)+(L42-S42))/2))</f>
        <v>0</v>
      </c>
      <c r="U42" s="88"/>
      <c r="V42" s="89"/>
      <c r="W42" s="90"/>
      <c r="X42" s="90"/>
      <c r="Y42" s="90"/>
      <c r="Z42" s="90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2"/>
    </row>
    <row r="43" spans="1:76" x14ac:dyDescent="0.25">
      <c r="A43" s="34"/>
      <c r="B43" s="34">
        <v>7032</v>
      </c>
      <c r="C43" s="35" t="s">
        <v>74</v>
      </c>
      <c r="D43" s="34">
        <v>61281</v>
      </c>
      <c r="E43" s="36">
        <v>2005</v>
      </c>
      <c r="F43" s="36">
        <v>11</v>
      </c>
      <c r="G43" s="48">
        <v>0</v>
      </c>
      <c r="H43" s="34" t="s">
        <v>42</v>
      </c>
      <c r="I43" s="34">
        <v>5</v>
      </c>
      <c r="J43" s="49">
        <f t="shared" si="10"/>
        <v>2010</v>
      </c>
      <c r="K43" s="38">
        <f t="shared" si="11"/>
        <v>2010.9166666666667</v>
      </c>
      <c r="L43" s="47">
        <v>7616</v>
      </c>
      <c r="M43" s="47">
        <f>L43-L43*G43</f>
        <v>7616</v>
      </c>
      <c r="N43" s="47">
        <f>M43/I43/12</f>
        <v>126.93333333333334</v>
      </c>
      <c r="O43" s="47">
        <f t="shared" si="12"/>
        <v>1523.2</v>
      </c>
      <c r="P43" s="47">
        <f t="shared" si="13"/>
        <v>0</v>
      </c>
      <c r="Q43" s="47"/>
      <c r="R43" s="47">
        <f t="shared" si="14"/>
        <v>7616</v>
      </c>
      <c r="S43" s="47">
        <f t="shared" si="15"/>
        <v>7616</v>
      </c>
      <c r="T43" s="47">
        <f t="shared" si="16"/>
        <v>0</v>
      </c>
      <c r="U43" s="19"/>
      <c r="V43" s="19"/>
    </row>
    <row r="44" spans="1:76" x14ac:dyDescent="0.25">
      <c r="A44" s="34"/>
      <c r="B44" s="34">
        <v>6041</v>
      </c>
      <c r="C44" s="94" t="s">
        <v>75</v>
      </c>
      <c r="D44" s="34">
        <v>90355</v>
      </c>
      <c r="E44" s="36">
        <v>2008</v>
      </c>
      <c r="F44" s="36">
        <v>3</v>
      </c>
      <c r="G44" s="76">
        <v>0</v>
      </c>
      <c r="H44" s="34" t="s">
        <v>42</v>
      </c>
      <c r="I44" s="34">
        <v>5</v>
      </c>
      <c r="J44" s="49">
        <f t="shared" si="10"/>
        <v>2013</v>
      </c>
      <c r="K44" s="38">
        <f t="shared" si="11"/>
        <v>2013.25</v>
      </c>
      <c r="L44" s="47">
        <v>11976.6252</v>
      </c>
      <c r="M44" s="47">
        <f>L44-L44*G44</f>
        <v>11976.6252</v>
      </c>
      <c r="N44" s="47">
        <f>M44/I44/12</f>
        <v>199.61042</v>
      </c>
      <c r="O44" s="47">
        <f t="shared" si="12"/>
        <v>2395.3250400000002</v>
      </c>
      <c r="P44" s="47">
        <f t="shared" si="13"/>
        <v>0</v>
      </c>
      <c r="Q44" s="47"/>
      <c r="R44" s="47">
        <f t="shared" si="14"/>
        <v>11976.6252</v>
      </c>
      <c r="S44" s="47">
        <f t="shared" si="15"/>
        <v>11976.6252</v>
      </c>
      <c r="T44" s="47">
        <f t="shared" si="16"/>
        <v>0</v>
      </c>
      <c r="U44" s="19"/>
      <c r="V44" s="19"/>
    </row>
    <row r="45" spans="1:76" s="93" customFormat="1" x14ac:dyDescent="0.25">
      <c r="A45" s="77"/>
      <c r="B45" s="78">
        <v>6041</v>
      </c>
      <c r="C45" s="79" t="s">
        <v>76</v>
      </c>
      <c r="D45" s="80"/>
      <c r="E45" s="81">
        <v>2017</v>
      </c>
      <c r="F45" s="82">
        <v>3</v>
      </c>
      <c r="G45" s="83">
        <v>0</v>
      </c>
      <c r="H45" s="82" t="s">
        <v>42</v>
      </c>
      <c r="I45" s="82">
        <f>+IF(J44-$N$3&gt;=3,J44-$N$3,3)</f>
        <v>3</v>
      </c>
      <c r="J45" s="84">
        <f>+E45+I45</f>
        <v>2020</v>
      </c>
      <c r="K45" s="85">
        <f t="shared" si="11"/>
        <v>2020.25</v>
      </c>
      <c r="L45" s="86">
        <v>5898.9348000000009</v>
      </c>
      <c r="M45" s="87">
        <f>+L45-L45*G45</f>
        <v>5898.9348000000009</v>
      </c>
      <c r="N45" s="86">
        <f>+M45/I45/12</f>
        <v>163.85930000000002</v>
      </c>
      <c r="O45" s="86">
        <f t="shared" si="12"/>
        <v>1966.3116000000002</v>
      </c>
      <c r="P45" s="86">
        <f t="shared" si="13"/>
        <v>1966.3116000000002</v>
      </c>
      <c r="Q45" s="86"/>
      <c r="R45" s="86">
        <f t="shared" si="14"/>
        <v>0</v>
      </c>
      <c r="S45" s="86">
        <f t="shared" si="15"/>
        <v>1966.3116000000002</v>
      </c>
      <c r="T45" s="85">
        <f>+IF(T44=0,0,IF(P45=0,0,((L45-R45)+(L45-S45))/2))</f>
        <v>0</v>
      </c>
      <c r="U45" s="88"/>
      <c r="V45" s="89"/>
      <c r="W45" s="90"/>
      <c r="X45" s="90"/>
      <c r="Y45" s="90"/>
      <c r="Z45" s="90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2"/>
    </row>
    <row r="46" spans="1:76" s="74" customFormat="1" x14ac:dyDescent="0.25">
      <c r="B46" s="34">
        <v>6037</v>
      </c>
      <c r="C46" s="35" t="s">
        <v>77</v>
      </c>
      <c r="D46" s="34"/>
      <c r="E46" s="36">
        <v>2008</v>
      </c>
      <c r="F46" s="36">
        <v>11</v>
      </c>
      <c r="G46" s="76">
        <v>0</v>
      </c>
      <c r="H46" s="34" t="s">
        <v>42</v>
      </c>
      <c r="I46" s="34">
        <v>3</v>
      </c>
      <c r="J46" s="49">
        <f>E46+I46</f>
        <v>2011</v>
      </c>
      <c r="K46" s="38">
        <f t="shared" si="11"/>
        <v>2011.9166666666667</v>
      </c>
      <c r="L46" s="47">
        <v>12500</v>
      </c>
      <c r="M46" s="47">
        <f>L46-L46*G46</f>
        <v>12500</v>
      </c>
      <c r="N46" s="47">
        <f>M46/I46/12</f>
        <v>347.22222222222223</v>
      </c>
      <c r="O46" s="47">
        <f t="shared" si="12"/>
        <v>4166.666666666667</v>
      </c>
      <c r="P46" s="47">
        <f t="shared" si="13"/>
        <v>0</v>
      </c>
      <c r="Q46" s="47"/>
      <c r="R46" s="47">
        <f t="shared" si="14"/>
        <v>12500</v>
      </c>
      <c r="S46" s="47">
        <f t="shared" si="15"/>
        <v>12500</v>
      </c>
      <c r="T46" s="47">
        <f t="shared" si="16"/>
        <v>0</v>
      </c>
      <c r="U46" s="19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</row>
    <row r="47" spans="1:76" s="74" customFormat="1" x14ac:dyDescent="0.25">
      <c r="B47" s="34">
        <v>6039</v>
      </c>
      <c r="C47" s="35" t="s">
        <v>78</v>
      </c>
      <c r="D47" s="34">
        <v>81691</v>
      </c>
      <c r="E47" s="36">
        <v>2008</v>
      </c>
      <c r="F47" s="36">
        <v>11</v>
      </c>
      <c r="G47" s="76">
        <v>0</v>
      </c>
      <c r="H47" s="34" t="s">
        <v>42</v>
      </c>
      <c r="I47" s="34">
        <v>5</v>
      </c>
      <c r="J47" s="49">
        <f t="shared" si="10"/>
        <v>2013</v>
      </c>
      <c r="K47" s="38">
        <f t="shared" si="11"/>
        <v>2013.9166666666667</v>
      </c>
      <c r="L47" s="47">
        <v>7705</v>
      </c>
      <c r="M47" s="47">
        <f>L47-L47*G47</f>
        <v>7705</v>
      </c>
      <c r="N47" s="47">
        <f>M47/I47/12</f>
        <v>128.41666666666666</v>
      </c>
      <c r="O47" s="47">
        <f t="shared" si="12"/>
        <v>1541</v>
      </c>
      <c r="P47" s="47">
        <f t="shared" si="13"/>
        <v>0</v>
      </c>
      <c r="Q47" s="47"/>
      <c r="R47" s="47">
        <f t="shared" si="14"/>
        <v>7705</v>
      </c>
      <c r="S47" s="47">
        <f t="shared" si="15"/>
        <v>7705</v>
      </c>
      <c r="T47" s="47">
        <f t="shared" si="16"/>
        <v>0</v>
      </c>
      <c r="U47" s="19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</row>
    <row r="48" spans="1:76" s="108" customFormat="1" x14ac:dyDescent="0.25">
      <c r="A48" s="95"/>
      <c r="B48" s="96">
        <v>6039</v>
      </c>
      <c r="C48" s="97" t="s">
        <v>79</v>
      </c>
      <c r="D48" s="98"/>
      <c r="E48" s="99">
        <v>2017</v>
      </c>
      <c r="F48" s="100">
        <v>3</v>
      </c>
      <c r="G48" s="101">
        <v>0</v>
      </c>
      <c r="H48" s="100" t="s">
        <v>42</v>
      </c>
      <c r="I48" s="82">
        <f>+IF(J47-$N$3&gt;=3,J47-$N$3,3)</f>
        <v>3</v>
      </c>
      <c r="J48" s="102">
        <f>+E48+I48</f>
        <v>2020</v>
      </c>
      <c r="K48" s="103">
        <f t="shared" si="11"/>
        <v>2020.25</v>
      </c>
      <c r="L48" s="104">
        <v>3795</v>
      </c>
      <c r="M48" s="87">
        <f>+L48-L48*G48</f>
        <v>3795</v>
      </c>
      <c r="N48" s="104">
        <f>+M48/I48/12</f>
        <v>105.41666666666667</v>
      </c>
      <c r="O48" s="86">
        <f t="shared" si="12"/>
        <v>1265</v>
      </c>
      <c r="P48" s="86">
        <f t="shared" si="13"/>
        <v>1265</v>
      </c>
      <c r="Q48" s="86"/>
      <c r="R48" s="86">
        <f t="shared" si="14"/>
        <v>0</v>
      </c>
      <c r="S48" s="86">
        <f t="shared" si="15"/>
        <v>1265</v>
      </c>
      <c r="T48" s="85">
        <f>+IF(T47=0,0,IF(P48=0,0,((L48-R48)+(L48-S48))/2))</f>
        <v>0</v>
      </c>
      <c r="U48" s="105"/>
      <c r="V48" s="106"/>
      <c r="W48" s="107"/>
      <c r="X48" s="107"/>
      <c r="Y48" s="107"/>
      <c r="Z48" s="107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</row>
    <row r="49" spans="1:76" s="109" customFormat="1" x14ac:dyDescent="0.25">
      <c r="B49" s="110">
        <v>9978</v>
      </c>
      <c r="C49" s="111" t="s">
        <v>80</v>
      </c>
      <c r="D49" s="110"/>
      <c r="E49" s="112">
        <v>2010</v>
      </c>
      <c r="F49" s="112">
        <v>12</v>
      </c>
      <c r="G49" s="64">
        <v>0</v>
      </c>
      <c r="H49" s="110" t="s">
        <v>42</v>
      </c>
      <c r="I49" s="110">
        <v>3</v>
      </c>
      <c r="J49" s="113">
        <f>E49+I49</f>
        <v>2013</v>
      </c>
      <c r="K49" s="114">
        <f t="shared" si="11"/>
        <v>2014</v>
      </c>
      <c r="L49" s="58">
        <v>39289.4</v>
      </c>
      <c r="M49" s="58">
        <f>L49-L49*G49</f>
        <v>39289.4</v>
      </c>
      <c r="N49" s="58">
        <f>M49/I49/12</f>
        <v>1091.3722222222223</v>
      </c>
      <c r="O49" s="58">
        <f t="shared" si="12"/>
        <v>13096.466666666667</v>
      </c>
      <c r="P49" s="58">
        <f t="shared" si="13"/>
        <v>0</v>
      </c>
      <c r="Q49" s="58"/>
      <c r="R49" s="58">
        <f t="shared" si="14"/>
        <v>39289.4</v>
      </c>
      <c r="S49" s="58">
        <f t="shared" si="15"/>
        <v>39289.4</v>
      </c>
      <c r="T49" s="58">
        <f t="shared" si="16"/>
        <v>0</v>
      </c>
      <c r="U49" s="60" t="s">
        <v>54</v>
      </c>
    </row>
    <row r="50" spans="1:76" s="109" customFormat="1" x14ac:dyDescent="0.25">
      <c r="B50" s="110">
        <v>6032</v>
      </c>
      <c r="C50" s="111" t="s">
        <v>81</v>
      </c>
      <c r="D50" s="110">
        <v>192590</v>
      </c>
      <c r="E50" s="112">
        <v>2008</v>
      </c>
      <c r="F50" s="112">
        <v>11</v>
      </c>
      <c r="G50" s="64">
        <v>0</v>
      </c>
      <c r="H50" s="110" t="s">
        <v>42</v>
      </c>
      <c r="I50" s="110">
        <v>3</v>
      </c>
      <c r="J50" s="113">
        <f>E50+I50</f>
        <v>2011</v>
      </c>
      <c r="K50" s="114">
        <f t="shared" si="11"/>
        <v>2011.9166666666667</v>
      </c>
      <c r="L50" s="58">
        <v>7000</v>
      </c>
      <c r="M50" s="58">
        <f>L50-L50*G50</f>
        <v>7000</v>
      </c>
      <c r="N50" s="58">
        <f>M50/I50/12</f>
        <v>194.44444444444446</v>
      </c>
      <c r="O50" s="58">
        <f>+N50*12</f>
        <v>2333.3333333333335</v>
      </c>
      <c r="P50" s="58">
        <f>+IF(K50&lt;=$N$5,0,IF(J50&gt;$N$4,O50,(N50*F50)))</f>
        <v>0</v>
      </c>
      <c r="Q50" s="58"/>
      <c r="R50" s="58">
        <f>+IF(P50=0,M50,IF($N$3-E50&lt;1,0,(($N$3-E50)*O50)))</f>
        <v>7000</v>
      </c>
      <c r="S50" s="58">
        <f>+IF(P50=0,R50,R50+P50)</f>
        <v>7000</v>
      </c>
      <c r="T50" s="58">
        <f>+IF(P50=0,0,((L50-R50)+(L50-S50))/2)</f>
        <v>0</v>
      </c>
      <c r="U50" s="60" t="s">
        <v>54</v>
      </c>
    </row>
    <row r="51" spans="1:76" s="74" customFormat="1" x14ac:dyDescent="0.25">
      <c r="B51" s="34"/>
      <c r="C51" s="35"/>
      <c r="D51" s="34"/>
      <c r="E51" s="36"/>
      <c r="F51" s="36"/>
      <c r="G51" s="76"/>
      <c r="H51" s="34"/>
      <c r="I51" s="34"/>
      <c r="J51" s="36"/>
      <c r="K51" s="36"/>
      <c r="L51" s="47"/>
      <c r="M51" s="47"/>
      <c r="N51" s="47"/>
      <c r="O51" s="47"/>
      <c r="P51" s="47"/>
      <c r="Q51" s="47"/>
      <c r="R51" s="47"/>
      <c r="S51" s="47"/>
      <c r="T51" s="47"/>
      <c r="U51" s="19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</row>
    <row r="52" spans="1:76" s="74" customFormat="1" x14ac:dyDescent="0.25">
      <c r="C52" s="34"/>
      <c r="D52" s="34"/>
      <c r="E52" s="34"/>
      <c r="F52" s="35"/>
      <c r="G52" s="36"/>
      <c r="H52" s="36"/>
      <c r="I52" s="34"/>
      <c r="J52" s="66" t="s">
        <v>82</v>
      </c>
      <c r="K52" s="66"/>
      <c r="L52" s="115">
        <f t="shared" ref="L52:T52" si="17">SUM(L41:L51)</f>
        <v>100280.96000000001</v>
      </c>
      <c r="M52" s="115">
        <f t="shared" si="17"/>
        <v>100280.96000000001</v>
      </c>
      <c r="N52" s="115">
        <f t="shared" si="17"/>
        <v>2448.7752755555557</v>
      </c>
      <c r="O52" s="115">
        <f t="shared" si="17"/>
        <v>29385.303306666665</v>
      </c>
      <c r="P52" s="115">
        <f t="shared" si="17"/>
        <v>3726.3116</v>
      </c>
      <c r="Q52" s="115">
        <f t="shared" si="17"/>
        <v>0</v>
      </c>
      <c r="R52" s="115">
        <f t="shared" si="17"/>
        <v>89102.025200000004</v>
      </c>
      <c r="S52" s="115">
        <f t="shared" si="17"/>
        <v>92828.336800000005</v>
      </c>
      <c r="T52" s="115">
        <f t="shared" si="17"/>
        <v>0</v>
      </c>
      <c r="U52" s="116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</row>
    <row r="53" spans="1:76" x14ac:dyDescent="0.25">
      <c r="A53" s="34"/>
      <c r="B53" s="34"/>
      <c r="C53" s="35"/>
      <c r="D53" s="34"/>
      <c r="E53" s="36"/>
      <c r="F53" s="36"/>
      <c r="G53" s="76"/>
      <c r="H53" s="34"/>
      <c r="I53" s="34"/>
      <c r="J53" s="36"/>
      <c r="K53" s="36"/>
      <c r="L53" s="47"/>
      <c r="M53" s="47"/>
      <c r="N53" s="47"/>
      <c r="O53" s="47"/>
      <c r="P53" s="47"/>
      <c r="Q53" s="47"/>
      <c r="R53" s="47"/>
      <c r="S53" s="47"/>
      <c r="T53" s="47"/>
      <c r="U53" s="19"/>
    </row>
    <row r="54" spans="1:76" x14ac:dyDescent="0.25">
      <c r="A54" s="42"/>
      <c r="B54" s="117" t="s">
        <v>83</v>
      </c>
      <c r="C54" s="42"/>
      <c r="D54" s="42"/>
      <c r="E54" s="43"/>
      <c r="F54" s="43"/>
      <c r="G54" s="43"/>
      <c r="H54" s="44"/>
      <c r="I54" s="44"/>
      <c r="J54" s="43"/>
      <c r="K54" s="43"/>
      <c r="L54" s="46"/>
      <c r="M54" s="47"/>
      <c r="N54" s="47"/>
      <c r="O54" s="47"/>
      <c r="P54" s="47"/>
      <c r="Q54" s="47"/>
      <c r="R54" s="47"/>
      <c r="S54" s="47"/>
      <c r="T54" s="47"/>
      <c r="U54" s="19"/>
    </row>
    <row r="55" spans="1:76" x14ac:dyDescent="0.25">
      <c r="A55" s="42"/>
      <c r="B55" s="42"/>
      <c r="C55" s="42" t="s">
        <v>84</v>
      </c>
      <c r="D55" s="42"/>
      <c r="E55" s="43">
        <v>2008</v>
      </c>
      <c r="F55" s="43">
        <v>6</v>
      </c>
      <c r="G55" s="43">
        <v>0</v>
      </c>
      <c r="H55" s="44" t="s">
        <v>42</v>
      </c>
      <c r="I55" s="44" t="s">
        <v>85</v>
      </c>
      <c r="J55" s="43">
        <f t="shared" ref="J55:J63" si="18">E55+I55</f>
        <v>2013</v>
      </c>
      <c r="K55" s="41">
        <f t="shared" ref="K55:K65" si="19">J55+(F55/12)</f>
        <v>2013.5</v>
      </c>
      <c r="L55" s="46">
        <v>1379.79</v>
      </c>
      <c r="M55" s="47">
        <f t="shared" ref="M55:M65" si="20">L55-L55*G55</f>
        <v>1379.79</v>
      </c>
      <c r="N55" s="47">
        <f t="shared" ref="N55:N65" si="21">M55/I55/12</f>
        <v>22.996499999999997</v>
      </c>
      <c r="O55" s="47">
        <f t="shared" ref="O55:O65" si="22">+N55*12</f>
        <v>275.95799999999997</v>
      </c>
      <c r="P55" s="47">
        <f t="shared" ref="P55:P65" si="23">+IF(K55&lt;=$N$5,0,IF(J55&gt;$N$4,O55,(N55*F55)))</f>
        <v>0</v>
      </c>
      <c r="Q55" s="47"/>
      <c r="R55" s="47">
        <f t="shared" ref="R55:R65" si="24">+IF(P55=0,M55,IF($N$3-E55&lt;1,0,(($N$3-E55)*O55)))</f>
        <v>1379.79</v>
      </c>
      <c r="S55" s="47">
        <f t="shared" ref="S55:S65" si="25">+IF(P55=0,R55,R55+P55)</f>
        <v>1379.79</v>
      </c>
      <c r="T55" s="47">
        <f t="shared" ref="T55:T65" si="26">+IF(P55=0,0,((L55-R55)+(L55-S55))/2)</f>
        <v>0</v>
      </c>
      <c r="U55" s="19"/>
    </row>
    <row r="56" spans="1:76" x14ac:dyDescent="0.25">
      <c r="A56" s="42"/>
      <c r="B56" s="42"/>
      <c r="C56" s="42" t="s">
        <v>86</v>
      </c>
      <c r="D56" s="42"/>
      <c r="E56" s="43">
        <v>2008</v>
      </c>
      <c r="F56" s="43">
        <v>7</v>
      </c>
      <c r="G56" s="43">
        <v>0</v>
      </c>
      <c r="H56" s="44" t="s">
        <v>42</v>
      </c>
      <c r="I56" s="44" t="s">
        <v>85</v>
      </c>
      <c r="J56" s="43">
        <f t="shared" si="18"/>
        <v>2013</v>
      </c>
      <c r="K56" s="41">
        <f t="shared" si="19"/>
        <v>2013.5833333333333</v>
      </c>
      <c r="L56" s="46">
        <v>4865.6400000000003</v>
      </c>
      <c r="M56" s="47">
        <f t="shared" si="20"/>
        <v>4865.6400000000003</v>
      </c>
      <c r="N56" s="47">
        <f t="shared" si="21"/>
        <v>81.094000000000008</v>
      </c>
      <c r="O56" s="47">
        <f t="shared" si="22"/>
        <v>973.12800000000016</v>
      </c>
      <c r="P56" s="47">
        <f t="shared" si="23"/>
        <v>0</v>
      </c>
      <c r="Q56" s="47"/>
      <c r="R56" s="47">
        <f t="shared" si="24"/>
        <v>4865.6400000000003</v>
      </c>
      <c r="S56" s="47">
        <f t="shared" si="25"/>
        <v>4865.6400000000003</v>
      </c>
      <c r="T56" s="47">
        <f t="shared" si="26"/>
        <v>0</v>
      </c>
      <c r="U56" s="19"/>
    </row>
    <row r="57" spans="1:76" x14ac:dyDescent="0.25">
      <c r="A57" s="42"/>
      <c r="B57" s="42"/>
      <c r="C57" s="42" t="s">
        <v>87</v>
      </c>
      <c r="D57" s="42"/>
      <c r="E57" s="43">
        <v>2010</v>
      </c>
      <c r="F57" s="43">
        <v>11</v>
      </c>
      <c r="G57" s="43">
        <v>0</v>
      </c>
      <c r="H57" s="44" t="s">
        <v>42</v>
      </c>
      <c r="I57" s="43">
        <v>3</v>
      </c>
      <c r="J57" s="43">
        <f t="shared" si="18"/>
        <v>2013</v>
      </c>
      <c r="K57" s="41">
        <f t="shared" si="19"/>
        <v>2013.9166666666667</v>
      </c>
      <c r="L57" s="46">
        <v>12900</v>
      </c>
      <c r="M57" s="47">
        <f t="shared" si="20"/>
        <v>12900</v>
      </c>
      <c r="N57" s="47">
        <f t="shared" si="21"/>
        <v>358.33333333333331</v>
      </c>
      <c r="O57" s="47">
        <f t="shared" si="22"/>
        <v>4300</v>
      </c>
      <c r="P57" s="47">
        <f t="shared" si="23"/>
        <v>0</v>
      </c>
      <c r="Q57" s="47"/>
      <c r="R57" s="47">
        <f t="shared" si="24"/>
        <v>12900</v>
      </c>
      <c r="S57" s="47">
        <f t="shared" si="25"/>
        <v>12900</v>
      </c>
      <c r="T57" s="47">
        <f t="shared" si="26"/>
        <v>0</v>
      </c>
      <c r="U57" s="19"/>
    </row>
    <row r="58" spans="1:76" s="61" customFormat="1" x14ac:dyDescent="0.25">
      <c r="A58" s="52"/>
      <c r="B58" s="52"/>
      <c r="C58" s="52" t="s">
        <v>88</v>
      </c>
      <c r="D58" s="52">
        <v>88723</v>
      </c>
      <c r="E58" s="53">
        <v>2011</v>
      </c>
      <c r="F58" s="53">
        <v>12</v>
      </c>
      <c r="G58" s="53">
        <v>0</v>
      </c>
      <c r="H58" s="54" t="s">
        <v>42</v>
      </c>
      <c r="I58" s="53">
        <v>5</v>
      </c>
      <c r="J58" s="53">
        <f t="shared" si="18"/>
        <v>2016</v>
      </c>
      <c r="K58" s="56">
        <f t="shared" si="19"/>
        <v>2017</v>
      </c>
      <c r="L58" s="57">
        <f>481.01*4</f>
        <v>1924.04</v>
      </c>
      <c r="M58" s="58">
        <f t="shared" si="20"/>
        <v>1924.04</v>
      </c>
      <c r="N58" s="58">
        <f t="shared" si="21"/>
        <v>32.06733333333333</v>
      </c>
      <c r="O58" s="58">
        <f t="shared" si="22"/>
        <v>384.80799999999999</v>
      </c>
      <c r="P58" s="58">
        <f t="shared" si="23"/>
        <v>0</v>
      </c>
      <c r="Q58" s="58"/>
      <c r="R58" s="58">
        <f t="shared" si="24"/>
        <v>1924.04</v>
      </c>
      <c r="S58" s="58">
        <f t="shared" si="25"/>
        <v>1924.04</v>
      </c>
      <c r="T58" s="58">
        <f t="shared" si="26"/>
        <v>0</v>
      </c>
      <c r="U58" s="59" t="s">
        <v>249</v>
      </c>
      <c r="V58" s="61" t="s">
        <v>89</v>
      </c>
      <c r="W58" s="60" t="s">
        <v>90</v>
      </c>
    </row>
    <row r="59" spans="1:76" s="61" customFormat="1" x14ac:dyDescent="0.25">
      <c r="A59" s="52"/>
      <c r="B59" s="52"/>
      <c r="C59" s="52" t="s">
        <v>91</v>
      </c>
      <c r="D59" s="52">
        <v>90502</v>
      </c>
      <c r="E59" s="53">
        <v>2012</v>
      </c>
      <c r="F59" s="53">
        <v>1</v>
      </c>
      <c r="G59" s="53">
        <v>0</v>
      </c>
      <c r="H59" s="54" t="s">
        <v>42</v>
      </c>
      <c r="I59" s="53">
        <v>5</v>
      </c>
      <c r="J59" s="53">
        <f t="shared" si="18"/>
        <v>2017</v>
      </c>
      <c r="K59" s="56">
        <f t="shared" si="19"/>
        <v>2017.0833333333333</v>
      </c>
      <c r="L59" s="57">
        <v>599.78</v>
      </c>
      <c r="M59" s="58">
        <f t="shared" si="20"/>
        <v>599.78</v>
      </c>
      <c r="N59" s="58">
        <f t="shared" si="21"/>
        <v>9.9963333333333324</v>
      </c>
      <c r="O59" s="58">
        <f t="shared" si="22"/>
        <v>119.95599999999999</v>
      </c>
      <c r="P59" s="58">
        <f t="shared" si="23"/>
        <v>0</v>
      </c>
      <c r="Q59" s="58"/>
      <c r="R59" s="58">
        <f t="shared" si="24"/>
        <v>599.78</v>
      </c>
      <c r="S59" s="58">
        <f t="shared" si="25"/>
        <v>599.78</v>
      </c>
      <c r="T59" s="58">
        <f t="shared" si="26"/>
        <v>0</v>
      </c>
      <c r="U59" s="59" t="s">
        <v>250</v>
      </c>
      <c r="V59" s="60" t="s">
        <v>54</v>
      </c>
    </row>
    <row r="60" spans="1:76" s="61" customFormat="1" x14ac:dyDescent="0.25">
      <c r="A60" s="52"/>
      <c r="B60" s="52"/>
      <c r="C60" s="52" t="s">
        <v>92</v>
      </c>
      <c r="D60" s="52">
        <v>111707</v>
      </c>
      <c r="E60" s="53">
        <v>2014</v>
      </c>
      <c r="F60" s="53">
        <v>3</v>
      </c>
      <c r="G60" s="53">
        <v>0</v>
      </c>
      <c r="H60" s="54" t="s">
        <v>42</v>
      </c>
      <c r="I60" s="53">
        <v>3</v>
      </c>
      <c r="J60" s="53">
        <f t="shared" si="18"/>
        <v>2017</v>
      </c>
      <c r="K60" s="56">
        <f t="shared" si="19"/>
        <v>2017.25</v>
      </c>
      <c r="L60" s="57">
        <v>725.15</v>
      </c>
      <c r="M60" s="58">
        <f t="shared" si="20"/>
        <v>725.15</v>
      </c>
      <c r="N60" s="58">
        <f t="shared" si="21"/>
        <v>20.143055555555556</v>
      </c>
      <c r="O60" s="58">
        <f t="shared" si="22"/>
        <v>241.71666666666667</v>
      </c>
      <c r="P60" s="58">
        <f t="shared" si="23"/>
        <v>0</v>
      </c>
      <c r="Q60" s="58"/>
      <c r="R60" s="58">
        <f t="shared" si="24"/>
        <v>725.15</v>
      </c>
      <c r="S60" s="58">
        <f t="shared" si="25"/>
        <v>725.15</v>
      </c>
      <c r="T60" s="58">
        <f t="shared" si="26"/>
        <v>0</v>
      </c>
      <c r="U60" s="59" t="s">
        <v>251</v>
      </c>
      <c r="V60" s="60" t="s">
        <v>54</v>
      </c>
    </row>
    <row r="61" spans="1:76" s="61" customFormat="1" x14ac:dyDescent="0.25">
      <c r="A61" s="52"/>
      <c r="B61" s="52">
        <v>2</v>
      </c>
      <c r="C61" s="52" t="s">
        <v>93</v>
      </c>
      <c r="D61" s="52">
        <v>114830</v>
      </c>
      <c r="E61" s="53">
        <v>2014</v>
      </c>
      <c r="F61" s="53">
        <v>7</v>
      </c>
      <c r="G61" s="53">
        <v>0</v>
      </c>
      <c r="H61" s="54" t="s">
        <v>42</v>
      </c>
      <c r="I61" s="53">
        <v>3</v>
      </c>
      <c r="J61" s="53">
        <f t="shared" si="18"/>
        <v>2017</v>
      </c>
      <c r="K61" s="56">
        <f t="shared" si="19"/>
        <v>2017.5833333333333</v>
      </c>
      <c r="L61" s="57">
        <v>737</v>
      </c>
      <c r="M61" s="58">
        <f t="shared" si="20"/>
        <v>737</v>
      </c>
      <c r="N61" s="58">
        <f t="shared" si="21"/>
        <v>20.472222222222221</v>
      </c>
      <c r="O61" s="58">
        <f t="shared" si="22"/>
        <v>245.66666666666666</v>
      </c>
      <c r="P61" s="58">
        <f t="shared" si="23"/>
        <v>0</v>
      </c>
      <c r="Q61" s="58"/>
      <c r="R61" s="58">
        <f t="shared" si="24"/>
        <v>737</v>
      </c>
      <c r="S61" s="58">
        <f t="shared" si="25"/>
        <v>737</v>
      </c>
      <c r="T61" s="58">
        <f t="shared" si="26"/>
        <v>0</v>
      </c>
      <c r="U61" s="59" t="s">
        <v>252</v>
      </c>
      <c r="V61" s="60" t="s">
        <v>54</v>
      </c>
    </row>
    <row r="62" spans="1:76" s="61" customFormat="1" x14ac:dyDescent="0.25">
      <c r="A62" s="52"/>
      <c r="B62" s="52"/>
      <c r="C62" s="52" t="s">
        <v>94</v>
      </c>
      <c r="D62" s="52">
        <v>116753</v>
      </c>
      <c r="E62" s="53">
        <v>2014</v>
      </c>
      <c r="F62" s="53">
        <v>10</v>
      </c>
      <c r="G62" s="53">
        <v>0</v>
      </c>
      <c r="H62" s="54" t="s">
        <v>42</v>
      </c>
      <c r="I62" s="53">
        <v>3</v>
      </c>
      <c r="J62" s="53">
        <f t="shared" si="18"/>
        <v>2017</v>
      </c>
      <c r="K62" s="56">
        <f t="shared" si="19"/>
        <v>2017.8333333333333</v>
      </c>
      <c r="L62" s="57">
        <v>1089.71</v>
      </c>
      <c r="M62" s="58">
        <f t="shared" si="20"/>
        <v>1089.71</v>
      </c>
      <c r="N62" s="58">
        <f t="shared" si="21"/>
        <v>30.269722222222224</v>
      </c>
      <c r="O62" s="58">
        <f t="shared" si="22"/>
        <v>363.23666666666668</v>
      </c>
      <c r="P62" s="58">
        <f t="shared" si="23"/>
        <v>0</v>
      </c>
      <c r="Q62" s="58"/>
      <c r="R62" s="58">
        <f t="shared" si="24"/>
        <v>1089.71</v>
      </c>
      <c r="S62" s="58">
        <f t="shared" si="25"/>
        <v>1089.71</v>
      </c>
      <c r="T62" s="58">
        <f t="shared" si="26"/>
        <v>0</v>
      </c>
      <c r="U62" s="59" t="s">
        <v>253</v>
      </c>
      <c r="V62" s="60" t="s">
        <v>54</v>
      </c>
    </row>
    <row r="63" spans="1:76" s="61" customFormat="1" x14ac:dyDescent="0.25">
      <c r="A63" s="52"/>
      <c r="B63" s="52">
        <v>6</v>
      </c>
      <c r="C63" s="52" t="s">
        <v>95</v>
      </c>
      <c r="D63" s="52">
        <v>121059</v>
      </c>
      <c r="E63" s="53">
        <v>2015</v>
      </c>
      <c r="F63" s="53">
        <v>3</v>
      </c>
      <c r="G63" s="53">
        <v>0</v>
      </c>
      <c r="H63" s="54" t="s">
        <v>42</v>
      </c>
      <c r="I63" s="53">
        <v>3</v>
      </c>
      <c r="J63" s="53">
        <f t="shared" si="18"/>
        <v>2018</v>
      </c>
      <c r="K63" s="56">
        <f t="shared" si="19"/>
        <v>2018.25</v>
      </c>
      <c r="L63" s="57">
        <v>1967.27</v>
      </c>
      <c r="M63" s="58">
        <f t="shared" si="20"/>
        <v>1967.27</v>
      </c>
      <c r="N63" s="58">
        <f t="shared" si="21"/>
        <v>54.646388888888886</v>
      </c>
      <c r="O63" s="58">
        <f t="shared" si="22"/>
        <v>655.75666666666666</v>
      </c>
      <c r="P63" s="58">
        <f t="shared" si="23"/>
        <v>0</v>
      </c>
      <c r="Q63" s="58"/>
      <c r="R63" s="58">
        <f t="shared" si="24"/>
        <v>1967.27</v>
      </c>
      <c r="S63" s="58">
        <f t="shared" si="25"/>
        <v>1967.27</v>
      </c>
      <c r="T63" s="58">
        <f t="shared" si="26"/>
        <v>0</v>
      </c>
      <c r="U63" s="59" t="s">
        <v>254</v>
      </c>
      <c r="V63" s="60" t="s">
        <v>54</v>
      </c>
    </row>
    <row r="64" spans="1:76" s="61" customFormat="1" x14ac:dyDescent="0.25">
      <c r="A64" s="52"/>
      <c r="B64" s="52"/>
      <c r="C64" s="52" t="s">
        <v>96</v>
      </c>
      <c r="D64" s="52">
        <v>170002</v>
      </c>
      <c r="E64" s="53">
        <v>2016</v>
      </c>
      <c r="F64" s="53">
        <v>11</v>
      </c>
      <c r="G64" s="53">
        <v>0</v>
      </c>
      <c r="H64" s="54" t="s">
        <v>42</v>
      </c>
      <c r="I64" s="53">
        <v>5</v>
      </c>
      <c r="J64" s="53">
        <f>E64+I64</f>
        <v>2021</v>
      </c>
      <c r="K64" s="56">
        <f t="shared" si="19"/>
        <v>2021.9166666666667</v>
      </c>
      <c r="L64" s="57">
        <v>8439.5</v>
      </c>
      <c r="M64" s="58">
        <f t="shared" si="20"/>
        <v>8439.5</v>
      </c>
      <c r="N64" s="58">
        <f t="shared" si="21"/>
        <v>140.65833333333333</v>
      </c>
      <c r="O64" s="58">
        <f t="shared" si="22"/>
        <v>1687.9</v>
      </c>
      <c r="P64" s="58">
        <f t="shared" si="23"/>
        <v>1687.9</v>
      </c>
      <c r="Q64" s="58"/>
      <c r="R64" s="58">
        <f t="shared" si="24"/>
        <v>1687.9</v>
      </c>
      <c r="S64" s="58">
        <f t="shared" si="25"/>
        <v>3375.8</v>
      </c>
      <c r="T64" s="58">
        <f t="shared" si="26"/>
        <v>5907.65</v>
      </c>
      <c r="U64" s="59" t="s">
        <v>255</v>
      </c>
      <c r="V64" s="118" t="s">
        <v>97</v>
      </c>
      <c r="W64" s="62">
        <f>7367.15+1072.35</f>
        <v>8439.5</v>
      </c>
      <c r="X64" s="63">
        <f>+W64-L64</f>
        <v>0</v>
      </c>
    </row>
    <row r="65" spans="1:24" s="59" customFormat="1" x14ac:dyDescent="0.25">
      <c r="A65" s="52"/>
      <c r="B65" s="52"/>
      <c r="C65" s="52" t="s">
        <v>98</v>
      </c>
      <c r="D65" s="52">
        <v>179241</v>
      </c>
      <c r="E65" s="53">
        <v>2017</v>
      </c>
      <c r="F65" s="53">
        <v>3</v>
      </c>
      <c r="G65" s="53">
        <v>0</v>
      </c>
      <c r="H65" s="54" t="s">
        <v>42</v>
      </c>
      <c r="I65" s="53">
        <v>3</v>
      </c>
      <c r="J65" s="53">
        <f>E65+I65</f>
        <v>2020</v>
      </c>
      <c r="K65" s="56">
        <f t="shared" si="19"/>
        <v>2020.25</v>
      </c>
      <c r="L65" s="57">
        <v>1200.73</v>
      </c>
      <c r="M65" s="58">
        <f t="shared" si="20"/>
        <v>1200.73</v>
      </c>
      <c r="N65" s="58">
        <f t="shared" si="21"/>
        <v>33.353611111111114</v>
      </c>
      <c r="O65" s="58">
        <f t="shared" si="22"/>
        <v>400.24333333333334</v>
      </c>
      <c r="P65" s="58">
        <f t="shared" si="23"/>
        <v>400.24333333333334</v>
      </c>
      <c r="Q65" s="58"/>
      <c r="R65" s="58">
        <f t="shared" si="24"/>
        <v>0</v>
      </c>
      <c r="S65" s="58">
        <f t="shared" si="25"/>
        <v>400.24333333333334</v>
      </c>
      <c r="T65" s="58">
        <f t="shared" si="26"/>
        <v>1000.6083333333333</v>
      </c>
      <c r="U65" s="59" t="s">
        <v>256</v>
      </c>
      <c r="V65" s="59" t="s">
        <v>99</v>
      </c>
      <c r="W65" s="119">
        <v>1200.73</v>
      </c>
      <c r="X65" s="63">
        <f>+W65-L65</f>
        <v>0</v>
      </c>
    </row>
    <row r="66" spans="1:24" s="61" customFormat="1" x14ac:dyDescent="0.25">
      <c r="A66" s="52"/>
      <c r="B66" s="52"/>
      <c r="C66" s="59" t="s">
        <v>100</v>
      </c>
      <c r="D66" s="65" t="s">
        <v>101</v>
      </c>
      <c r="E66" s="53">
        <v>2018</v>
      </c>
      <c r="F66" s="53">
        <v>1</v>
      </c>
      <c r="G66" s="53">
        <v>0</v>
      </c>
      <c r="H66" s="54" t="s">
        <v>42</v>
      </c>
      <c r="I66" s="54">
        <v>10</v>
      </c>
      <c r="J66" s="53">
        <f>E66+I66</f>
        <v>2028</v>
      </c>
      <c r="K66" s="56">
        <f>J66+(F66/12)</f>
        <v>2028.0833333333333</v>
      </c>
      <c r="L66" s="57">
        <f>11225.99*2</f>
        <v>22451.98</v>
      </c>
      <c r="M66" s="58">
        <f>L66-L66*G66</f>
        <v>22451.98</v>
      </c>
      <c r="N66" s="58">
        <f>M66/I66/12</f>
        <v>187.09983333333332</v>
      </c>
      <c r="O66" s="58">
        <f>+N66*12</f>
        <v>2245.1979999999999</v>
      </c>
      <c r="P66" s="58">
        <f>+IF(K66&lt;=$N$5,0,IF(J66&gt;$N$4,O66,(N66*F66)))</f>
        <v>2245.1979999999999</v>
      </c>
      <c r="Q66" s="58"/>
      <c r="R66" s="58">
        <f>+IF(P66=0,M66,IF($N$3-E66&lt;1,0,(($N$3-E66)*O66)))</f>
        <v>0</v>
      </c>
      <c r="S66" s="58">
        <f>+IF(P66=0,R66,R66+P66)</f>
        <v>2245.1979999999999</v>
      </c>
      <c r="T66" s="58">
        <f>+IF(P66=0,0,((L66-R66)+(L66-S66))/2)</f>
        <v>21329.381000000001</v>
      </c>
      <c r="U66" s="59" t="s">
        <v>102</v>
      </c>
      <c r="V66" s="59" t="s">
        <v>103</v>
      </c>
      <c r="W66" s="62">
        <v>22451.97</v>
      </c>
      <c r="X66" s="63">
        <f>+W66-L66</f>
        <v>-9.9999999983992893E-3</v>
      </c>
    </row>
    <row r="67" spans="1:24" x14ac:dyDescent="0.25">
      <c r="A67" s="42"/>
      <c r="B67" s="42"/>
      <c r="C67" s="42"/>
      <c r="D67" s="42"/>
      <c r="E67" s="43"/>
      <c r="F67" s="43"/>
      <c r="G67" s="43"/>
      <c r="H67" s="44"/>
      <c r="I67" s="43"/>
      <c r="J67" s="43"/>
      <c r="K67" s="43"/>
      <c r="L67" s="46"/>
      <c r="M67" s="47"/>
      <c r="N67" s="47"/>
      <c r="O67" s="47"/>
      <c r="P67" s="47"/>
      <c r="Q67" s="47"/>
      <c r="R67" s="47"/>
      <c r="S67" s="47"/>
      <c r="T67" s="47"/>
      <c r="U67" s="19"/>
    </row>
    <row r="68" spans="1:24" x14ac:dyDescent="0.25">
      <c r="A68" s="42"/>
      <c r="B68" s="42"/>
      <c r="C68" s="42"/>
      <c r="D68" s="42"/>
      <c r="E68" s="43"/>
      <c r="F68" s="43"/>
      <c r="G68" s="43"/>
      <c r="H68" s="44"/>
      <c r="I68" s="44"/>
      <c r="J68" s="66" t="s">
        <v>104</v>
      </c>
      <c r="K68" s="66"/>
      <c r="L68" s="67">
        <f t="shared" ref="L68:T68" si="27">SUM(L55:L67)</f>
        <v>58280.590000000011</v>
      </c>
      <c r="M68" s="67">
        <f t="shared" si="27"/>
        <v>58280.590000000011</v>
      </c>
      <c r="N68" s="67">
        <f t="shared" si="27"/>
        <v>991.13066666666657</v>
      </c>
      <c r="O68" s="67">
        <f t="shared" si="27"/>
        <v>11893.568000000001</v>
      </c>
      <c r="P68" s="67">
        <f t="shared" si="27"/>
        <v>4333.3413333333338</v>
      </c>
      <c r="Q68" s="67">
        <f t="shared" si="27"/>
        <v>0</v>
      </c>
      <c r="R68" s="67">
        <f t="shared" si="27"/>
        <v>27876.280000000002</v>
      </c>
      <c r="S68" s="67">
        <f t="shared" si="27"/>
        <v>32209.621333333333</v>
      </c>
      <c r="T68" s="67">
        <f t="shared" si="27"/>
        <v>28237.639333333333</v>
      </c>
      <c r="U68" s="68"/>
    </row>
    <row r="69" spans="1:24" x14ac:dyDescent="0.25">
      <c r="A69" s="42"/>
      <c r="B69" s="42"/>
      <c r="C69" s="42"/>
      <c r="D69" s="42"/>
      <c r="E69" s="43"/>
      <c r="F69" s="43"/>
      <c r="G69" s="43"/>
      <c r="H69" s="44"/>
      <c r="I69" s="44"/>
      <c r="J69" s="43"/>
      <c r="K69" s="43"/>
      <c r="L69" s="46"/>
      <c r="M69" s="47"/>
      <c r="N69" s="47"/>
      <c r="O69" s="47"/>
      <c r="P69" s="47"/>
      <c r="Q69" s="47"/>
      <c r="R69" s="47"/>
      <c r="S69" s="47"/>
      <c r="T69" s="47"/>
      <c r="U69" s="19"/>
    </row>
    <row r="70" spans="1:24" x14ac:dyDescent="0.25">
      <c r="A70" s="74"/>
      <c r="B70" s="120" t="s">
        <v>105</v>
      </c>
      <c r="C70" s="74"/>
      <c r="D70" s="74"/>
      <c r="E70" s="74"/>
      <c r="F70" s="74"/>
      <c r="G70" s="74"/>
      <c r="H70" s="74"/>
      <c r="I70" s="74"/>
      <c r="J70" s="121"/>
      <c r="K70" s="121"/>
      <c r="L70" s="122"/>
      <c r="M70" s="122"/>
      <c r="N70" s="122"/>
      <c r="O70" s="122"/>
      <c r="P70" s="122"/>
      <c r="Q70" s="122"/>
      <c r="R70" s="122"/>
      <c r="S70" s="122"/>
      <c r="T70" s="122"/>
      <c r="U70" s="73"/>
    </row>
    <row r="71" spans="1:24" x14ac:dyDescent="0.25">
      <c r="A71" s="42"/>
      <c r="B71" s="44"/>
      <c r="C71" s="123" t="s">
        <v>106</v>
      </c>
      <c r="D71" s="42"/>
      <c r="E71" s="43">
        <v>1971</v>
      </c>
      <c r="F71" s="43">
        <v>8</v>
      </c>
      <c r="G71" s="43">
        <v>0</v>
      </c>
      <c r="H71" s="44" t="s">
        <v>42</v>
      </c>
      <c r="I71" s="44" t="s">
        <v>107</v>
      </c>
      <c r="J71" s="43">
        <f t="shared" ref="J71:J103" si="28">E71+I71</f>
        <v>1981</v>
      </c>
      <c r="K71" s="41">
        <f t="shared" ref="K71:K103" si="29">J71+(F71/12)</f>
        <v>1981.6666666666667</v>
      </c>
      <c r="L71" s="124">
        <v>1734</v>
      </c>
      <c r="M71" s="47">
        <f t="shared" ref="M71:M103" si="30">L71-L71*G71</f>
        <v>1734</v>
      </c>
      <c r="N71" s="47">
        <f t="shared" ref="N71:N103" si="31">M71/I71/12</f>
        <v>14.450000000000001</v>
      </c>
      <c r="O71" s="47">
        <f t="shared" ref="O71:O103" si="32">+N71*12</f>
        <v>173.4</v>
      </c>
      <c r="P71" s="47">
        <f t="shared" ref="P71:P103" si="33">+IF(K71&lt;=$N$5,0,IF(J71&gt;$N$4,O71,(N71*F71)))</f>
        <v>0</v>
      </c>
      <c r="Q71" s="47"/>
      <c r="R71" s="47">
        <f t="shared" ref="R71:R103" si="34">+IF(P71=0,M71,IF($N$3-E71&lt;1,0,(($N$3-E71)*O71)))</f>
        <v>1734</v>
      </c>
      <c r="S71" s="47">
        <f t="shared" ref="S71:S103" si="35">+IF(P71=0,R71,R71+P71)</f>
        <v>1734</v>
      </c>
      <c r="T71" s="47">
        <f t="shared" ref="T71:T103" si="36">+IF(P71=0,0,((L71-R71)+(L71-S71))/2)</f>
        <v>0</v>
      </c>
      <c r="U71" s="19"/>
    </row>
    <row r="72" spans="1:24" x14ac:dyDescent="0.25">
      <c r="A72" s="42"/>
      <c r="B72" s="123"/>
      <c r="C72" s="123" t="s">
        <v>108</v>
      </c>
      <c r="D72" s="42"/>
      <c r="E72" s="43">
        <v>1972</v>
      </c>
      <c r="F72" s="43">
        <v>12</v>
      </c>
      <c r="G72" s="43">
        <v>0</v>
      </c>
      <c r="H72" s="44" t="s">
        <v>42</v>
      </c>
      <c r="I72" s="44" t="s">
        <v>109</v>
      </c>
      <c r="J72" s="43">
        <f t="shared" si="28"/>
        <v>2002</v>
      </c>
      <c r="K72" s="41">
        <f t="shared" si="29"/>
        <v>2003</v>
      </c>
      <c r="L72" s="124">
        <v>39591</v>
      </c>
      <c r="M72" s="47">
        <f t="shared" si="30"/>
        <v>39591</v>
      </c>
      <c r="N72" s="47">
        <f t="shared" si="31"/>
        <v>109.97500000000001</v>
      </c>
      <c r="O72" s="47">
        <f t="shared" si="32"/>
        <v>1319.7</v>
      </c>
      <c r="P72" s="47">
        <f t="shared" si="33"/>
        <v>0</v>
      </c>
      <c r="Q72" s="47"/>
      <c r="R72" s="47">
        <f t="shared" si="34"/>
        <v>39591</v>
      </c>
      <c r="S72" s="47">
        <f t="shared" si="35"/>
        <v>39591</v>
      </c>
      <c r="T72" s="47">
        <f t="shared" si="36"/>
        <v>0</v>
      </c>
      <c r="U72" s="19"/>
    </row>
    <row r="73" spans="1:24" x14ac:dyDescent="0.25">
      <c r="A73" s="123"/>
      <c r="B73" s="43"/>
      <c r="C73" s="42" t="s">
        <v>110</v>
      </c>
      <c r="D73" s="42"/>
      <c r="E73" s="43">
        <v>1987</v>
      </c>
      <c r="F73" s="43">
        <v>1</v>
      </c>
      <c r="G73" s="43">
        <v>0</v>
      </c>
      <c r="H73" s="44" t="s">
        <v>42</v>
      </c>
      <c r="I73" s="44" t="s">
        <v>111</v>
      </c>
      <c r="J73" s="43">
        <f t="shared" si="28"/>
        <v>2018</v>
      </c>
      <c r="K73" s="41">
        <f t="shared" si="29"/>
        <v>2018.0833333333333</v>
      </c>
      <c r="L73" s="46">
        <v>1887</v>
      </c>
      <c r="M73" s="47">
        <f t="shared" si="30"/>
        <v>1887</v>
      </c>
      <c r="N73" s="47">
        <f t="shared" si="31"/>
        <v>5.07258064516129</v>
      </c>
      <c r="O73" s="47">
        <f t="shared" si="32"/>
        <v>60.87096774193548</v>
      </c>
      <c r="P73" s="47">
        <f t="shared" si="33"/>
        <v>0</v>
      </c>
      <c r="Q73" s="47"/>
      <c r="R73" s="47">
        <f t="shared" si="34"/>
        <v>1887</v>
      </c>
      <c r="S73" s="47">
        <f t="shared" si="35"/>
        <v>1887</v>
      </c>
      <c r="T73" s="47">
        <f t="shared" si="36"/>
        <v>0</v>
      </c>
      <c r="U73" s="19"/>
    </row>
    <row r="74" spans="1:24" x14ac:dyDescent="0.25">
      <c r="A74" s="42"/>
      <c r="B74" s="125"/>
      <c r="C74" s="123" t="s">
        <v>112</v>
      </c>
      <c r="D74" s="42"/>
      <c r="E74" s="43">
        <v>1987</v>
      </c>
      <c r="F74" s="43">
        <v>4</v>
      </c>
      <c r="G74" s="43">
        <v>0</v>
      </c>
      <c r="H74" s="44" t="s">
        <v>42</v>
      </c>
      <c r="I74" s="44" t="s">
        <v>111</v>
      </c>
      <c r="J74" s="43">
        <f t="shared" si="28"/>
        <v>2018</v>
      </c>
      <c r="K74" s="41">
        <f t="shared" si="29"/>
        <v>2018.3333333333333</v>
      </c>
      <c r="L74" s="124">
        <v>738</v>
      </c>
      <c r="M74" s="47">
        <f t="shared" si="30"/>
        <v>738</v>
      </c>
      <c r="N74" s="47">
        <f t="shared" si="31"/>
        <v>1.9838709677419353</v>
      </c>
      <c r="O74" s="47">
        <f t="shared" si="32"/>
        <v>23.806451612903224</v>
      </c>
      <c r="P74" s="47">
        <f t="shared" si="33"/>
        <v>0</v>
      </c>
      <c r="Q74" s="47"/>
      <c r="R74" s="47">
        <f t="shared" si="34"/>
        <v>738</v>
      </c>
      <c r="S74" s="47">
        <f t="shared" si="35"/>
        <v>738</v>
      </c>
      <c r="T74" s="47">
        <f t="shared" si="36"/>
        <v>0</v>
      </c>
      <c r="U74" s="19"/>
    </row>
    <row r="75" spans="1:24" x14ac:dyDescent="0.25">
      <c r="A75" s="123"/>
      <c r="B75" s="43"/>
      <c r="C75" s="123" t="s">
        <v>113</v>
      </c>
      <c r="D75" s="42"/>
      <c r="E75" s="43">
        <v>1987</v>
      </c>
      <c r="F75" s="43">
        <v>4</v>
      </c>
      <c r="G75" s="43">
        <v>0</v>
      </c>
      <c r="H75" s="44" t="s">
        <v>42</v>
      </c>
      <c r="I75" s="44" t="s">
        <v>111</v>
      </c>
      <c r="J75" s="43">
        <f t="shared" si="28"/>
        <v>2018</v>
      </c>
      <c r="K75" s="41">
        <f t="shared" si="29"/>
        <v>2018.3333333333333</v>
      </c>
      <c r="L75" s="124">
        <v>8193</v>
      </c>
      <c r="M75" s="47">
        <f t="shared" si="30"/>
        <v>8193</v>
      </c>
      <c r="N75" s="47">
        <f t="shared" si="31"/>
        <v>22.0241935483871</v>
      </c>
      <c r="O75" s="47">
        <f t="shared" si="32"/>
        <v>264.29032258064518</v>
      </c>
      <c r="P75" s="47">
        <f t="shared" si="33"/>
        <v>0</v>
      </c>
      <c r="Q75" s="47"/>
      <c r="R75" s="47">
        <f t="shared" si="34"/>
        <v>8193</v>
      </c>
      <c r="S75" s="47">
        <f t="shared" si="35"/>
        <v>8193</v>
      </c>
      <c r="T75" s="47">
        <f t="shared" si="36"/>
        <v>0</v>
      </c>
      <c r="U75" s="19"/>
      <c r="V75" s="126"/>
    </row>
    <row r="76" spans="1:24" x14ac:dyDescent="0.25">
      <c r="A76" s="123"/>
      <c r="B76" s="123"/>
      <c r="C76" s="123" t="s">
        <v>113</v>
      </c>
      <c r="D76" s="42"/>
      <c r="E76" s="43">
        <v>1987</v>
      </c>
      <c r="F76" s="43">
        <v>4</v>
      </c>
      <c r="G76" s="43">
        <v>0</v>
      </c>
      <c r="H76" s="44" t="s">
        <v>42</v>
      </c>
      <c r="I76" s="44" t="s">
        <v>111</v>
      </c>
      <c r="J76" s="43">
        <f t="shared" si="28"/>
        <v>2018</v>
      </c>
      <c r="K76" s="41">
        <f t="shared" si="29"/>
        <v>2018.3333333333333</v>
      </c>
      <c r="L76" s="124">
        <v>150</v>
      </c>
      <c r="M76" s="47">
        <f t="shared" si="30"/>
        <v>150</v>
      </c>
      <c r="N76" s="47">
        <f t="shared" si="31"/>
        <v>0.40322580645161293</v>
      </c>
      <c r="O76" s="47">
        <f t="shared" si="32"/>
        <v>4.838709677419355</v>
      </c>
      <c r="P76" s="47">
        <f t="shared" si="33"/>
        <v>0</v>
      </c>
      <c r="Q76" s="47"/>
      <c r="R76" s="47">
        <f t="shared" si="34"/>
        <v>150</v>
      </c>
      <c r="S76" s="47">
        <f t="shared" si="35"/>
        <v>150</v>
      </c>
      <c r="T76" s="47">
        <f t="shared" si="36"/>
        <v>0</v>
      </c>
      <c r="U76" s="19"/>
    </row>
    <row r="77" spans="1:24" x14ac:dyDescent="0.25">
      <c r="A77" s="42"/>
      <c r="B77" s="123"/>
      <c r="C77" s="123" t="s">
        <v>114</v>
      </c>
      <c r="D77" s="42"/>
      <c r="E77" s="43">
        <v>1989</v>
      </c>
      <c r="F77" s="43">
        <v>10</v>
      </c>
      <c r="G77" s="43">
        <v>0</v>
      </c>
      <c r="H77" s="44" t="s">
        <v>42</v>
      </c>
      <c r="I77" s="44" t="s">
        <v>111</v>
      </c>
      <c r="J77" s="43">
        <f t="shared" si="28"/>
        <v>2020</v>
      </c>
      <c r="K77" s="41">
        <f t="shared" si="29"/>
        <v>2020.8333333333333</v>
      </c>
      <c r="L77" s="124">
        <v>7850</v>
      </c>
      <c r="M77" s="47">
        <f t="shared" si="30"/>
        <v>7850</v>
      </c>
      <c r="N77" s="47">
        <f t="shared" si="31"/>
        <v>21.102150537634408</v>
      </c>
      <c r="O77" s="47">
        <f t="shared" si="32"/>
        <v>253.2258064516129</v>
      </c>
      <c r="P77" s="47">
        <f t="shared" si="33"/>
        <v>253.2258064516129</v>
      </c>
      <c r="Q77" s="47"/>
      <c r="R77" s="47">
        <f t="shared" si="34"/>
        <v>7090.322580645161</v>
      </c>
      <c r="S77" s="47">
        <f t="shared" si="35"/>
        <v>7343.5483870967737</v>
      </c>
      <c r="T77" s="47">
        <f t="shared" si="36"/>
        <v>633.06451612903265</v>
      </c>
      <c r="U77" s="19"/>
    </row>
    <row r="78" spans="1:24" x14ac:dyDescent="0.25">
      <c r="A78" s="44"/>
      <c r="B78" s="44"/>
      <c r="C78" s="123" t="s">
        <v>115</v>
      </c>
      <c r="D78" s="42"/>
      <c r="E78" s="43">
        <v>1989</v>
      </c>
      <c r="F78" s="43">
        <v>11</v>
      </c>
      <c r="G78" s="43">
        <v>0</v>
      </c>
      <c r="H78" s="44" t="s">
        <v>42</v>
      </c>
      <c r="I78" s="44" t="s">
        <v>111</v>
      </c>
      <c r="J78" s="43">
        <f t="shared" si="28"/>
        <v>2020</v>
      </c>
      <c r="K78" s="41">
        <f t="shared" si="29"/>
        <v>2020.9166666666667</v>
      </c>
      <c r="L78" s="124">
        <v>11891</v>
      </c>
      <c r="M78" s="47">
        <f t="shared" si="30"/>
        <v>11891</v>
      </c>
      <c r="N78" s="47">
        <f t="shared" si="31"/>
        <v>31.96505376344086</v>
      </c>
      <c r="O78" s="47">
        <f t="shared" si="32"/>
        <v>383.58064516129031</v>
      </c>
      <c r="P78" s="47">
        <f t="shared" si="33"/>
        <v>383.58064516129031</v>
      </c>
      <c r="Q78" s="47"/>
      <c r="R78" s="47">
        <f t="shared" si="34"/>
        <v>10740.258064516129</v>
      </c>
      <c r="S78" s="47">
        <f t="shared" si="35"/>
        <v>11123.838709677419</v>
      </c>
      <c r="T78" s="47">
        <f t="shared" si="36"/>
        <v>958.95161290322631</v>
      </c>
      <c r="U78" s="19"/>
    </row>
    <row r="79" spans="1:24" x14ac:dyDescent="0.25">
      <c r="A79" s="44"/>
      <c r="B79" s="44"/>
      <c r="C79" s="123" t="s">
        <v>114</v>
      </c>
      <c r="D79" s="42"/>
      <c r="E79" s="43">
        <v>1989</v>
      </c>
      <c r="F79" s="43">
        <v>12</v>
      </c>
      <c r="G79" s="43">
        <v>0</v>
      </c>
      <c r="H79" s="44" t="s">
        <v>42</v>
      </c>
      <c r="I79" s="44" t="s">
        <v>111</v>
      </c>
      <c r="J79" s="43">
        <f t="shared" si="28"/>
        <v>2020</v>
      </c>
      <c r="K79" s="41">
        <f t="shared" si="29"/>
        <v>2021</v>
      </c>
      <c r="L79" s="124">
        <v>737</v>
      </c>
      <c r="M79" s="47">
        <f t="shared" si="30"/>
        <v>737</v>
      </c>
      <c r="N79" s="47">
        <f t="shared" si="31"/>
        <v>1.9811827956989247</v>
      </c>
      <c r="O79" s="47">
        <f t="shared" si="32"/>
        <v>23.774193548387096</v>
      </c>
      <c r="P79" s="47">
        <f t="shared" si="33"/>
        <v>23.774193548387096</v>
      </c>
      <c r="Q79" s="47"/>
      <c r="R79" s="47">
        <f t="shared" si="34"/>
        <v>665.67741935483866</v>
      </c>
      <c r="S79" s="47">
        <f t="shared" si="35"/>
        <v>689.45161290322574</v>
      </c>
      <c r="T79" s="47">
        <f t="shared" si="36"/>
        <v>59.435483870967801</v>
      </c>
      <c r="U79" s="19"/>
    </row>
    <row r="80" spans="1:24" x14ac:dyDescent="0.25">
      <c r="A80" s="123"/>
      <c r="B80" s="123"/>
      <c r="C80" s="123" t="s">
        <v>116</v>
      </c>
      <c r="D80" s="123"/>
      <c r="E80" s="43">
        <v>1990</v>
      </c>
      <c r="F80" s="43">
        <v>2</v>
      </c>
      <c r="G80" s="43">
        <v>0</v>
      </c>
      <c r="H80" s="44" t="s">
        <v>42</v>
      </c>
      <c r="I80" s="44" t="s">
        <v>111</v>
      </c>
      <c r="J80" s="43">
        <f t="shared" si="28"/>
        <v>2021</v>
      </c>
      <c r="K80" s="41">
        <f t="shared" si="29"/>
        <v>2021.1666666666667</v>
      </c>
      <c r="L80" s="124">
        <v>102</v>
      </c>
      <c r="M80" s="47">
        <f t="shared" si="30"/>
        <v>102</v>
      </c>
      <c r="N80" s="47">
        <f t="shared" si="31"/>
        <v>0.27419354838709681</v>
      </c>
      <c r="O80" s="47">
        <f t="shared" si="32"/>
        <v>3.2903225806451619</v>
      </c>
      <c r="P80" s="47">
        <f t="shared" si="33"/>
        <v>3.2903225806451619</v>
      </c>
      <c r="Q80" s="47"/>
      <c r="R80" s="47">
        <f t="shared" si="34"/>
        <v>88.838709677419374</v>
      </c>
      <c r="S80" s="47">
        <f t="shared" si="35"/>
        <v>92.129032258064541</v>
      </c>
      <c r="T80" s="47">
        <f t="shared" si="36"/>
        <v>11.516129032258043</v>
      </c>
      <c r="U80" s="19"/>
    </row>
    <row r="81" spans="1:76" x14ac:dyDescent="0.25">
      <c r="A81" s="123"/>
      <c r="B81" s="123"/>
      <c r="C81" s="123" t="s">
        <v>116</v>
      </c>
      <c r="D81" s="42"/>
      <c r="E81" s="43">
        <v>1990</v>
      </c>
      <c r="F81" s="43">
        <v>2</v>
      </c>
      <c r="G81" s="43">
        <v>0</v>
      </c>
      <c r="H81" s="44" t="s">
        <v>42</v>
      </c>
      <c r="I81" s="44" t="s">
        <v>111</v>
      </c>
      <c r="J81" s="43">
        <f t="shared" si="28"/>
        <v>2021</v>
      </c>
      <c r="K81" s="41">
        <f t="shared" si="29"/>
        <v>2021.1666666666667</v>
      </c>
      <c r="L81" s="124">
        <v>2000</v>
      </c>
      <c r="M81" s="47">
        <f t="shared" si="30"/>
        <v>2000</v>
      </c>
      <c r="N81" s="47">
        <f t="shared" si="31"/>
        <v>5.376344086021505</v>
      </c>
      <c r="O81" s="47">
        <f t="shared" si="32"/>
        <v>64.516129032258064</v>
      </c>
      <c r="P81" s="47">
        <f t="shared" si="33"/>
        <v>64.516129032258064</v>
      </c>
      <c r="Q81" s="47"/>
      <c r="R81" s="47">
        <f t="shared" si="34"/>
        <v>1741.9354838709678</v>
      </c>
      <c r="S81" s="47">
        <f t="shared" si="35"/>
        <v>1806.4516129032259</v>
      </c>
      <c r="T81" s="47">
        <f t="shared" si="36"/>
        <v>225.80645161290317</v>
      </c>
      <c r="U81" s="19"/>
    </row>
    <row r="82" spans="1:76" x14ac:dyDescent="0.25">
      <c r="A82" s="123"/>
      <c r="B82" s="123"/>
      <c r="C82" s="123" t="s">
        <v>117</v>
      </c>
      <c r="D82" s="123"/>
      <c r="E82" s="43">
        <v>1991</v>
      </c>
      <c r="F82" s="43">
        <v>3</v>
      </c>
      <c r="G82" s="43">
        <v>0</v>
      </c>
      <c r="H82" s="44" t="s">
        <v>42</v>
      </c>
      <c r="I82" s="44" t="s">
        <v>118</v>
      </c>
      <c r="J82" s="43">
        <f t="shared" si="28"/>
        <v>2023</v>
      </c>
      <c r="K82" s="41">
        <f t="shared" si="29"/>
        <v>2023.25</v>
      </c>
      <c r="L82" s="124">
        <v>6327</v>
      </c>
      <c r="M82" s="47">
        <f t="shared" si="30"/>
        <v>6327</v>
      </c>
      <c r="N82" s="47">
        <f t="shared" si="31"/>
        <v>16.4765625</v>
      </c>
      <c r="O82" s="47">
        <f t="shared" si="32"/>
        <v>197.71875</v>
      </c>
      <c r="P82" s="47">
        <f t="shared" si="33"/>
        <v>197.71875</v>
      </c>
      <c r="Q82" s="47"/>
      <c r="R82" s="47">
        <f t="shared" si="34"/>
        <v>5140.6875</v>
      </c>
      <c r="S82" s="47">
        <f t="shared" si="35"/>
        <v>5338.40625</v>
      </c>
      <c r="T82" s="47">
        <f t="shared" si="36"/>
        <v>1087.453125</v>
      </c>
      <c r="U82" s="19"/>
    </row>
    <row r="83" spans="1:76" s="51" customFormat="1" x14ac:dyDescent="0.25">
      <c r="A83" s="123"/>
      <c r="B83" s="123"/>
      <c r="C83" s="123" t="s">
        <v>119</v>
      </c>
      <c r="D83" s="123"/>
      <c r="E83" s="43">
        <v>1995</v>
      </c>
      <c r="F83" s="43">
        <v>7</v>
      </c>
      <c r="G83" s="43">
        <v>0</v>
      </c>
      <c r="H83" s="44" t="s">
        <v>42</v>
      </c>
      <c r="I83" s="44" t="s">
        <v>120</v>
      </c>
      <c r="J83" s="43">
        <f t="shared" si="28"/>
        <v>2010</v>
      </c>
      <c r="K83" s="41">
        <f t="shared" si="29"/>
        <v>2010.5833333333333</v>
      </c>
      <c r="L83" s="124">
        <v>1258</v>
      </c>
      <c r="M83" s="47">
        <f t="shared" si="30"/>
        <v>1258</v>
      </c>
      <c r="N83" s="47">
        <f t="shared" si="31"/>
        <v>6.988888888888888</v>
      </c>
      <c r="O83" s="47">
        <f t="shared" si="32"/>
        <v>83.86666666666666</v>
      </c>
      <c r="P83" s="47">
        <f t="shared" si="33"/>
        <v>0</v>
      </c>
      <c r="Q83" s="47"/>
      <c r="R83" s="47">
        <f t="shared" si="34"/>
        <v>1258</v>
      </c>
      <c r="S83" s="47">
        <f t="shared" si="35"/>
        <v>1258</v>
      </c>
      <c r="T83" s="47">
        <f t="shared" si="36"/>
        <v>0</v>
      </c>
      <c r="U83" s="19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</row>
    <row r="84" spans="1:76" x14ac:dyDescent="0.25">
      <c r="A84" s="127"/>
      <c r="B84" s="127"/>
      <c r="C84" s="123" t="s">
        <v>121</v>
      </c>
      <c r="D84" s="42"/>
      <c r="E84" s="43">
        <v>1995</v>
      </c>
      <c r="F84" s="43">
        <v>10</v>
      </c>
      <c r="G84" s="43">
        <v>0</v>
      </c>
      <c r="H84" s="44" t="s">
        <v>42</v>
      </c>
      <c r="I84" s="44" t="s">
        <v>122</v>
      </c>
      <c r="J84" s="43">
        <f t="shared" si="28"/>
        <v>2001</v>
      </c>
      <c r="K84" s="41">
        <f t="shared" si="29"/>
        <v>2001.8333333333333</v>
      </c>
      <c r="L84" s="124">
        <v>762</v>
      </c>
      <c r="M84" s="47">
        <f t="shared" si="30"/>
        <v>762</v>
      </c>
      <c r="N84" s="47">
        <f t="shared" si="31"/>
        <v>10.583333333333334</v>
      </c>
      <c r="O84" s="47">
        <f t="shared" si="32"/>
        <v>127</v>
      </c>
      <c r="P84" s="47">
        <f t="shared" si="33"/>
        <v>0</v>
      </c>
      <c r="Q84" s="47"/>
      <c r="R84" s="47">
        <f t="shared" si="34"/>
        <v>762</v>
      </c>
      <c r="S84" s="47">
        <f t="shared" si="35"/>
        <v>762</v>
      </c>
      <c r="T84" s="47">
        <f t="shared" si="36"/>
        <v>0</v>
      </c>
      <c r="U84" s="19"/>
    </row>
    <row r="85" spans="1:76" s="61" customFormat="1" x14ac:dyDescent="0.25">
      <c r="A85" s="128"/>
      <c r="B85" s="128"/>
      <c r="C85" s="123" t="s">
        <v>123</v>
      </c>
      <c r="D85" s="44"/>
      <c r="E85" s="43">
        <v>1996</v>
      </c>
      <c r="F85" s="43">
        <v>6</v>
      </c>
      <c r="G85" s="43">
        <v>0</v>
      </c>
      <c r="H85" s="44" t="s">
        <v>42</v>
      </c>
      <c r="I85" s="44" t="s">
        <v>124</v>
      </c>
      <c r="J85" s="43">
        <f t="shared" si="28"/>
        <v>2035</v>
      </c>
      <c r="K85" s="41">
        <f t="shared" si="29"/>
        <v>2035.5</v>
      </c>
      <c r="L85" s="124">
        <v>147770</v>
      </c>
      <c r="M85" s="47">
        <f t="shared" si="30"/>
        <v>147770</v>
      </c>
      <c r="N85" s="47">
        <f t="shared" si="31"/>
        <v>315.74786324786322</v>
      </c>
      <c r="O85" s="47">
        <f t="shared" si="32"/>
        <v>3788.9743589743584</v>
      </c>
      <c r="P85" s="47">
        <f t="shared" si="33"/>
        <v>3788.9743589743584</v>
      </c>
      <c r="Q85" s="47"/>
      <c r="R85" s="47">
        <f t="shared" si="34"/>
        <v>79568.461538461532</v>
      </c>
      <c r="S85" s="47">
        <f t="shared" si="35"/>
        <v>83357.435897435891</v>
      </c>
      <c r="T85" s="47">
        <f t="shared" si="36"/>
        <v>66307.051282051281</v>
      </c>
      <c r="U85" s="19"/>
      <c r="V85" s="12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</row>
    <row r="86" spans="1:76" s="61" customFormat="1" x14ac:dyDescent="0.25">
      <c r="A86" s="128"/>
      <c r="B86" s="128"/>
      <c r="C86" s="123" t="s">
        <v>125</v>
      </c>
      <c r="D86" s="44"/>
      <c r="E86" s="43">
        <v>1996</v>
      </c>
      <c r="F86" s="43">
        <v>6</v>
      </c>
      <c r="G86" s="43">
        <v>0</v>
      </c>
      <c r="H86" s="44" t="s">
        <v>42</v>
      </c>
      <c r="I86" s="44" t="s">
        <v>124</v>
      </c>
      <c r="J86" s="43">
        <f t="shared" si="28"/>
        <v>2035</v>
      </c>
      <c r="K86" s="41">
        <f t="shared" si="29"/>
        <v>2035.5</v>
      </c>
      <c r="L86" s="124">
        <v>431763</v>
      </c>
      <c r="M86" s="47">
        <f t="shared" si="30"/>
        <v>431763</v>
      </c>
      <c r="N86" s="47">
        <f t="shared" si="31"/>
        <v>922.57051282051282</v>
      </c>
      <c r="O86" s="47">
        <f t="shared" si="32"/>
        <v>11070.846153846154</v>
      </c>
      <c r="P86" s="47">
        <f t="shared" si="33"/>
        <v>11070.846153846154</v>
      </c>
      <c r="Q86" s="47"/>
      <c r="R86" s="47">
        <f t="shared" si="34"/>
        <v>232487.76923076925</v>
      </c>
      <c r="S86" s="47">
        <f t="shared" si="35"/>
        <v>243558.6153846154</v>
      </c>
      <c r="T86" s="47">
        <f t="shared" si="36"/>
        <v>193739.80769230769</v>
      </c>
      <c r="U86" s="19"/>
      <c r="V86" s="12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</row>
    <row r="87" spans="1:76" x14ac:dyDescent="0.25">
      <c r="A87" s="128"/>
      <c r="B87" s="129"/>
      <c r="C87" s="42" t="s">
        <v>126</v>
      </c>
      <c r="D87" s="42"/>
      <c r="E87" s="43">
        <v>1996</v>
      </c>
      <c r="F87" s="43">
        <v>6</v>
      </c>
      <c r="G87" s="43">
        <v>0</v>
      </c>
      <c r="H87" s="44" t="s">
        <v>42</v>
      </c>
      <c r="I87" s="44" t="s">
        <v>127</v>
      </c>
      <c r="J87" s="43">
        <f t="shared" si="28"/>
        <v>2016</v>
      </c>
      <c r="K87" s="41">
        <f t="shared" si="29"/>
        <v>2016.5</v>
      </c>
      <c r="L87" s="46">
        <v>143140</v>
      </c>
      <c r="M87" s="47">
        <f t="shared" si="30"/>
        <v>143140</v>
      </c>
      <c r="N87" s="47">
        <f t="shared" si="31"/>
        <v>596.41666666666663</v>
      </c>
      <c r="O87" s="47">
        <f t="shared" si="32"/>
        <v>7157</v>
      </c>
      <c r="P87" s="47">
        <f t="shared" si="33"/>
        <v>0</v>
      </c>
      <c r="Q87" s="47"/>
      <c r="R87" s="47">
        <f t="shared" si="34"/>
        <v>143140</v>
      </c>
      <c r="S87" s="47">
        <f t="shared" si="35"/>
        <v>143140</v>
      </c>
      <c r="T87" s="47">
        <f t="shared" si="36"/>
        <v>0</v>
      </c>
      <c r="U87" s="19"/>
    </row>
    <row r="88" spans="1:76" x14ac:dyDescent="0.25">
      <c r="A88" s="42"/>
      <c r="B88" s="42"/>
      <c r="C88" s="42" t="s">
        <v>128</v>
      </c>
      <c r="D88" s="42"/>
      <c r="E88" s="43">
        <v>1997</v>
      </c>
      <c r="F88" s="43">
        <v>7</v>
      </c>
      <c r="G88" s="43">
        <v>0</v>
      </c>
      <c r="H88" s="44" t="s">
        <v>42</v>
      </c>
      <c r="I88" s="44" t="s">
        <v>127</v>
      </c>
      <c r="J88" s="43">
        <f t="shared" si="28"/>
        <v>2017</v>
      </c>
      <c r="K88" s="41">
        <f t="shared" si="29"/>
        <v>2017.5833333333333</v>
      </c>
      <c r="L88" s="46">
        <v>3600</v>
      </c>
      <c r="M88" s="47">
        <f t="shared" si="30"/>
        <v>3600</v>
      </c>
      <c r="N88" s="47">
        <f t="shared" si="31"/>
        <v>15</v>
      </c>
      <c r="O88" s="47">
        <f t="shared" si="32"/>
        <v>180</v>
      </c>
      <c r="P88" s="47">
        <f t="shared" si="33"/>
        <v>0</v>
      </c>
      <c r="Q88" s="47"/>
      <c r="R88" s="47">
        <f t="shared" si="34"/>
        <v>3600</v>
      </c>
      <c r="S88" s="47">
        <f t="shared" si="35"/>
        <v>3600</v>
      </c>
      <c r="T88" s="47">
        <f t="shared" si="36"/>
        <v>0</v>
      </c>
      <c r="U88" s="19"/>
    </row>
    <row r="89" spans="1:76" x14ac:dyDescent="0.25">
      <c r="A89" s="42"/>
      <c r="B89" s="42"/>
      <c r="C89" s="123" t="s">
        <v>129</v>
      </c>
      <c r="D89" s="123"/>
      <c r="E89" s="43">
        <v>1999</v>
      </c>
      <c r="F89" s="43">
        <v>8</v>
      </c>
      <c r="G89" s="43">
        <v>0</v>
      </c>
      <c r="H89" s="44" t="s">
        <v>42</v>
      </c>
      <c r="I89" s="44" t="s">
        <v>111</v>
      </c>
      <c r="J89" s="43">
        <f t="shared" si="28"/>
        <v>2030</v>
      </c>
      <c r="K89" s="41">
        <f t="shared" si="29"/>
        <v>2030.6666666666667</v>
      </c>
      <c r="L89" s="124">
        <v>118493.17</v>
      </c>
      <c r="M89" s="47">
        <f t="shared" si="30"/>
        <v>118493.17</v>
      </c>
      <c r="N89" s="47">
        <f t="shared" si="31"/>
        <v>318.5300268817204</v>
      </c>
      <c r="O89" s="47">
        <f t="shared" si="32"/>
        <v>3822.3603225806446</v>
      </c>
      <c r="P89" s="47">
        <f t="shared" si="33"/>
        <v>3822.3603225806446</v>
      </c>
      <c r="Q89" s="47"/>
      <c r="R89" s="47">
        <f t="shared" si="34"/>
        <v>68802.485806451601</v>
      </c>
      <c r="S89" s="47">
        <f t="shared" si="35"/>
        <v>72624.846129032245</v>
      </c>
      <c r="T89" s="47">
        <f t="shared" si="36"/>
        <v>47779.504032258075</v>
      </c>
      <c r="U89" s="19"/>
    </row>
    <row r="90" spans="1:76" x14ac:dyDescent="0.25">
      <c r="A90" s="42"/>
      <c r="B90" s="44"/>
      <c r="C90" s="123" t="s">
        <v>130</v>
      </c>
      <c r="D90" s="123"/>
      <c r="E90" s="43">
        <v>2000</v>
      </c>
      <c r="F90" s="43">
        <v>1</v>
      </c>
      <c r="G90" s="43">
        <v>0</v>
      </c>
      <c r="H90" s="44" t="s">
        <v>42</v>
      </c>
      <c r="I90" s="44" t="s">
        <v>120</v>
      </c>
      <c r="J90" s="43">
        <f t="shared" si="28"/>
        <v>2015</v>
      </c>
      <c r="K90" s="41">
        <f t="shared" si="29"/>
        <v>2015.0833333333333</v>
      </c>
      <c r="L90" s="124">
        <v>10250.5</v>
      </c>
      <c r="M90" s="47">
        <f t="shared" si="30"/>
        <v>10250.5</v>
      </c>
      <c r="N90" s="47">
        <f t="shared" si="31"/>
        <v>56.947222222222223</v>
      </c>
      <c r="O90" s="47">
        <f t="shared" si="32"/>
        <v>683.36666666666667</v>
      </c>
      <c r="P90" s="47">
        <f t="shared" si="33"/>
        <v>0</v>
      </c>
      <c r="Q90" s="47"/>
      <c r="R90" s="47">
        <f t="shared" si="34"/>
        <v>10250.5</v>
      </c>
      <c r="S90" s="47">
        <f t="shared" si="35"/>
        <v>10250.5</v>
      </c>
      <c r="T90" s="47">
        <f t="shared" si="36"/>
        <v>0</v>
      </c>
      <c r="U90" s="19"/>
    </row>
    <row r="91" spans="1:76" x14ac:dyDescent="0.25">
      <c r="A91" s="42"/>
      <c r="B91" s="44"/>
      <c r="C91" s="42" t="s">
        <v>131</v>
      </c>
      <c r="D91" s="42"/>
      <c r="E91" s="43">
        <v>2000</v>
      </c>
      <c r="F91" s="43">
        <v>9</v>
      </c>
      <c r="G91" s="43">
        <v>0</v>
      </c>
      <c r="H91" s="44" t="s">
        <v>42</v>
      </c>
      <c r="I91" s="44" t="s">
        <v>120</v>
      </c>
      <c r="J91" s="43">
        <f t="shared" si="28"/>
        <v>2015</v>
      </c>
      <c r="K91" s="41">
        <f t="shared" si="29"/>
        <v>2015.75</v>
      </c>
      <c r="L91" s="46">
        <v>13362.7</v>
      </c>
      <c r="M91" s="47">
        <f t="shared" si="30"/>
        <v>13362.7</v>
      </c>
      <c r="N91" s="47">
        <f t="shared" si="31"/>
        <v>74.237222222222229</v>
      </c>
      <c r="O91" s="47">
        <f t="shared" si="32"/>
        <v>890.84666666666681</v>
      </c>
      <c r="P91" s="47">
        <f t="shared" si="33"/>
        <v>0</v>
      </c>
      <c r="Q91" s="47"/>
      <c r="R91" s="47">
        <f t="shared" si="34"/>
        <v>13362.7</v>
      </c>
      <c r="S91" s="47">
        <f t="shared" si="35"/>
        <v>13362.7</v>
      </c>
      <c r="T91" s="47">
        <f t="shared" si="36"/>
        <v>0</v>
      </c>
      <c r="U91" s="19"/>
    </row>
    <row r="92" spans="1:76" x14ac:dyDescent="0.25">
      <c r="A92" s="42"/>
      <c r="B92" s="42"/>
      <c r="C92" s="42" t="s">
        <v>132</v>
      </c>
      <c r="D92" s="42"/>
      <c r="E92" s="43">
        <v>2000</v>
      </c>
      <c r="F92" s="43">
        <v>12</v>
      </c>
      <c r="G92" s="43">
        <v>0</v>
      </c>
      <c r="H92" s="44" t="s">
        <v>42</v>
      </c>
      <c r="I92" s="44" t="s">
        <v>120</v>
      </c>
      <c r="J92" s="43">
        <f t="shared" si="28"/>
        <v>2015</v>
      </c>
      <c r="K92" s="41">
        <f t="shared" si="29"/>
        <v>2016</v>
      </c>
      <c r="L92" s="46">
        <v>17986.54</v>
      </c>
      <c r="M92" s="47">
        <f t="shared" si="30"/>
        <v>17986.54</v>
      </c>
      <c r="N92" s="47">
        <f t="shared" si="31"/>
        <v>99.925222222222217</v>
      </c>
      <c r="O92" s="47">
        <f t="shared" si="32"/>
        <v>1199.1026666666667</v>
      </c>
      <c r="P92" s="47">
        <f t="shared" si="33"/>
        <v>0</v>
      </c>
      <c r="Q92" s="47"/>
      <c r="R92" s="47">
        <f t="shared" si="34"/>
        <v>17986.54</v>
      </c>
      <c r="S92" s="47">
        <f t="shared" si="35"/>
        <v>17986.54</v>
      </c>
      <c r="T92" s="47">
        <f t="shared" si="36"/>
        <v>0</v>
      </c>
      <c r="U92" s="19"/>
    </row>
    <row r="93" spans="1:76" x14ac:dyDescent="0.25">
      <c r="A93" s="42"/>
      <c r="B93" s="42"/>
      <c r="C93" s="42" t="s">
        <v>133</v>
      </c>
      <c r="D93" s="42"/>
      <c r="E93" s="43">
        <v>2001</v>
      </c>
      <c r="F93" s="43">
        <v>1</v>
      </c>
      <c r="G93" s="43">
        <v>0</v>
      </c>
      <c r="H93" s="44" t="s">
        <v>42</v>
      </c>
      <c r="I93" s="44" t="s">
        <v>120</v>
      </c>
      <c r="J93" s="43">
        <f t="shared" si="28"/>
        <v>2016</v>
      </c>
      <c r="K93" s="41">
        <f t="shared" si="29"/>
        <v>2016.0833333333333</v>
      </c>
      <c r="L93" s="46">
        <v>83511.16</v>
      </c>
      <c r="M93" s="47">
        <f t="shared" si="30"/>
        <v>83511.16</v>
      </c>
      <c r="N93" s="47">
        <f t="shared" si="31"/>
        <v>463.95088888888887</v>
      </c>
      <c r="O93" s="47">
        <f t="shared" si="32"/>
        <v>5567.4106666666667</v>
      </c>
      <c r="P93" s="47">
        <f t="shared" si="33"/>
        <v>0</v>
      </c>
      <c r="Q93" s="47"/>
      <c r="R93" s="47">
        <f t="shared" si="34"/>
        <v>83511.16</v>
      </c>
      <c r="S93" s="47">
        <f t="shared" si="35"/>
        <v>83511.16</v>
      </c>
      <c r="T93" s="47">
        <f t="shared" si="36"/>
        <v>0</v>
      </c>
      <c r="U93" s="19"/>
    </row>
    <row r="94" spans="1:76" x14ac:dyDescent="0.25">
      <c r="A94" s="42"/>
      <c r="B94" s="42"/>
      <c r="C94" s="42" t="s">
        <v>134</v>
      </c>
      <c r="D94" s="42"/>
      <c r="E94" s="43">
        <v>2001</v>
      </c>
      <c r="F94" s="43">
        <v>2</v>
      </c>
      <c r="G94" s="43">
        <v>0</v>
      </c>
      <c r="H94" s="44" t="s">
        <v>42</v>
      </c>
      <c r="I94" s="44" t="s">
        <v>124</v>
      </c>
      <c r="J94" s="43">
        <f t="shared" si="28"/>
        <v>2040</v>
      </c>
      <c r="K94" s="41">
        <f t="shared" si="29"/>
        <v>2040.1666666666667</v>
      </c>
      <c r="L94" s="46">
        <v>6652.04</v>
      </c>
      <c r="M94" s="47">
        <f t="shared" si="30"/>
        <v>6652.04</v>
      </c>
      <c r="N94" s="47">
        <f t="shared" si="31"/>
        <v>14.213760683760684</v>
      </c>
      <c r="O94" s="47">
        <f t="shared" si="32"/>
        <v>170.56512820512822</v>
      </c>
      <c r="P94" s="47">
        <f t="shared" si="33"/>
        <v>170.56512820512822</v>
      </c>
      <c r="Q94" s="47"/>
      <c r="R94" s="47">
        <f t="shared" si="34"/>
        <v>2729.0420512820515</v>
      </c>
      <c r="S94" s="47">
        <f t="shared" si="35"/>
        <v>2899.6071794871796</v>
      </c>
      <c r="T94" s="47">
        <f t="shared" si="36"/>
        <v>3837.7153846153842</v>
      </c>
      <c r="U94" s="19"/>
    </row>
    <row r="95" spans="1:76" x14ac:dyDescent="0.25">
      <c r="A95" s="42"/>
      <c r="B95" s="42"/>
      <c r="C95" s="42" t="s">
        <v>135</v>
      </c>
      <c r="D95" s="42"/>
      <c r="E95" s="43">
        <v>2001</v>
      </c>
      <c r="F95" s="43">
        <v>5</v>
      </c>
      <c r="G95" s="43">
        <v>0</v>
      </c>
      <c r="H95" s="44" t="s">
        <v>42</v>
      </c>
      <c r="I95" s="44" t="s">
        <v>107</v>
      </c>
      <c r="J95" s="43">
        <f t="shared" si="28"/>
        <v>2011</v>
      </c>
      <c r="K95" s="41">
        <f t="shared" si="29"/>
        <v>2011.4166666666667</v>
      </c>
      <c r="L95" s="46">
        <v>9222.5</v>
      </c>
      <c r="M95" s="47">
        <f t="shared" si="30"/>
        <v>9222.5</v>
      </c>
      <c r="N95" s="47">
        <f t="shared" si="31"/>
        <v>76.854166666666671</v>
      </c>
      <c r="O95" s="47">
        <f t="shared" si="32"/>
        <v>922.25</v>
      </c>
      <c r="P95" s="47">
        <f t="shared" si="33"/>
        <v>0</v>
      </c>
      <c r="Q95" s="47"/>
      <c r="R95" s="47">
        <f t="shared" si="34"/>
        <v>9222.5</v>
      </c>
      <c r="S95" s="47">
        <f t="shared" si="35"/>
        <v>9222.5</v>
      </c>
      <c r="T95" s="47">
        <f t="shared" si="36"/>
        <v>0</v>
      </c>
      <c r="U95" s="19"/>
    </row>
    <row r="96" spans="1:76" x14ac:dyDescent="0.25">
      <c r="A96" s="42"/>
      <c r="B96" s="42"/>
      <c r="C96" s="123" t="s">
        <v>136</v>
      </c>
      <c r="D96" s="123"/>
      <c r="E96" s="43">
        <v>2002</v>
      </c>
      <c r="F96" s="43">
        <v>4</v>
      </c>
      <c r="G96" s="43">
        <v>0</v>
      </c>
      <c r="H96" s="44" t="s">
        <v>42</v>
      </c>
      <c r="I96" s="44" t="s">
        <v>124</v>
      </c>
      <c r="J96" s="43">
        <f t="shared" si="28"/>
        <v>2041</v>
      </c>
      <c r="K96" s="41">
        <f t="shared" si="29"/>
        <v>2041.3333333333333</v>
      </c>
      <c r="L96" s="124">
        <v>23833.65</v>
      </c>
      <c r="M96" s="47">
        <f t="shared" si="30"/>
        <v>23833.65</v>
      </c>
      <c r="N96" s="47">
        <f t="shared" si="31"/>
        <v>50.926602564102573</v>
      </c>
      <c r="O96" s="47">
        <f t="shared" si="32"/>
        <v>611.11923076923085</v>
      </c>
      <c r="P96" s="47">
        <f t="shared" si="33"/>
        <v>611.11923076923085</v>
      </c>
      <c r="Q96" s="47"/>
      <c r="R96" s="47">
        <f t="shared" si="34"/>
        <v>9166.7884615384628</v>
      </c>
      <c r="S96" s="47">
        <f t="shared" si="35"/>
        <v>9777.9076923076937</v>
      </c>
      <c r="T96" s="47">
        <f t="shared" si="36"/>
        <v>14361.301923076924</v>
      </c>
      <c r="U96" s="19"/>
    </row>
    <row r="97" spans="1:25" x14ac:dyDescent="0.25">
      <c r="A97" s="42"/>
      <c r="B97" s="42"/>
      <c r="C97" s="123" t="s">
        <v>137</v>
      </c>
      <c r="D97" s="123"/>
      <c r="E97" s="43">
        <v>2005</v>
      </c>
      <c r="F97" s="43">
        <v>6</v>
      </c>
      <c r="G97" s="43">
        <v>0</v>
      </c>
      <c r="H97" s="44" t="s">
        <v>42</v>
      </c>
      <c r="I97" s="44" t="s">
        <v>124</v>
      </c>
      <c r="J97" s="43">
        <f t="shared" si="28"/>
        <v>2044</v>
      </c>
      <c r="K97" s="41">
        <f t="shared" si="29"/>
        <v>2044.5</v>
      </c>
      <c r="L97" s="124">
        <v>86733.69</v>
      </c>
      <c r="M97" s="47">
        <f t="shared" si="30"/>
        <v>86733.69</v>
      </c>
      <c r="N97" s="47">
        <f t="shared" si="31"/>
        <v>185.32839743589741</v>
      </c>
      <c r="O97" s="47">
        <f t="shared" si="32"/>
        <v>2223.9407692307691</v>
      </c>
      <c r="P97" s="47">
        <f t="shared" si="33"/>
        <v>2223.9407692307691</v>
      </c>
      <c r="Q97" s="47"/>
      <c r="R97" s="47">
        <f t="shared" si="34"/>
        <v>26687.289230769231</v>
      </c>
      <c r="S97" s="47">
        <f t="shared" si="35"/>
        <v>28911.23</v>
      </c>
      <c r="T97" s="47">
        <f t="shared" si="36"/>
        <v>58934.430384615393</v>
      </c>
      <c r="U97" s="19"/>
    </row>
    <row r="98" spans="1:25" s="61" customFormat="1" x14ac:dyDescent="0.25">
      <c r="A98" s="52"/>
      <c r="B98" s="52"/>
      <c r="C98" s="52" t="s">
        <v>138</v>
      </c>
      <c r="D98" s="52" t="s">
        <v>139</v>
      </c>
      <c r="E98" s="53">
        <v>2011</v>
      </c>
      <c r="F98" s="53">
        <v>11</v>
      </c>
      <c r="G98" s="53">
        <v>0</v>
      </c>
      <c r="H98" s="54" t="s">
        <v>42</v>
      </c>
      <c r="I98" s="54">
        <v>20</v>
      </c>
      <c r="J98" s="53">
        <f t="shared" si="28"/>
        <v>2031</v>
      </c>
      <c r="K98" s="56">
        <f t="shared" si="29"/>
        <v>2031.9166666666667</v>
      </c>
      <c r="L98" s="57">
        <f>7664+526+4903</f>
        <v>13093</v>
      </c>
      <c r="M98" s="58">
        <f t="shared" si="30"/>
        <v>13093</v>
      </c>
      <c r="N98" s="58">
        <f t="shared" si="31"/>
        <v>54.554166666666667</v>
      </c>
      <c r="O98" s="58">
        <f t="shared" si="32"/>
        <v>654.65</v>
      </c>
      <c r="P98" s="58">
        <f t="shared" si="33"/>
        <v>654.65</v>
      </c>
      <c r="Q98" s="58"/>
      <c r="R98" s="58">
        <f t="shared" si="34"/>
        <v>3927.8999999999996</v>
      </c>
      <c r="S98" s="58">
        <f t="shared" si="35"/>
        <v>4582.5499999999993</v>
      </c>
      <c r="T98" s="58">
        <f t="shared" si="36"/>
        <v>8837.7750000000015</v>
      </c>
      <c r="U98" s="59" t="s">
        <v>140</v>
      </c>
      <c r="V98" s="61" t="s">
        <v>141</v>
      </c>
      <c r="W98" s="62">
        <f>4902.5+7664+526</f>
        <v>13092.5</v>
      </c>
      <c r="X98" s="130">
        <f>+W98-L98</f>
        <v>-0.5</v>
      </c>
      <c r="Y98" s="131"/>
    </row>
    <row r="99" spans="1:25" s="61" customFormat="1" x14ac:dyDescent="0.25">
      <c r="A99" s="52"/>
      <c r="B99" s="52"/>
      <c r="C99" s="52" t="s">
        <v>142</v>
      </c>
      <c r="D99" s="52">
        <v>96438</v>
      </c>
      <c r="E99" s="53">
        <v>2012</v>
      </c>
      <c r="F99" s="53">
        <v>9</v>
      </c>
      <c r="G99" s="53">
        <v>0</v>
      </c>
      <c r="H99" s="54" t="s">
        <v>42</v>
      </c>
      <c r="I99" s="54">
        <v>10</v>
      </c>
      <c r="J99" s="53">
        <f t="shared" si="28"/>
        <v>2022</v>
      </c>
      <c r="K99" s="56">
        <f t="shared" si="29"/>
        <v>2022.75</v>
      </c>
      <c r="L99" s="57">
        <v>24628.48</v>
      </c>
      <c r="M99" s="58">
        <f t="shared" si="30"/>
        <v>24628.48</v>
      </c>
      <c r="N99" s="58">
        <f t="shared" si="31"/>
        <v>205.23733333333334</v>
      </c>
      <c r="O99" s="58">
        <f t="shared" si="32"/>
        <v>2462.848</v>
      </c>
      <c r="P99" s="58">
        <f t="shared" si="33"/>
        <v>2462.848</v>
      </c>
      <c r="Q99" s="58"/>
      <c r="R99" s="58">
        <f t="shared" si="34"/>
        <v>12314.24</v>
      </c>
      <c r="S99" s="58">
        <f t="shared" si="35"/>
        <v>14777.088</v>
      </c>
      <c r="T99" s="58">
        <f t="shared" si="36"/>
        <v>11082.815999999999</v>
      </c>
      <c r="U99" s="59" t="s">
        <v>257</v>
      </c>
      <c r="V99" s="61" t="s">
        <v>143</v>
      </c>
      <c r="W99" s="61">
        <v>24628.48</v>
      </c>
      <c r="X99" s="63">
        <f>+W99-L99</f>
        <v>0</v>
      </c>
    </row>
    <row r="100" spans="1:25" s="61" customFormat="1" x14ac:dyDescent="0.25">
      <c r="A100" s="52"/>
      <c r="B100" s="52"/>
      <c r="C100" s="52" t="s">
        <v>144</v>
      </c>
      <c r="D100" s="52" t="s">
        <v>145</v>
      </c>
      <c r="E100" s="53">
        <v>2012</v>
      </c>
      <c r="F100" s="53">
        <v>10</v>
      </c>
      <c r="G100" s="53">
        <v>0</v>
      </c>
      <c r="H100" s="54" t="s">
        <v>42</v>
      </c>
      <c r="I100" s="54">
        <v>10</v>
      </c>
      <c r="J100" s="53">
        <f t="shared" si="28"/>
        <v>2022</v>
      </c>
      <c r="K100" s="56">
        <f t="shared" si="29"/>
        <v>2022.8333333333333</v>
      </c>
      <c r="L100" s="57">
        <f>23720.88+5791.52+35138.05+547.14</f>
        <v>65197.590000000004</v>
      </c>
      <c r="M100" s="58">
        <f t="shared" si="30"/>
        <v>65197.590000000004</v>
      </c>
      <c r="N100" s="58">
        <f t="shared" si="31"/>
        <v>543.31325000000004</v>
      </c>
      <c r="O100" s="58">
        <f t="shared" si="32"/>
        <v>6519.759</v>
      </c>
      <c r="P100" s="58">
        <f t="shared" si="33"/>
        <v>6519.759</v>
      </c>
      <c r="Q100" s="58"/>
      <c r="R100" s="58">
        <f t="shared" si="34"/>
        <v>32598.794999999998</v>
      </c>
      <c r="S100" s="58">
        <f t="shared" si="35"/>
        <v>39118.553999999996</v>
      </c>
      <c r="T100" s="58">
        <f t="shared" si="36"/>
        <v>29338.915500000006</v>
      </c>
      <c r="U100" s="59" t="s">
        <v>146</v>
      </c>
      <c r="V100" s="61" t="s">
        <v>147</v>
      </c>
      <c r="W100" s="61">
        <f>35138.05+5791.52+1763.41+9454.1+12503.37+547.14</f>
        <v>65197.590000000011</v>
      </c>
      <c r="X100" s="63">
        <f>+W100-L100</f>
        <v>0</v>
      </c>
    </row>
    <row r="101" spans="1:25" s="134" customFormat="1" x14ac:dyDescent="0.25">
      <c r="A101" s="52"/>
      <c r="B101" s="52"/>
      <c r="C101" s="132" t="s">
        <v>148</v>
      </c>
      <c r="D101" s="133" t="s">
        <v>149</v>
      </c>
      <c r="E101" s="53">
        <v>2013</v>
      </c>
      <c r="F101" s="53">
        <v>1</v>
      </c>
      <c r="G101" s="53">
        <v>0</v>
      </c>
      <c r="H101" s="54" t="s">
        <v>42</v>
      </c>
      <c r="I101" s="54">
        <v>9</v>
      </c>
      <c r="J101" s="53">
        <f t="shared" si="28"/>
        <v>2022</v>
      </c>
      <c r="K101" s="56">
        <f t="shared" si="29"/>
        <v>2022.0833333333333</v>
      </c>
      <c r="L101" s="57">
        <f>7228.18+7923.64</f>
        <v>15151.82</v>
      </c>
      <c r="M101" s="58">
        <f t="shared" si="30"/>
        <v>15151.82</v>
      </c>
      <c r="N101" s="58">
        <f t="shared" si="31"/>
        <v>140.29462962962961</v>
      </c>
      <c r="O101" s="58">
        <f t="shared" si="32"/>
        <v>1683.5355555555552</v>
      </c>
      <c r="P101" s="58">
        <f t="shared" si="33"/>
        <v>1683.5355555555552</v>
      </c>
      <c r="Q101" s="58"/>
      <c r="R101" s="58">
        <f t="shared" si="34"/>
        <v>6734.1422222222209</v>
      </c>
      <c r="S101" s="58">
        <f t="shared" si="35"/>
        <v>8417.6777777777752</v>
      </c>
      <c r="T101" s="58">
        <f t="shared" si="36"/>
        <v>7575.9100000000017</v>
      </c>
      <c r="U101" s="59" t="s">
        <v>146</v>
      </c>
      <c r="V101" s="134" t="s">
        <v>150</v>
      </c>
      <c r="W101" s="135">
        <f>7228.18+7923.64</f>
        <v>15151.82</v>
      </c>
      <c r="X101" s="63">
        <f>+W101-L101</f>
        <v>0</v>
      </c>
    </row>
    <row r="102" spans="1:25" s="61" customFormat="1" x14ac:dyDescent="0.25">
      <c r="A102" s="52"/>
      <c r="B102" s="52"/>
      <c r="C102" s="136" t="s">
        <v>151</v>
      </c>
      <c r="D102" s="137">
        <v>102422</v>
      </c>
      <c r="E102" s="53">
        <v>2013</v>
      </c>
      <c r="F102" s="53">
        <v>2</v>
      </c>
      <c r="G102" s="53">
        <v>0</v>
      </c>
      <c r="H102" s="54" t="s">
        <v>42</v>
      </c>
      <c r="I102" s="54">
        <v>5</v>
      </c>
      <c r="J102" s="53">
        <f t="shared" si="28"/>
        <v>2018</v>
      </c>
      <c r="K102" s="56">
        <f t="shared" si="29"/>
        <v>2018.1666666666667</v>
      </c>
      <c r="L102" s="138">
        <v>12303.4</v>
      </c>
      <c r="M102" s="58">
        <f t="shared" si="30"/>
        <v>12303.4</v>
      </c>
      <c r="N102" s="58">
        <f t="shared" si="31"/>
        <v>205.05666666666664</v>
      </c>
      <c r="O102" s="58">
        <f t="shared" si="32"/>
        <v>2460.6799999999998</v>
      </c>
      <c r="P102" s="58">
        <f t="shared" si="33"/>
        <v>0</v>
      </c>
      <c r="Q102" s="58"/>
      <c r="R102" s="58">
        <f t="shared" si="34"/>
        <v>12303.4</v>
      </c>
      <c r="S102" s="58">
        <f t="shared" si="35"/>
        <v>12303.4</v>
      </c>
      <c r="T102" s="58">
        <f t="shared" si="36"/>
        <v>0</v>
      </c>
      <c r="U102" s="59" t="s">
        <v>258</v>
      </c>
      <c r="V102" s="60" t="s">
        <v>54</v>
      </c>
    </row>
    <row r="103" spans="1:25" s="61" customFormat="1" x14ac:dyDescent="0.25">
      <c r="A103" s="52"/>
      <c r="B103" s="52"/>
      <c r="C103" s="136" t="s">
        <v>152</v>
      </c>
      <c r="D103" s="137" t="s">
        <v>153</v>
      </c>
      <c r="E103" s="53">
        <v>2013</v>
      </c>
      <c r="F103" s="53">
        <v>6</v>
      </c>
      <c r="G103" s="53">
        <v>0</v>
      </c>
      <c r="H103" s="54" t="s">
        <v>42</v>
      </c>
      <c r="I103" s="54">
        <v>10</v>
      </c>
      <c r="J103" s="53">
        <f t="shared" si="28"/>
        <v>2023</v>
      </c>
      <c r="K103" s="56">
        <f t="shared" si="29"/>
        <v>2023.5</v>
      </c>
      <c r="L103" s="138">
        <f>4817+2500</f>
        <v>7317</v>
      </c>
      <c r="M103" s="58">
        <f t="shared" si="30"/>
        <v>7317</v>
      </c>
      <c r="N103" s="58">
        <f t="shared" si="31"/>
        <v>60.975000000000001</v>
      </c>
      <c r="O103" s="58">
        <f t="shared" si="32"/>
        <v>731.7</v>
      </c>
      <c r="P103" s="58">
        <f t="shared" si="33"/>
        <v>731.7</v>
      </c>
      <c r="Q103" s="58"/>
      <c r="R103" s="58">
        <f t="shared" si="34"/>
        <v>2926.8</v>
      </c>
      <c r="S103" s="58">
        <f t="shared" si="35"/>
        <v>3658.5</v>
      </c>
      <c r="T103" s="58">
        <f t="shared" si="36"/>
        <v>4024.35</v>
      </c>
      <c r="U103" s="59" t="s">
        <v>154</v>
      </c>
      <c r="V103" s="59" t="s">
        <v>155</v>
      </c>
      <c r="W103" s="62">
        <v>7317</v>
      </c>
      <c r="X103" s="63">
        <f>+W103-L103</f>
        <v>0</v>
      </c>
    </row>
    <row r="104" spans="1:25" x14ac:dyDescent="0.25">
      <c r="L104" s="75"/>
      <c r="M104" s="75"/>
      <c r="N104" s="75"/>
      <c r="O104" s="75"/>
      <c r="P104" s="75"/>
      <c r="Q104" s="75"/>
      <c r="R104" s="75"/>
      <c r="S104" s="75"/>
      <c r="T104" s="75"/>
    </row>
    <row r="105" spans="1:25" x14ac:dyDescent="0.25">
      <c r="A105" s="123"/>
      <c r="B105" s="123"/>
      <c r="C105" s="123"/>
      <c r="D105" s="123"/>
      <c r="E105" s="43"/>
      <c r="F105" s="43"/>
      <c r="G105" s="43"/>
      <c r="H105" s="44"/>
      <c r="I105" s="44"/>
      <c r="J105" s="43"/>
      <c r="K105" s="43"/>
      <c r="L105" s="124"/>
      <c r="M105" s="47"/>
      <c r="N105" s="47"/>
      <c r="O105" s="47"/>
      <c r="P105" s="47"/>
      <c r="Q105" s="47"/>
      <c r="R105" s="47"/>
      <c r="S105" s="47"/>
      <c r="T105" s="47"/>
      <c r="U105" s="19"/>
    </row>
    <row r="106" spans="1:25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66" t="s">
        <v>156</v>
      </c>
      <c r="K106" s="66"/>
      <c r="L106" s="139">
        <f t="shared" ref="L106:T106" si="37">SUM(L71:L105)</f>
        <v>1317230.24</v>
      </c>
      <c r="M106" s="139">
        <f t="shared" si="37"/>
        <v>1317230.24</v>
      </c>
      <c r="N106" s="139">
        <f t="shared" si="37"/>
        <v>4648.7361792401889</v>
      </c>
      <c r="O106" s="139">
        <f t="shared" si="37"/>
        <v>55784.83415088227</v>
      </c>
      <c r="P106" s="139">
        <f t="shared" si="37"/>
        <v>34666.404365936032</v>
      </c>
      <c r="Q106" s="139">
        <f t="shared" si="37"/>
        <v>0</v>
      </c>
      <c r="R106" s="139">
        <f t="shared" si="37"/>
        <v>851101.23329955898</v>
      </c>
      <c r="S106" s="139">
        <f t="shared" si="37"/>
        <v>885767.63766549493</v>
      </c>
      <c r="T106" s="139">
        <f t="shared" si="37"/>
        <v>448795.80451747309</v>
      </c>
      <c r="U106" s="73"/>
    </row>
    <row r="107" spans="1:25" x14ac:dyDescent="0.25">
      <c r="A107" s="74"/>
      <c r="B107" s="74"/>
      <c r="C107" s="74"/>
      <c r="D107" s="74"/>
      <c r="E107" s="74"/>
      <c r="F107" s="74"/>
      <c r="G107" s="74"/>
      <c r="H107" s="74"/>
      <c r="I107" s="74"/>
      <c r="J107" s="140"/>
      <c r="K107" s="140"/>
      <c r="L107" s="141"/>
      <c r="M107" s="141"/>
      <c r="N107" s="141"/>
      <c r="O107" s="141"/>
      <c r="P107" s="141"/>
      <c r="Q107" s="141"/>
      <c r="R107" s="141"/>
      <c r="S107" s="141"/>
      <c r="T107" s="141"/>
      <c r="U107" s="73"/>
    </row>
    <row r="108" spans="1:25" x14ac:dyDescent="0.25">
      <c r="A108" s="74"/>
      <c r="B108" s="120" t="s">
        <v>157</v>
      </c>
      <c r="C108" s="74"/>
      <c r="D108" s="74"/>
      <c r="E108" s="74"/>
      <c r="F108" s="74"/>
      <c r="G108" s="74"/>
      <c r="H108" s="74"/>
      <c r="I108" s="74"/>
      <c r="J108" s="140"/>
      <c r="K108" s="140"/>
      <c r="L108" s="141"/>
      <c r="M108" s="141"/>
      <c r="N108" s="141"/>
      <c r="O108" s="141"/>
      <c r="P108" s="141"/>
      <c r="Q108" s="141"/>
      <c r="R108" s="141"/>
      <c r="S108" s="141"/>
      <c r="T108" s="141"/>
      <c r="U108" s="73"/>
    </row>
    <row r="109" spans="1:25" x14ac:dyDescent="0.25">
      <c r="A109" s="34"/>
      <c r="B109" s="34">
        <v>7043</v>
      </c>
      <c r="C109" s="35" t="s">
        <v>158</v>
      </c>
      <c r="D109" s="34">
        <v>61282</v>
      </c>
      <c r="E109" s="36">
        <v>1992</v>
      </c>
      <c r="F109" s="36">
        <v>10</v>
      </c>
      <c r="G109" s="48">
        <v>0</v>
      </c>
      <c r="H109" s="34" t="s">
        <v>42</v>
      </c>
      <c r="I109" s="34">
        <v>5</v>
      </c>
      <c r="J109" s="43">
        <f>E109+I109</f>
        <v>1997</v>
      </c>
      <c r="K109" s="41">
        <f>J109+(F109/12)</f>
        <v>1997.8333333333333</v>
      </c>
      <c r="L109" s="47">
        <v>5375</v>
      </c>
      <c r="M109" s="47">
        <f>L109-L109*G109</f>
        <v>5375</v>
      </c>
      <c r="N109" s="47">
        <f>M109/I109/12</f>
        <v>89.583333333333329</v>
      </c>
      <c r="O109" s="47">
        <f>+N109*12</f>
        <v>1075</v>
      </c>
      <c r="P109" s="47">
        <f>+IF(K109&lt;=$N$5,0,IF(J109&gt;$N$4,O109,(N109*F109)))</f>
        <v>0</v>
      </c>
      <c r="Q109" s="47"/>
      <c r="R109" s="47">
        <f>+IF(P109=0,M109,IF($N$3-E109&lt;1,0,(($N$3-E109)*O109)))</f>
        <v>5375</v>
      </c>
      <c r="S109" s="47">
        <f>+IF(P109=0,R109,R109+P109)</f>
        <v>5375</v>
      </c>
      <c r="T109" s="47">
        <f>+IF(P109=0,0,((L109-R109)+(L109-S109))/2)</f>
        <v>0</v>
      </c>
    </row>
    <row r="110" spans="1:25" x14ac:dyDescent="0.25">
      <c r="A110" s="51" t="s">
        <v>159</v>
      </c>
      <c r="B110" s="34">
        <v>7377</v>
      </c>
      <c r="C110" s="94" t="s">
        <v>160</v>
      </c>
      <c r="D110" s="10">
        <v>61233</v>
      </c>
      <c r="E110" s="36">
        <v>2000</v>
      </c>
      <c r="F110" s="36">
        <v>12</v>
      </c>
      <c r="G110" s="48">
        <v>0</v>
      </c>
      <c r="H110" s="34" t="s">
        <v>42</v>
      </c>
      <c r="I110" s="34">
        <v>5</v>
      </c>
      <c r="J110" s="43">
        <f>E110+I110</f>
        <v>2005</v>
      </c>
      <c r="K110" s="41">
        <f>J110+(F110/12)</f>
        <v>2006</v>
      </c>
      <c r="L110" s="47">
        <v>11382</v>
      </c>
      <c r="M110" s="47">
        <f>L110-L110*G110</f>
        <v>11382</v>
      </c>
      <c r="N110" s="47">
        <f>M110/I110/12</f>
        <v>189.70000000000002</v>
      </c>
      <c r="O110" s="47">
        <f>+N110*12</f>
        <v>2276.4</v>
      </c>
      <c r="P110" s="47">
        <f>+IF(K110&lt;=$N$5,0,IF(J110&gt;$N$4,O110,(N110*F110)))</f>
        <v>0</v>
      </c>
      <c r="Q110" s="47"/>
      <c r="R110" s="47">
        <f>+IF(P110=0,M110,IF($N$3-E110&lt;1,0,(($N$3-E110)*O110)))</f>
        <v>11382</v>
      </c>
      <c r="S110" s="47">
        <f>+IF(P110=0,R110,R110+P110)</f>
        <v>11382</v>
      </c>
      <c r="T110" s="47">
        <f>+IF(P110=0,0,((L110-R110)+(L110-S110))/2)</f>
        <v>0</v>
      </c>
    </row>
    <row r="111" spans="1:25" x14ac:dyDescent="0.25">
      <c r="A111" s="74"/>
      <c r="B111" s="74"/>
      <c r="C111" s="74"/>
      <c r="D111" s="74"/>
      <c r="E111" s="74"/>
      <c r="F111" s="74"/>
      <c r="G111" s="74"/>
      <c r="H111" s="74"/>
      <c r="I111" s="74"/>
      <c r="J111" s="140"/>
      <c r="K111" s="140"/>
      <c r="L111" s="141"/>
      <c r="M111" s="141"/>
      <c r="N111" s="141"/>
      <c r="O111" s="141"/>
      <c r="P111" s="141"/>
      <c r="Q111" s="141"/>
      <c r="R111" s="141"/>
      <c r="S111" s="141"/>
      <c r="T111" s="141"/>
      <c r="U111" s="73"/>
    </row>
    <row r="112" spans="1:25" x14ac:dyDescent="0.25">
      <c r="A112" s="74"/>
      <c r="B112" s="74"/>
      <c r="C112" s="74"/>
      <c r="D112" s="74"/>
      <c r="E112" s="74"/>
      <c r="F112" s="74"/>
      <c r="G112" s="74"/>
      <c r="H112" s="74"/>
      <c r="I112" s="74"/>
      <c r="J112" s="66" t="s">
        <v>161</v>
      </c>
      <c r="K112" s="66"/>
      <c r="L112" s="139">
        <f t="shared" ref="L112:T112" si="38">SUM(L109:L111)</f>
        <v>16757</v>
      </c>
      <c r="M112" s="139">
        <f t="shared" si="38"/>
        <v>16757</v>
      </c>
      <c r="N112" s="139">
        <f t="shared" si="38"/>
        <v>279.28333333333336</v>
      </c>
      <c r="O112" s="139">
        <f t="shared" si="38"/>
        <v>3351.4</v>
      </c>
      <c r="P112" s="139">
        <f t="shared" si="38"/>
        <v>0</v>
      </c>
      <c r="Q112" s="139">
        <f t="shared" si="38"/>
        <v>0</v>
      </c>
      <c r="R112" s="139">
        <f t="shared" si="38"/>
        <v>16757</v>
      </c>
      <c r="S112" s="139">
        <f t="shared" si="38"/>
        <v>16757</v>
      </c>
      <c r="T112" s="139">
        <f t="shared" si="38"/>
        <v>0</v>
      </c>
      <c r="U112" s="73"/>
    </row>
    <row r="113" spans="1:21" x14ac:dyDescent="0.25">
      <c r="A113" s="74"/>
      <c r="B113" s="74"/>
      <c r="C113" s="74"/>
      <c r="D113" s="74"/>
      <c r="E113" s="74"/>
      <c r="F113" s="74"/>
      <c r="G113" s="74"/>
      <c r="H113" s="74"/>
      <c r="I113" s="74"/>
      <c r="J113" s="121"/>
      <c r="K113" s="121"/>
      <c r="L113" s="122"/>
      <c r="M113" s="122"/>
      <c r="N113" s="122"/>
      <c r="O113" s="122"/>
      <c r="P113" s="122"/>
      <c r="Q113" s="122"/>
      <c r="R113" s="122"/>
      <c r="S113" s="122"/>
      <c r="T113" s="122"/>
      <c r="U113" s="19"/>
    </row>
    <row r="114" spans="1:21" x14ac:dyDescent="0.25">
      <c r="A114" s="74"/>
      <c r="B114" s="120" t="s">
        <v>162</v>
      </c>
      <c r="C114" s="74"/>
      <c r="D114" s="74"/>
      <c r="E114" s="74"/>
      <c r="F114" s="74"/>
      <c r="G114" s="74"/>
      <c r="H114" s="74"/>
      <c r="I114" s="74"/>
      <c r="J114" s="69"/>
      <c r="K114" s="69"/>
      <c r="L114" s="141"/>
      <c r="M114" s="141"/>
      <c r="N114" s="141"/>
      <c r="O114" s="141"/>
      <c r="P114" s="141"/>
      <c r="Q114" s="141"/>
      <c r="R114" s="141"/>
      <c r="S114" s="141"/>
      <c r="T114" s="141"/>
      <c r="U114" s="73"/>
    </row>
    <row r="115" spans="1:21" x14ac:dyDescent="0.25">
      <c r="A115" s="42"/>
      <c r="B115" s="123"/>
      <c r="C115" s="123" t="s">
        <v>163</v>
      </c>
      <c r="D115" s="42"/>
      <c r="E115" s="43">
        <v>1956</v>
      </c>
      <c r="F115" s="43">
        <v>7</v>
      </c>
      <c r="G115" s="43"/>
      <c r="H115" s="44"/>
      <c r="I115" s="44"/>
      <c r="J115" s="43"/>
      <c r="K115" s="43"/>
      <c r="L115" s="124">
        <v>4460</v>
      </c>
      <c r="M115" s="47"/>
      <c r="N115" s="47"/>
      <c r="O115" s="47"/>
      <c r="P115" s="47"/>
      <c r="Q115" s="47"/>
      <c r="R115" s="47"/>
      <c r="S115" s="47"/>
      <c r="T115" s="47"/>
      <c r="U115" s="19"/>
    </row>
    <row r="116" spans="1:21" x14ac:dyDescent="0.25">
      <c r="A116" s="42"/>
      <c r="B116" s="123"/>
      <c r="C116" s="123" t="s">
        <v>106</v>
      </c>
      <c r="D116" s="42"/>
      <c r="E116" s="43">
        <v>1971</v>
      </c>
      <c r="F116" s="43">
        <v>6</v>
      </c>
      <c r="G116" s="43"/>
      <c r="H116" s="44"/>
      <c r="I116" s="44"/>
      <c r="J116" s="43"/>
      <c r="K116" s="43"/>
      <c r="L116" s="124">
        <v>10487</v>
      </c>
      <c r="M116" s="47"/>
      <c r="N116" s="47"/>
      <c r="O116" s="47"/>
      <c r="P116" s="47"/>
      <c r="Q116" s="47"/>
      <c r="R116" s="47"/>
      <c r="S116" s="47"/>
      <c r="T116" s="47"/>
      <c r="U116" s="19"/>
    </row>
    <row r="117" spans="1:21" x14ac:dyDescent="0.25">
      <c r="A117" s="42"/>
      <c r="B117" s="123"/>
      <c r="C117" s="123"/>
      <c r="D117" s="42"/>
      <c r="E117" s="43"/>
      <c r="F117" s="43"/>
      <c r="G117" s="43"/>
      <c r="H117" s="44"/>
      <c r="I117" s="44"/>
      <c r="J117" s="43"/>
      <c r="K117" s="43"/>
      <c r="L117" s="124"/>
      <c r="M117" s="47"/>
      <c r="N117" s="47"/>
      <c r="O117" s="47"/>
      <c r="P117" s="47"/>
      <c r="Q117" s="47"/>
      <c r="R117" s="47"/>
      <c r="S117" s="47"/>
      <c r="T117" s="47"/>
      <c r="U117" s="19"/>
    </row>
    <row r="118" spans="1:21" x14ac:dyDescent="0.25">
      <c r="A118" s="74"/>
      <c r="B118" s="74"/>
      <c r="C118" s="74"/>
      <c r="D118" s="74"/>
      <c r="E118" s="74"/>
      <c r="F118" s="74"/>
      <c r="G118" s="74"/>
      <c r="H118" s="74"/>
      <c r="I118" s="74"/>
      <c r="J118" s="66" t="s">
        <v>164</v>
      </c>
      <c r="K118" s="66"/>
      <c r="L118" s="139">
        <f>SUM(L115:L117)</f>
        <v>14947</v>
      </c>
      <c r="M118" s="139">
        <f t="shared" ref="M118:T118" si="39">SUM(M115:M117)</f>
        <v>0</v>
      </c>
      <c r="N118" s="139">
        <f t="shared" si="39"/>
        <v>0</v>
      </c>
      <c r="O118" s="139">
        <f t="shared" si="39"/>
        <v>0</v>
      </c>
      <c r="P118" s="139">
        <f t="shared" si="39"/>
        <v>0</v>
      </c>
      <c r="Q118" s="139">
        <f t="shared" si="39"/>
        <v>0</v>
      </c>
      <c r="R118" s="139">
        <f t="shared" si="39"/>
        <v>0</v>
      </c>
      <c r="S118" s="139">
        <f t="shared" si="39"/>
        <v>0</v>
      </c>
      <c r="T118" s="139">
        <f t="shared" si="39"/>
        <v>0</v>
      </c>
      <c r="U118" s="73"/>
    </row>
    <row r="119" spans="1:21" x14ac:dyDescent="0.25">
      <c r="A119" s="74"/>
      <c r="B119" s="74"/>
      <c r="C119" s="74"/>
      <c r="D119" s="74"/>
      <c r="E119" s="74"/>
      <c r="F119" s="74"/>
      <c r="G119" s="74"/>
      <c r="H119" s="74"/>
      <c r="I119" s="74"/>
      <c r="J119" s="121"/>
      <c r="K119" s="121"/>
      <c r="L119" s="122"/>
      <c r="M119" s="122"/>
      <c r="N119" s="122"/>
      <c r="O119" s="122"/>
      <c r="P119" s="122"/>
      <c r="Q119" s="122"/>
      <c r="R119" s="122"/>
      <c r="S119" s="122"/>
      <c r="T119" s="122"/>
      <c r="U119" s="73"/>
    </row>
    <row r="120" spans="1:21" x14ac:dyDescent="0.25">
      <c r="A120" s="74"/>
      <c r="B120" s="74"/>
      <c r="C120" s="74"/>
      <c r="D120" s="74"/>
      <c r="E120" s="74"/>
      <c r="F120" s="74"/>
      <c r="G120" s="74"/>
      <c r="H120" s="74"/>
      <c r="I120" s="74"/>
      <c r="J120" s="66" t="s">
        <v>165</v>
      </c>
      <c r="K120" s="66"/>
      <c r="L120" s="139">
        <f t="shared" ref="L120:T120" si="40">L118+L106+L68+L37+L52+L112</f>
        <v>1715979.47</v>
      </c>
      <c r="M120" s="139">
        <f t="shared" si="40"/>
        <v>1701032.47</v>
      </c>
      <c r="N120" s="139">
        <f t="shared" si="40"/>
        <v>12197.904125284938</v>
      </c>
      <c r="O120" s="139">
        <f t="shared" si="40"/>
        <v>146374.84950341927</v>
      </c>
      <c r="P120" s="139">
        <f t="shared" si="40"/>
        <v>51653.181497682061</v>
      </c>
      <c r="Q120" s="139">
        <f t="shared" si="40"/>
        <v>0</v>
      </c>
      <c r="R120" s="139">
        <f t="shared" si="40"/>
        <v>1141829.6101820986</v>
      </c>
      <c r="S120" s="139">
        <f t="shared" si="40"/>
        <v>1193482.7916797805</v>
      </c>
      <c r="T120" s="139">
        <f t="shared" si="40"/>
        <v>524060.49006906041</v>
      </c>
      <c r="U120" s="73"/>
    </row>
    <row r="126" spans="1:21" hidden="1" x14ac:dyDescent="0.25"/>
    <row r="127" spans="1:21" hidden="1" x14ac:dyDescent="0.25"/>
    <row r="128" spans="1:21" hidden="1" x14ac:dyDescent="0.25">
      <c r="A128" s="142"/>
      <c r="B128" s="142"/>
      <c r="C128" s="142" t="s">
        <v>166</v>
      </c>
      <c r="D128" s="142"/>
      <c r="E128" s="142"/>
      <c r="F128" s="142"/>
      <c r="G128" s="142"/>
      <c r="H128" s="142"/>
      <c r="I128" s="142"/>
      <c r="J128" s="143"/>
      <c r="K128" s="143"/>
      <c r="L128" s="142"/>
      <c r="M128" s="142"/>
      <c r="N128" s="142"/>
      <c r="O128" s="142"/>
      <c r="P128" s="142"/>
      <c r="Q128" s="142"/>
      <c r="R128" s="142"/>
      <c r="S128" s="142"/>
      <c r="T128" s="142"/>
    </row>
    <row r="129" spans="1:76" s="150" customFormat="1" hidden="1" x14ac:dyDescent="0.25">
      <c r="A129" s="144"/>
      <c r="B129" s="144"/>
      <c r="C129" s="144" t="s">
        <v>167</v>
      </c>
      <c r="D129" s="144">
        <v>75150</v>
      </c>
      <c r="E129" s="145">
        <v>2010</v>
      </c>
      <c r="F129" s="145">
        <v>6</v>
      </c>
      <c r="G129" s="145">
        <v>0</v>
      </c>
      <c r="H129" s="146" t="s">
        <v>42</v>
      </c>
      <c r="I129" s="145">
        <v>5</v>
      </c>
      <c r="J129" s="145">
        <f>E129+I129</f>
        <v>2015</v>
      </c>
      <c r="K129" s="145"/>
      <c r="L129" s="147">
        <v>16324.45</v>
      </c>
      <c r="M129" s="148">
        <f>L129-L129*G129</f>
        <v>16324.45</v>
      </c>
      <c r="N129" s="148">
        <f>M129/I129/12</f>
        <v>272.07416666666671</v>
      </c>
      <c r="O129" s="148" t="e">
        <f>IF(#REF!&gt;0,0,IF(OR(#REF!&gt;#REF!,#REF!&lt;#REF!),0,IF(AND(#REF!&gt;=#REF!,#REF!&lt;=#REF!),N129*((#REF!-#REF!)*12),IF(AND(#REF!&lt;=#REF!,#REF!&gt;=#REF!),((#REF!-#REF!)*12)*N129,IF(#REF!&gt;#REF!,12*N129,0)))))</f>
        <v>#REF!</v>
      </c>
      <c r="P129" s="148" t="e">
        <f>IF(#REF!=0,0,IF(AND(#REF!&gt;=#REF!,#REF!&lt;=#REF!),((#REF!-#REF!)*12)*N129,0))</f>
        <v>#REF!</v>
      </c>
      <c r="Q129" s="148" t="e">
        <f>IF(P129&gt;0,P129,O129)</f>
        <v>#REF!</v>
      </c>
      <c r="R129" s="148">
        <v>1</v>
      </c>
      <c r="S129" s="148" t="e">
        <f>R129*SUM(O129:P129)</f>
        <v>#REF!</v>
      </c>
      <c r="T129" s="148" t="e">
        <f>IF(#REF!&gt;#REF!,0,IF(#REF!&lt;#REF!,M129,IF(AND(#REF!&gt;=#REF!,#REF!&lt;=#REF!),(M129-Q129),IF(AND(#REF!&lt;=#REF!,#REF!&gt;=#REF!),0,IF(#REF!&gt;#REF!,((#REF!-#REF!)*12)*N129,0)))))</f>
        <v>#REF!</v>
      </c>
      <c r="U129" s="149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  <c r="BM129" s="92"/>
      <c r="BN129" s="92"/>
      <c r="BO129" s="92"/>
      <c r="BP129" s="92"/>
      <c r="BQ129" s="92"/>
      <c r="BR129" s="92"/>
      <c r="BS129" s="92"/>
      <c r="BT129" s="92"/>
      <c r="BU129" s="92"/>
      <c r="BV129" s="92"/>
      <c r="BW129" s="92"/>
      <c r="BX129" s="92"/>
    </row>
    <row r="130" spans="1:76" hidden="1" x14ac:dyDescent="0.25"/>
    <row r="131" spans="1:76" hidden="1" x14ac:dyDescent="0.25"/>
    <row r="132" spans="1:76" hidden="1" x14ac:dyDescent="0.25"/>
    <row r="133" spans="1:76" hidden="1" x14ac:dyDescent="0.25">
      <c r="C133" s="142" t="s">
        <v>168</v>
      </c>
    </row>
    <row r="134" spans="1:76" hidden="1" x14ac:dyDescent="0.25">
      <c r="A134" s="42"/>
      <c r="B134" s="42"/>
      <c r="C134" s="42" t="s">
        <v>169</v>
      </c>
      <c r="D134" s="42"/>
      <c r="E134" s="43">
        <v>1984</v>
      </c>
      <c r="F134" s="43">
        <v>12</v>
      </c>
      <c r="G134" s="43">
        <v>0</v>
      </c>
      <c r="H134" s="44" t="s">
        <v>42</v>
      </c>
      <c r="I134" s="34">
        <v>5</v>
      </c>
      <c r="J134" s="43">
        <f t="shared" ref="J134:J195" si="41">E134+I134</f>
        <v>1989</v>
      </c>
      <c r="K134" s="43"/>
      <c r="L134" s="151">
        <v>2039</v>
      </c>
      <c r="M134" s="152">
        <f t="shared" ref="M134:M197" si="42">L134-L134*G134</f>
        <v>2039</v>
      </c>
      <c r="N134" s="152">
        <f t="shared" ref="N134:N197" si="43">M134/I134/12</f>
        <v>33.983333333333334</v>
      </c>
      <c r="O134" s="152" t="e">
        <f>IF(#REF!&gt;0,0,IF(OR(#REF!&gt;#REF!,#REF!&lt;#REF!),0,IF(AND(#REF!&gt;=#REF!,#REF!&lt;=#REF!),N134*((#REF!-#REF!)*12),IF(AND(#REF!&lt;=#REF!,#REF!&gt;=#REF!),((#REF!-#REF!)*12)*N134,IF(#REF!&gt;#REF!,12*N134,0)))))</f>
        <v>#REF!</v>
      </c>
      <c r="P134" s="152" t="e">
        <f>IF(#REF!=0,0,IF(AND(#REF!&gt;=#REF!,#REF!&lt;=#REF!),((#REF!-#REF!)*12)*N134,0))</f>
        <v>#REF!</v>
      </c>
      <c r="Q134" s="152" t="e">
        <f t="shared" ref="Q134:Q195" si="44">IF(P134&gt;0,P134,O134)</f>
        <v>#REF!</v>
      </c>
      <c r="R134" s="152">
        <v>1</v>
      </c>
      <c r="S134" s="152" t="e">
        <f t="shared" ref="S134:S195" si="45">R134*SUM(O134:P134)</f>
        <v>#REF!</v>
      </c>
      <c r="T134" s="152" t="e">
        <f>IF(#REF!&gt;#REF!,0,IF(#REF!&lt;#REF!,M134,IF(AND(#REF!&gt;=#REF!,#REF!&lt;=#REF!),(M134-Q134),IF(AND(#REF!&lt;=#REF!,#REF!&gt;=#REF!),0,IF(#REF!&gt;#REF!,((#REF!-#REF!)*12)*N134,0)))))</f>
        <v>#REF!</v>
      </c>
      <c r="U134" s="19"/>
    </row>
    <row r="135" spans="1:76" hidden="1" x14ac:dyDescent="0.25">
      <c r="A135" s="42"/>
      <c r="B135" s="42"/>
      <c r="C135" s="42" t="s">
        <v>170</v>
      </c>
      <c r="D135" s="42"/>
      <c r="E135" s="43">
        <v>1990</v>
      </c>
      <c r="F135" s="43">
        <v>9</v>
      </c>
      <c r="G135" s="43">
        <v>0</v>
      </c>
      <c r="H135" s="44" t="s">
        <v>42</v>
      </c>
      <c r="I135" s="34">
        <v>5</v>
      </c>
      <c r="J135" s="43">
        <f t="shared" si="41"/>
        <v>1995</v>
      </c>
      <c r="K135" s="43"/>
      <c r="L135" s="151">
        <v>2684</v>
      </c>
      <c r="M135" s="152">
        <f t="shared" si="42"/>
        <v>2684</v>
      </c>
      <c r="N135" s="152">
        <f t="shared" si="43"/>
        <v>44.733333333333327</v>
      </c>
      <c r="O135" s="152" t="e">
        <f>IF(#REF!&gt;0,0,IF(OR(#REF!&gt;#REF!,#REF!&lt;#REF!),0,IF(AND(#REF!&gt;=#REF!,#REF!&lt;=#REF!),N135*((#REF!-#REF!)*12),IF(AND(#REF!&lt;=#REF!,#REF!&gt;=#REF!),((#REF!-#REF!)*12)*N135,IF(#REF!&gt;#REF!,12*N135,0)))))</f>
        <v>#REF!</v>
      </c>
      <c r="P135" s="152" t="e">
        <f>IF(#REF!=0,0,IF(AND(#REF!&gt;=#REF!,#REF!&lt;=#REF!),((#REF!-#REF!)*12)*N135,0))</f>
        <v>#REF!</v>
      </c>
      <c r="Q135" s="152" t="e">
        <f t="shared" si="44"/>
        <v>#REF!</v>
      </c>
      <c r="R135" s="152">
        <v>1</v>
      </c>
      <c r="S135" s="152" t="e">
        <f t="shared" si="45"/>
        <v>#REF!</v>
      </c>
      <c r="T135" s="152" t="e">
        <f>IF(#REF!&gt;#REF!,0,IF(#REF!&lt;#REF!,M135,IF(AND(#REF!&gt;=#REF!,#REF!&lt;=#REF!),(M135-Q135),IF(AND(#REF!&lt;=#REF!,#REF!&gt;=#REF!),0,IF(#REF!&gt;#REF!,((#REF!-#REF!)*12)*N135,0)))))</f>
        <v>#REF!</v>
      </c>
      <c r="U135" s="19"/>
    </row>
    <row r="136" spans="1:76" hidden="1" x14ac:dyDescent="0.25">
      <c r="A136" s="42"/>
      <c r="B136" s="42"/>
      <c r="C136" s="42" t="s">
        <v>171</v>
      </c>
      <c r="D136" s="42"/>
      <c r="E136" s="43">
        <v>1992</v>
      </c>
      <c r="F136" s="43">
        <v>12</v>
      </c>
      <c r="G136" s="43">
        <v>0</v>
      </c>
      <c r="H136" s="44" t="s">
        <v>42</v>
      </c>
      <c r="I136" s="34">
        <v>5</v>
      </c>
      <c r="J136" s="43">
        <f t="shared" si="41"/>
        <v>1997</v>
      </c>
      <c r="K136" s="43"/>
      <c r="L136" s="151">
        <v>2913</v>
      </c>
      <c r="M136" s="152">
        <f t="shared" si="42"/>
        <v>2913</v>
      </c>
      <c r="N136" s="152">
        <f t="shared" si="43"/>
        <v>48.550000000000004</v>
      </c>
      <c r="O136" s="152" t="e">
        <f>IF(#REF!&gt;0,0,IF(OR(#REF!&gt;#REF!,#REF!&lt;#REF!),0,IF(AND(#REF!&gt;=#REF!,#REF!&lt;=#REF!),N136*((#REF!-#REF!)*12),IF(AND(#REF!&lt;=#REF!,#REF!&gt;=#REF!),((#REF!-#REF!)*12)*N136,IF(#REF!&gt;#REF!,12*N136,0)))))</f>
        <v>#REF!</v>
      </c>
      <c r="P136" s="152" t="e">
        <f>IF(#REF!=0,0,IF(AND(#REF!&gt;=#REF!,#REF!&lt;=#REF!),((#REF!-#REF!)*12)*N136,0))</f>
        <v>#REF!</v>
      </c>
      <c r="Q136" s="152" t="e">
        <f t="shared" si="44"/>
        <v>#REF!</v>
      </c>
      <c r="R136" s="152">
        <v>1</v>
      </c>
      <c r="S136" s="152" t="e">
        <f t="shared" si="45"/>
        <v>#REF!</v>
      </c>
      <c r="T136" s="152" t="e">
        <f>IF(#REF!&gt;#REF!,0,IF(#REF!&lt;#REF!,M136,IF(AND(#REF!&gt;=#REF!,#REF!&lt;=#REF!),(M136-Q136),IF(AND(#REF!&lt;=#REF!,#REF!&gt;=#REF!),0,IF(#REF!&gt;#REF!,((#REF!-#REF!)*12)*N136,0)))))</f>
        <v>#REF!</v>
      </c>
      <c r="U136" s="19"/>
    </row>
    <row r="137" spans="1:76" hidden="1" x14ac:dyDescent="0.25">
      <c r="A137" s="42"/>
      <c r="B137" s="42"/>
      <c r="C137" s="42" t="s">
        <v>172</v>
      </c>
      <c r="D137" s="42"/>
      <c r="E137" s="43">
        <v>1992</v>
      </c>
      <c r="F137" s="43">
        <v>12</v>
      </c>
      <c r="G137" s="43">
        <v>0</v>
      </c>
      <c r="H137" s="44" t="s">
        <v>42</v>
      </c>
      <c r="I137" s="34">
        <v>5</v>
      </c>
      <c r="J137" s="43">
        <f t="shared" si="41"/>
        <v>1997</v>
      </c>
      <c r="K137" s="43"/>
      <c r="L137" s="151">
        <v>2156</v>
      </c>
      <c r="M137" s="152">
        <f t="shared" si="42"/>
        <v>2156</v>
      </c>
      <c r="N137" s="152">
        <f t="shared" si="43"/>
        <v>35.93333333333333</v>
      </c>
      <c r="O137" s="152" t="e">
        <f>IF(#REF!&gt;0,0,IF(OR(#REF!&gt;#REF!,#REF!&lt;#REF!),0,IF(AND(#REF!&gt;=#REF!,#REF!&lt;=#REF!),N137*((#REF!-#REF!)*12),IF(AND(#REF!&lt;=#REF!,#REF!&gt;=#REF!),((#REF!-#REF!)*12)*N137,IF(#REF!&gt;#REF!,12*N137,0)))))</f>
        <v>#REF!</v>
      </c>
      <c r="P137" s="152" t="e">
        <f>IF(#REF!=0,0,IF(AND(#REF!&gt;=#REF!,#REF!&lt;=#REF!),((#REF!-#REF!)*12)*N137,0))</f>
        <v>#REF!</v>
      </c>
      <c r="Q137" s="152" t="e">
        <f t="shared" si="44"/>
        <v>#REF!</v>
      </c>
      <c r="R137" s="152">
        <v>1</v>
      </c>
      <c r="S137" s="152" t="e">
        <f t="shared" si="45"/>
        <v>#REF!</v>
      </c>
      <c r="T137" s="152" t="e">
        <f>IF(#REF!&gt;#REF!,0,IF(#REF!&lt;#REF!,M137,IF(AND(#REF!&gt;=#REF!,#REF!&lt;=#REF!),(M137-Q137),IF(AND(#REF!&lt;=#REF!,#REF!&gt;=#REF!),0,IF(#REF!&gt;#REF!,((#REF!-#REF!)*12)*N137,0)))))</f>
        <v>#REF!</v>
      </c>
      <c r="U137" s="19"/>
    </row>
    <row r="138" spans="1:76" hidden="1" x14ac:dyDescent="0.25">
      <c r="A138" s="42"/>
      <c r="B138" s="42"/>
      <c r="C138" s="42" t="s">
        <v>173</v>
      </c>
      <c r="D138" s="42"/>
      <c r="E138" s="43">
        <v>1993</v>
      </c>
      <c r="F138" s="43">
        <v>12</v>
      </c>
      <c r="G138" s="43">
        <v>0</v>
      </c>
      <c r="H138" s="44" t="s">
        <v>42</v>
      </c>
      <c r="I138" s="34">
        <v>5</v>
      </c>
      <c r="J138" s="43">
        <f t="shared" si="41"/>
        <v>1998</v>
      </c>
      <c r="K138" s="43"/>
      <c r="L138" s="151">
        <v>28638</v>
      </c>
      <c r="M138" s="152">
        <f t="shared" si="42"/>
        <v>28638</v>
      </c>
      <c r="N138" s="152">
        <f t="shared" si="43"/>
        <v>477.3</v>
      </c>
      <c r="O138" s="152" t="e">
        <f>IF(#REF!&gt;0,0,IF(OR(#REF!&gt;#REF!,#REF!&lt;#REF!),0,IF(AND(#REF!&gt;=#REF!,#REF!&lt;=#REF!),N138*((#REF!-#REF!)*12),IF(AND(#REF!&lt;=#REF!,#REF!&gt;=#REF!),((#REF!-#REF!)*12)*N138,IF(#REF!&gt;#REF!,12*N138,0)))))</f>
        <v>#REF!</v>
      </c>
      <c r="P138" s="152" t="e">
        <f>IF(#REF!=0,0,IF(AND(#REF!&gt;=#REF!,#REF!&lt;=#REF!),((#REF!-#REF!)*12)*N138,0))</f>
        <v>#REF!</v>
      </c>
      <c r="Q138" s="152" t="e">
        <f t="shared" si="44"/>
        <v>#REF!</v>
      </c>
      <c r="R138" s="152">
        <v>1</v>
      </c>
      <c r="S138" s="152" t="e">
        <f t="shared" si="45"/>
        <v>#REF!</v>
      </c>
      <c r="T138" s="152" t="e">
        <f>IF(#REF!&gt;#REF!,0,IF(#REF!&lt;#REF!,M138,IF(AND(#REF!&gt;=#REF!,#REF!&lt;=#REF!),(M138-Q138),IF(AND(#REF!&lt;=#REF!,#REF!&gt;=#REF!),0,IF(#REF!&gt;#REF!,((#REF!-#REF!)*12)*N138,0)))))</f>
        <v>#REF!</v>
      </c>
      <c r="U138" s="19"/>
    </row>
    <row r="139" spans="1:76" hidden="1" x14ac:dyDescent="0.25">
      <c r="A139" s="42"/>
      <c r="B139" s="42"/>
      <c r="C139" s="42" t="s">
        <v>174</v>
      </c>
      <c r="D139" s="42"/>
      <c r="E139" s="43">
        <v>1994</v>
      </c>
      <c r="F139" s="43">
        <v>5</v>
      </c>
      <c r="G139" s="43">
        <v>0</v>
      </c>
      <c r="H139" s="44" t="s">
        <v>42</v>
      </c>
      <c r="I139" s="44">
        <v>5</v>
      </c>
      <c r="J139" s="43">
        <f t="shared" si="41"/>
        <v>1999</v>
      </c>
      <c r="K139" s="43"/>
      <c r="L139" s="151">
        <v>6901</v>
      </c>
      <c r="M139" s="152">
        <f t="shared" si="42"/>
        <v>6901</v>
      </c>
      <c r="N139" s="152">
        <f t="shared" si="43"/>
        <v>115.01666666666667</v>
      </c>
      <c r="O139" s="152" t="e">
        <f>IF(#REF!&gt;0,0,IF(OR(#REF!&gt;#REF!,#REF!&lt;#REF!),0,IF(AND(#REF!&gt;=#REF!,#REF!&lt;=#REF!),N139*((#REF!-#REF!)*12),IF(AND(#REF!&lt;=#REF!,#REF!&gt;=#REF!),((#REF!-#REF!)*12)*N139,IF(#REF!&gt;#REF!,12*N139,0)))))</f>
        <v>#REF!</v>
      </c>
      <c r="P139" s="152" t="e">
        <f>IF(#REF!=0,0,IF(AND(#REF!&gt;=#REF!,#REF!&lt;=#REF!),((#REF!-#REF!)*12)*N139,0))</f>
        <v>#REF!</v>
      </c>
      <c r="Q139" s="152" t="e">
        <f t="shared" si="44"/>
        <v>#REF!</v>
      </c>
      <c r="R139" s="152">
        <v>1</v>
      </c>
      <c r="S139" s="152" t="e">
        <f t="shared" si="45"/>
        <v>#REF!</v>
      </c>
      <c r="T139" s="152" t="e">
        <f>IF(#REF!&gt;#REF!,0,IF(#REF!&lt;#REF!,M139,IF(AND(#REF!&gt;=#REF!,#REF!&lt;=#REF!),(M139-Q139),IF(AND(#REF!&lt;=#REF!,#REF!&gt;=#REF!),0,IF(#REF!&gt;#REF!,((#REF!-#REF!)*12)*N139,0)))))</f>
        <v>#REF!</v>
      </c>
      <c r="U139" s="19"/>
    </row>
    <row r="140" spans="1:76" hidden="1" x14ac:dyDescent="0.25">
      <c r="A140" s="42"/>
      <c r="B140" s="42"/>
      <c r="C140" s="42" t="s">
        <v>175</v>
      </c>
      <c r="D140" s="42"/>
      <c r="E140" s="43">
        <v>1995</v>
      </c>
      <c r="F140" s="43">
        <v>1</v>
      </c>
      <c r="G140" s="43">
        <v>0</v>
      </c>
      <c r="H140" s="44" t="s">
        <v>42</v>
      </c>
      <c r="I140" s="44">
        <v>5</v>
      </c>
      <c r="J140" s="43">
        <f t="shared" si="41"/>
        <v>2000</v>
      </c>
      <c r="K140" s="43"/>
      <c r="L140" s="151">
        <v>1694</v>
      </c>
      <c r="M140" s="152">
        <f t="shared" si="42"/>
        <v>1694</v>
      </c>
      <c r="N140" s="152">
        <f t="shared" si="43"/>
        <v>28.233333333333334</v>
      </c>
      <c r="O140" s="152" t="e">
        <f>IF(#REF!&gt;0,0,IF(OR(#REF!&gt;#REF!,#REF!&lt;#REF!),0,IF(AND(#REF!&gt;=#REF!,#REF!&lt;=#REF!),N140*((#REF!-#REF!)*12),IF(AND(#REF!&lt;=#REF!,#REF!&gt;=#REF!),((#REF!-#REF!)*12)*N140,IF(#REF!&gt;#REF!,12*N140,0)))))</f>
        <v>#REF!</v>
      </c>
      <c r="P140" s="152" t="e">
        <f>IF(#REF!=0,0,IF(AND(#REF!&gt;=#REF!,#REF!&lt;=#REF!),((#REF!-#REF!)*12)*N140,0))</f>
        <v>#REF!</v>
      </c>
      <c r="Q140" s="152" t="e">
        <f t="shared" si="44"/>
        <v>#REF!</v>
      </c>
      <c r="R140" s="152">
        <v>1</v>
      </c>
      <c r="S140" s="152" t="e">
        <f t="shared" si="45"/>
        <v>#REF!</v>
      </c>
      <c r="T140" s="152" t="e">
        <f>IF(#REF!&gt;#REF!,0,IF(#REF!&lt;#REF!,M140,IF(AND(#REF!&gt;=#REF!,#REF!&lt;=#REF!),(M140-Q140),IF(AND(#REF!&lt;=#REF!,#REF!&gt;=#REF!),0,IF(#REF!&gt;#REF!,((#REF!-#REF!)*12)*N140,0)))))</f>
        <v>#REF!</v>
      </c>
      <c r="U140" s="19"/>
    </row>
    <row r="141" spans="1:76" hidden="1" x14ac:dyDescent="0.25">
      <c r="A141" s="42"/>
      <c r="B141" s="42"/>
      <c r="C141" s="42" t="s">
        <v>176</v>
      </c>
      <c r="D141" s="42"/>
      <c r="E141" s="43">
        <v>1995</v>
      </c>
      <c r="F141" s="43">
        <v>1</v>
      </c>
      <c r="G141" s="43">
        <v>0</v>
      </c>
      <c r="H141" s="44" t="s">
        <v>42</v>
      </c>
      <c r="I141" s="44" t="s">
        <v>107</v>
      </c>
      <c r="J141" s="43">
        <f t="shared" si="41"/>
        <v>2005</v>
      </c>
      <c r="K141" s="43"/>
      <c r="L141" s="151">
        <v>13915</v>
      </c>
      <c r="M141" s="152">
        <f t="shared" si="42"/>
        <v>13915</v>
      </c>
      <c r="N141" s="152">
        <f t="shared" si="43"/>
        <v>115.95833333333333</v>
      </c>
      <c r="O141" s="152" t="e">
        <f>IF(#REF!&gt;0,0,IF(OR(#REF!&gt;#REF!,#REF!&lt;#REF!),0,IF(AND(#REF!&gt;=#REF!,#REF!&lt;=#REF!),N141*((#REF!-#REF!)*12),IF(AND(#REF!&lt;=#REF!,#REF!&gt;=#REF!),((#REF!-#REF!)*12)*N141,IF(#REF!&gt;#REF!,12*N141,0)))))</f>
        <v>#REF!</v>
      </c>
      <c r="P141" s="152" t="e">
        <f>IF(#REF!=0,0,IF(AND(#REF!&gt;=#REF!,#REF!&lt;=#REF!),((#REF!-#REF!)*12)*N141,0))</f>
        <v>#REF!</v>
      </c>
      <c r="Q141" s="152" t="e">
        <f t="shared" si="44"/>
        <v>#REF!</v>
      </c>
      <c r="R141" s="152">
        <v>1</v>
      </c>
      <c r="S141" s="152" t="e">
        <f t="shared" si="45"/>
        <v>#REF!</v>
      </c>
      <c r="T141" s="152" t="e">
        <f>IF(#REF!&gt;#REF!,0,IF(#REF!&lt;#REF!,M141,IF(AND(#REF!&gt;=#REF!,#REF!&lt;=#REF!),(M141-Q141),IF(AND(#REF!&lt;=#REF!,#REF!&gt;=#REF!),0,IF(#REF!&gt;#REF!,((#REF!-#REF!)*12)*N141,0)))))</f>
        <v>#REF!</v>
      </c>
      <c r="U141" s="19"/>
    </row>
    <row r="142" spans="1:76" hidden="1" x14ac:dyDescent="0.25">
      <c r="A142" s="42"/>
      <c r="B142" s="42"/>
      <c r="C142" s="42" t="s">
        <v>177</v>
      </c>
      <c r="D142" s="42"/>
      <c r="E142" s="43">
        <v>1995</v>
      </c>
      <c r="F142" s="43">
        <v>6</v>
      </c>
      <c r="G142" s="43">
        <v>0</v>
      </c>
      <c r="H142" s="44" t="s">
        <v>42</v>
      </c>
      <c r="I142" s="44">
        <v>5</v>
      </c>
      <c r="J142" s="43">
        <f t="shared" si="41"/>
        <v>2000</v>
      </c>
      <c r="K142" s="43"/>
      <c r="L142" s="151">
        <v>8809</v>
      </c>
      <c r="M142" s="152">
        <f t="shared" si="42"/>
        <v>8809</v>
      </c>
      <c r="N142" s="152">
        <f t="shared" si="43"/>
        <v>146.81666666666666</v>
      </c>
      <c r="O142" s="152" t="e">
        <f>IF(#REF!&gt;0,0,IF(OR(#REF!&gt;#REF!,#REF!&lt;#REF!),0,IF(AND(#REF!&gt;=#REF!,#REF!&lt;=#REF!),N142*((#REF!-#REF!)*12),IF(AND(#REF!&lt;=#REF!,#REF!&gt;=#REF!),((#REF!-#REF!)*12)*N142,IF(#REF!&gt;#REF!,12*N142,0)))))</f>
        <v>#REF!</v>
      </c>
      <c r="P142" s="152" t="e">
        <f>IF(#REF!=0,0,IF(AND(#REF!&gt;=#REF!,#REF!&lt;=#REF!),((#REF!-#REF!)*12)*N142,0))</f>
        <v>#REF!</v>
      </c>
      <c r="Q142" s="152" t="e">
        <f t="shared" si="44"/>
        <v>#REF!</v>
      </c>
      <c r="R142" s="152">
        <v>1</v>
      </c>
      <c r="S142" s="152" t="e">
        <f t="shared" si="45"/>
        <v>#REF!</v>
      </c>
      <c r="T142" s="152" t="e">
        <f>IF(#REF!&gt;#REF!,0,IF(#REF!&lt;#REF!,M142,IF(AND(#REF!&gt;=#REF!,#REF!&lt;=#REF!),(M142-Q142),IF(AND(#REF!&lt;=#REF!,#REF!&gt;=#REF!),0,IF(#REF!&gt;#REF!,((#REF!-#REF!)*12)*N142,0)))))</f>
        <v>#REF!</v>
      </c>
      <c r="U142" s="19"/>
    </row>
    <row r="143" spans="1:76" hidden="1" x14ac:dyDescent="0.25">
      <c r="A143" s="42"/>
      <c r="B143" s="42"/>
      <c r="C143" s="42" t="s">
        <v>178</v>
      </c>
      <c r="D143" s="42"/>
      <c r="E143" s="43">
        <v>1995</v>
      </c>
      <c r="F143" s="43">
        <v>8</v>
      </c>
      <c r="G143" s="43">
        <v>0</v>
      </c>
      <c r="H143" s="44" t="s">
        <v>42</v>
      </c>
      <c r="I143" s="44">
        <v>5</v>
      </c>
      <c r="J143" s="43">
        <f t="shared" si="41"/>
        <v>2000</v>
      </c>
      <c r="K143" s="43"/>
      <c r="L143" s="151">
        <v>4611</v>
      </c>
      <c r="M143" s="152">
        <f t="shared" si="42"/>
        <v>4611</v>
      </c>
      <c r="N143" s="152">
        <f t="shared" si="43"/>
        <v>76.850000000000009</v>
      </c>
      <c r="O143" s="152" t="e">
        <f>IF(#REF!&gt;0,0,IF(OR(#REF!&gt;#REF!,#REF!&lt;#REF!),0,IF(AND(#REF!&gt;=#REF!,#REF!&lt;=#REF!),N143*((#REF!-#REF!)*12),IF(AND(#REF!&lt;=#REF!,#REF!&gt;=#REF!),((#REF!-#REF!)*12)*N143,IF(#REF!&gt;#REF!,12*N143,0)))))</f>
        <v>#REF!</v>
      </c>
      <c r="P143" s="152" t="e">
        <f>IF(#REF!=0,0,IF(AND(#REF!&gt;=#REF!,#REF!&lt;=#REF!),((#REF!-#REF!)*12)*N143,0))</f>
        <v>#REF!</v>
      </c>
      <c r="Q143" s="152" t="e">
        <f t="shared" si="44"/>
        <v>#REF!</v>
      </c>
      <c r="R143" s="152">
        <v>1</v>
      </c>
      <c r="S143" s="152" t="e">
        <f t="shared" si="45"/>
        <v>#REF!</v>
      </c>
      <c r="T143" s="152" t="e">
        <f>IF(#REF!&gt;#REF!,0,IF(#REF!&lt;#REF!,M143,IF(AND(#REF!&gt;=#REF!,#REF!&lt;=#REF!),(M143-Q143),IF(AND(#REF!&lt;=#REF!,#REF!&gt;=#REF!),0,IF(#REF!&gt;#REF!,((#REF!-#REF!)*12)*N143,0)))))</f>
        <v>#REF!</v>
      </c>
      <c r="U143" s="19"/>
    </row>
    <row r="144" spans="1:76" hidden="1" x14ac:dyDescent="0.25">
      <c r="A144" s="42"/>
      <c r="B144" s="42"/>
      <c r="C144" s="42" t="s">
        <v>179</v>
      </c>
      <c r="D144" s="42"/>
      <c r="E144" s="43">
        <v>1996</v>
      </c>
      <c r="F144" s="43">
        <v>11</v>
      </c>
      <c r="G144" s="43">
        <v>0</v>
      </c>
      <c r="H144" s="44" t="s">
        <v>42</v>
      </c>
      <c r="I144" s="44">
        <v>5</v>
      </c>
      <c r="J144" s="43">
        <f t="shared" si="41"/>
        <v>2001</v>
      </c>
      <c r="K144" s="43"/>
      <c r="L144" s="151">
        <v>7631</v>
      </c>
      <c r="M144" s="152">
        <f t="shared" si="42"/>
        <v>7631</v>
      </c>
      <c r="N144" s="152">
        <f t="shared" si="43"/>
        <v>127.18333333333334</v>
      </c>
      <c r="O144" s="152" t="e">
        <f>IF(#REF!&gt;0,0,IF(OR(#REF!&gt;#REF!,#REF!&lt;#REF!),0,IF(AND(#REF!&gt;=#REF!,#REF!&lt;=#REF!),N144*((#REF!-#REF!)*12),IF(AND(#REF!&lt;=#REF!,#REF!&gt;=#REF!),((#REF!-#REF!)*12)*N144,IF(#REF!&gt;#REF!,12*N144,0)))))</f>
        <v>#REF!</v>
      </c>
      <c r="P144" s="152" t="e">
        <f>IF(#REF!=0,0,IF(AND(#REF!&gt;=#REF!,#REF!&lt;=#REF!),((#REF!-#REF!)*12)*N144,0))</f>
        <v>#REF!</v>
      </c>
      <c r="Q144" s="152" t="e">
        <f t="shared" si="44"/>
        <v>#REF!</v>
      </c>
      <c r="R144" s="152">
        <v>1</v>
      </c>
      <c r="S144" s="152" t="e">
        <f t="shared" si="45"/>
        <v>#REF!</v>
      </c>
      <c r="T144" s="152" t="e">
        <f>IF(#REF!&gt;#REF!,0,IF(#REF!&lt;#REF!,M144,IF(AND(#REF!&gt;=#REF!,#REF!&lt;=#REF!),(M144-Q144),IF(AND(#REF!&lt;=#REF!,#REF!&gt;=#REF!),0,IF(#REF!&gt;#REF!,((#REF!-#REF!)*12)*N144,0)))))</f>
        <v>#REF!</v>
      </c>
      <c r="U144" s="19"/>
    </row>
    <row r="145" spans="1:21" hidden="1" x14ac:dyDescent="0.25">
      <c r="A145" s="42"/>
      <c r="B145" s="42"/>
      <c r="C145" s="42" t="s">
        <v>180</v>
      </c>
      <c r="D145" s="42"/>
      <c r="E145" s="43">
        <v>1997</v>
      </c>
      <c r="F145" s="43">
        <v>3</v>
      </c>
      <c r="G145" s="43">
        <v>0</v>
      </c>
      <c r="H145" s="44" t="s">
        <v>42</v>
      </c>
      <c r="I145" s="44">
        <v>5</v>
      </c>
      <c r="J145" s="43">
        <f t="shared" si="41"/>
        <v>2002</v>
      </c>
      <c r="K145" s="43"/>
      <c r="L145" s="151">
        <v>864</v>
      </c>
      <c r="M145" s="152">
        <f t="shared" si="42"/>
        <v>864</v>
      </c>
      <c r="N145" s="152">
        <f t="shared" si="43"/>
        <v>14.4</v>
      </c>
      <c r="O145" s="152" t="e">
        <f>IF(#REF!&gt;0,0,IF(OR(#REF!&gt;#REF!,#REF!&lt;#REF!),0,IF(AND(#REF!&gt;=#REF!,#REF!&lt;=#REF!),N145*((#REF!-#REF!)*12),IF(AND(#REF!&lt;=#REF!,#REF!&gt;=#REF!),((#REF!-#REF!)*12)*N145,IF(#REF!&gt;#REF!,12*N145,0)))))</f>
        <v>#REF!</v>
      </c>
      <c r="P145" s="152" t="e">
        <f>IF(#REF!=0,0,IF(AND(#REF!&gt;=#REF!,#REF!&lt;=#REF!),((#REF!-#REF!)*12)*N145,0))</f>
        <v>#REF!</v>
      </c>
      <c r="Q145" s="152" t="e">
        <f t="shared" si="44"/>
        <v>#REF!</v>
      </c>
      <c r="R145" s="152">
        <v>1</v>
      </c>
      <c r="S145" s="152" t="e">
        <f t="shared" si="45"/>
        <v>#REF!</v>
      </c>
      <c r="T145" s="152" t="e">
        <f>IF(#REF!&gt;#REF!,0,IF(#REF!&lt;#REF!,M145,IF(AND(#REF!&gt;=#REF!,#REF!&lt;=#REF!),(M145-Q145),IF(AND(#REF!&lt;=#REF!,#REF!&gt;=#REF!),0,IF(#REF!&gt;#REF!,((#REF!-#REF!)*12)*N145,0)))))</f>
        <v>#REF!</v>
      </c>
      <c r="U145" s="19"/>
    </row>
    <row r="146" spans="1:21" hidden="1" x14ac:dyDescent="0.25">
      <c r="A146" s="42"/>
      <c r="B146" s="42"/>
      <c r="C146" s="42" t="s">
        <v>181</v>
      </c>
      <c r="D146" s="42"/>
      <c r="E146" s="43">
        <v>1997</v>
      </c>
      <c r="F146" s="43">
        <v>12</v>
      </c>
      <c r="G146" s="43">
        <v>0</v>
      </c>
      <c r="H146" s="44" t="s">
        <v>42</v>
      </c>
      <c r="I146" s="44">
        <v>5</v>
      </c>
      <c r="J146" s="43">
        <f t="shared" si="41"/>
        <v>2002</v>
      </c>
      <c r="K146" s="43"/>
      <c r="L146" s="151">
        <v>6870</v>
      </c>
      <c r="M146" s="152">
        <f t="shared" si="42"/>
        <v>6870</v>
      </c>
      <c r="N146" s="152">
        <f t="shared" si="43"/>
        <v>114.5</v>
      </c>
      <c r="O146" s="152" t="e">
        <f>IF(#REF!&gt;0,0,IF(OR(#REF!&gt;#REF!,#REF!&lt;#REF!),0,IF(AND(#REF!&gt;=#REF!,#REF!&lt;=#REF!),N146*((#REF!-#REF!)*12),IF(AND(#REF!&lt;=#REF!,#REF!&gt;=#REF!),((#REF!-#REF!)*12)*N146,IF(#REF!&gt;#REF!,12*N146,0)))))</f>
        <v>#REF!</v>
      </c>
      <c r="P146" s="152" t="e">
        <f>IF(#REF!=0,0,IF(AND(#REF!&gt;=#REF!,#REF!&lt;=#REF!),((#REF!-#REF!)*12)*N146,0))</f>
        <v>#REF!</v>
      </c>
      <c r="Q146" s="152" t="e">
        <f t="shared" si="44"/>
        <v>#REF!</v>
      </c>
      <c r="R146" s="152">
        <v>1</v>
      </c>
      <c r="S146" s="152" t="e">
        <f t="shared" si="45"/>
        <v>#REF!</v>
      </c>
      <c r="T146" s="152" t="e">
        <f>IF(#REF!&gt;#REF!,0,IF(#REF!&lt;#REF!,M146,IF(AND(#REF!&gt;=#REF!,#REF!&lt;=#REF!),(M146-Q146),IF(AND(#REF!&lt;=#REF!,#REF!&gt;=#REF!),0,IF(#REF!&gt;#REF!,((#REF!-#REF!)*12)*N146,0)))))</f>
        <v>#REF!</v>
      </c>
      <c r="U146" s="19"/>
    </row>
    <row r="147" spans="1:21" hidden="1" x14ac:dyDescent="0.25">
      <c r="A147" s="42"/>
      <c r="B147" s="42"/>
      <c r="C147" s="42" t="s">
        <v>182</v>
      </c>
      <c r="D147" s="42"/>
      <c r="E147" s="43">
        <v>1998</v>
      </c>
      <c r="F147" s="43">
        <v>11</v>
      </c>
      <c r="G147" s="43">
        <v>0</v>
      </c>
      <c r="H147" s="44" t="s">
        <v>42</v>
      </c>
      <c r="I147" s="44">
        <v>5</v>
      </c>
      <c r="J147" s="43">
        <f t="shared" si="41"/>
        <v>2003</v>
      </c>
      <c r="K147" s="43"/>
      <c r="L147" s="151">
        <v>4139.99</v>
      </c>
      <c r="M147" s="152">
        <f t="shared" si="42"/>
        <v>4139.99</v>
      </c>
      <c r="N147" s="152">
        <f t="shared" si="43"/>
        <v>68.999833333333328</v>
      </c>
      <c r="O147" s="152" t="e">
        <f>IF(#REF!&gt;0,0,IF(OR(#REF!&gt;#REF!,#REF!&lt;#REF!),0,IF(AND(#REF!&gt;=#REF!,#REF!&lt;=#REF!),N147*((#REF!-#REF!)*12),IF(AND(#REF!&lt;=#REF!,#REF!&gt;=#REF!),((#REF!-#REF!)*12)*N147,IF(#REF!&gt;#REF!,12*N147,0)))))</f>
        <v>#REF!</v>
      </c>
      <c r="P147" s="152" t="e">
        <f>IF(#REF!=0,0,IF(AND(#REF!&gt;=#REF!,#REF!&lt;=#REF!),((#REF!-#REF!)*12)*N147,0))</f>
        <v>#REF!</v>
      </c>
      <c r="Q147" s="152" t="e">
        <f t="shared" si="44"/>
        <v>#REF!</v>
      </c>
      <c r="R147" s="152">
        <v>1</v>
      </c>
      <c r="S147" s="152" t="e">
        <f t="shared" si="45"/>
        <v>#REF!</v>
      </c>
      <c r="T147" s="152" t="e">
        <f>IF(#REF!&gt;#REF!,0,IF(#REF!&lt;#REF!,M147,IF(AND(#REF!&gt;=#REF!,#REF!&lt;=#REF!),(M147-Q147),IF(AND(#REF!&lt;=#REF!,#REF!&gt;=#REF!),0,IF(#REF!&gt;#REF!,((#REF!-#REF!)*12)*N147,0)))))</f>
        <v>#REF!</v>
      </c>
      <c r="U147" s="19"/>
    </row>
    <row r="148" spans="1:21" hidden="1" x14ac:dyDescent="0.25">
      <c r="A148" s="42"/>
      <c r="B148" s="42"/>
      <c r="C148" s="42" t="s">
        <v>183</v>
      </c>
      <c r="D148" s="42"/>
      <c r="E148" s="43">
        <v>1999</v>
      </c>
      <c r="F148" s="43">
        <v>7</v>
      </c>
      <c r="G148" s="43">
        <v>0</v>
      </c>
      <c r="H148" s="44" t="s">
        <v>42</v>
      </c>
      <c r="I148" s="44">
        <v>5</v>
      </c>
      <c r="J148" s="43">
        <f t="shared" si="41"/>
        <v>2004</v>
      </c>
      <c r="K148" s="43"/>
      <c r="L148" s="151">
        <v>26710</v>
      </c>
      <c r="M148" s="152">
        <f t="shared" si="42"/>
        <v>26710</v>
      </c>
      <c r="N148" s="152">
        <f t="shared" si="43"/>
        <v>445.16666666666669</v>
      </c>
      <c r="O148" s="152" t="e">
        <f>IF(#REF!&gt;0,0,IF(OR(#REF!&gt;#REF!,#REF!&lt;#REF!),0,IF(AND(#REF!&gt;=#REF!,#REF!&lt;=#REF!),N148*((#REF!-#REF!)*12),IF(AND(#REF!&lt;=#REF!,#REF!&gt;=#REF!),((#REF!-#REF!)*12)*N148,IF(#REF!&gt;#REF!,12*N148,0)))))</f>
        <v>#REF!</v>
      </c>
      <c r="P148" s="152" t="e">
        <f>IF(#REF!=0,0,IF(AND(#REF!&gt;=#REF!,#REF!&lt;=#REF!),((#REF!-#REF!)*12)*N148,0))</f>
        <v>#REF!</v>
      </c>
      <c r="Q148" s="152" t="e">
        <f t="shared" si="44"/>
        <v>#REF!</v>
      </c>
      <c r="R148" s="152">
        <v>1</v>
      </c>
      <c r="S148" s="152" t="e">
        <f t="shared" si="45"/>
        <v>#REF!</v>
      </c>
      <c r="T148" s="152" t="e">
        <f>IF(#REF!&gt;#REF!,0,IF(#REF!&lt;#REF!,M148,IF(AND(#REF!&gt;=#REF!,#REF!&lt;=#REF!),(M148-Q148),IF(AND(#REF!&lt;=#REF!,#REF!&gt;=#REF!),0,IF(#REF!&gt;#REF!,((#REF!-#REF!)*12)*N148,0)))))</f>
        <v>#REF!</v>
      </c>
      <c r="U148" s="19"/>
    </row>
    <row r="149" spans="1:21" hidden="1" x14ac:dyDescent="0.25">
      <c r="A149" s="42"/>
      <c r="B149" s="42"/>
      <c r="C149" s="42" t="s">
        <v>184</v>
      </c>
      <c r="D149" s="42"/>
      <c r="E149" s="43">
        <v>1999</v>
      </c>
      <c r="F149" s="43">
        <v>7</v>
      </c>
      <c r="G149" s="43">
        <v>0</v>
      </c>
      <c r="H149" s="44" t="s">
        <v>42</v>
      </c>
      <c r="I149" s="44">
        <v>5</v>
      </c>
      <c r="J149" s="43">
        <f t="shared" si="41"/>
        <v>2004</v>
      </c>
      <c r="K149" s="43"/>
      <c r="L149" s="151">
        <v>84627.09</v>
      </c>
      <c r="M149" s="152">
        <f t="shared" si="42"/>
        <v>84627.09</v>
      </c>
      <c r="N149" s="152">
        <f t="shared" si="43"/>
        <v>1410.4514999999999</v>
      </c>
      <c r="O149" s="152" t="e">
        <f>IF(#REF!&gt;0,0,IF(OR(#REF!&gt;#REF!,#REF!&lt;#REF!),0,IF(AND(#REF!&gt;=#REF!,#REF!&lt;=#REF!),N149*((#REF!-#REF!)*12),IF(AND(#REF!&lt;=#REF!,#REF!&gt;=#REF!),((#REF!-#REF!)*12)*N149,IF(#REF!&gt;#REF!,12*N149,0)))))</f>
        <v>#REF!</v>
      </c>
      <c r="P149" s="152" t="e">
        <f>IF(#REF!=0,0,IF(AND(#REF!&gt;=#REF!,#REF!&lt;=#REF!),((#REF!-#REF!)*12)*N149,0))</f>
        <v>#REF!</v>
      </c>
      <c r="Q149" s="152" t="e">
        <f t="shared" si="44"/>
        <v>#REF!</v>
      </c>
      <c r="R149" s="152">
        <v>1</v>
      </c>
      <c r="S149" s="152" t="e">
        <f t="shared" si="45"/>
        <v>#REF!</v>
      </c>
      <c r="T149" s="152" t="e">
        <f>IF(#REF!&gt;#REF!,0,IF(#REF!&lt;#REF!,M149,IF(AND(#REF!&gt;=#REF!,#REF!&lt;=#REF!),(M149-Q149),IF(AND(#REF!&lt;=#REF!,#REF!&gt;=#REF!),0,IF(#REF!&gt;#REF!,((#REF!-#REF!)*12)*N149,0)))))</f>
        <v>#REF!</v>
      </c>
      <c r="U149" s="19"/>
    </row>
    <row r="150" spans="1:21" hidden="1" x14ac:dyDescent="0.25">
      <c r="A150" s="42"/>
      <c r="B150" s="42"/>
      <c r="C150" s="42" t="s">
        <v>185</v>
      </c>
      <c r="D150" s="42"/>
      <c r="E150" s="43">
        <v>1999</v>
      </c>
      <c r="F150" s="43">
        <v>8</v>
      </c>
      <c r="G150" s="43">
        <v>0</v>
      </c>
      <c r="H150" s="44" t="s">
        <v>42</v>
      </c>
      <c r="I150" s="44">
        <v>5</v>
      </c>
      <c r="J150" s="43">
        <f t="shared" si="41"/>
        <v>2004</v>
      </c>
      <c r="K150" s="43"/>
      <c r="L150" s="151">
        <v>56850.76</v>
      </c>
      <c r="M150" s="152">
        <f t="shared" si="42"/>
        <v>56850.76</v>
      </c>
      <c r="N150" s="152">
        <f t="shared" si="43"/>
        <v>947.51266666666663</v>
      </c>
      <c r="O150" s="152" t="e">
        <f>IF(#REF!&gt;0,0,IF(OR(#REF!&gt;#REF!,#REF!&lt;#REF!),0,IF(AND(#REF!&gt;=#REF!,#REF!&lt;=#REF!),N150*((#REF!-#REF!)*12),IF(AND(#REF!&lt;=#REF!,#REF!&gt;=#REF!),((#REF!-#REF!)*12)*N150,IF(#REF!&gt;#REF!,12*N150,0)))))</f>
        <v>#REF!</v>
      </c>
      <c r="P150" s="152" t="e">
        <f>IF(#REF!=0,0,IF(AND(#REF!&gt;=#REF!,#REF!&lt;=#REF!),((#REF!-#REF!)*12)*N150,0))</f>
        <v>#REF!</v>
      </c>
      <c r="Q150" s="152" t="e">
        <f t="shared" si="44"/>
        <v>#REF!</v>
      </c>
      <c r="R150" s="152">
        <v>1</v>
      </c>
      <c r="S150" s="152" t="e">
        <f t="shared" si="45"/>
        <v>#REF!</v>
      </c>
      <c r="T150" s="152" t="e">
        <f>IF(#REF!&gt;#REF!,0,IF(#REF!&lt;#REF!,M150,IF(AND(#REF!&gt;=#REF!,#REF!&lt;=#REF!),(M150-Q150),IF(AND(#REF!&lt;=#REF!,#REF!&gt;=#REF!),0,IF(#REF!&gt;#REF!,((#REF!-#REF!)*12)*N150,0)))))</f>
        <v>#REF!</v>
      </c>
      <c r="U150" s="19"/>
    </row>
    <row r="151" spans="1:21" hidden="1" x14ac:dyDescent="0.25">
      <c r="A151" s="42"/>
      <c r="B151" s="42"/>
      <c r="C151" s="42" t="s">
        <v>186</v>
      </c>
      <c r="D151" s="42"/>
      <c r="E151" s="43">
        <v>2000</v>
      </c>
      <c r="F151" s="43">
        <v>6</v>
      </c>
      <c r="G151" s="43">
        <v>0</v>
      </c>
      <c r="H151" s="44" t="s">
        <v>42</v>
      </c>
      <c r="I151" s="44">
        <v>5</v>
      </c>
      <c r="J151" s="43">
        <f t="shared" si="41"/>
        <v>2005</v>
      </c>
      <c r="K151" s="43"/>
      <c r="L151" s="151">
        <v>4231.67</v>
      </c>
      <c r="M151" s="152">
        <f t="shared" si="42"/>
        <v>4231.67</v>
      </c>
      <c r="N151" s="152">
        <f t="shared" si="43"/>
        <v>70.527833333333334</v>
      </c>
      <c r="O151" s="152" t="e">
        <f>IF(#REF!&gt;0,0,IF(OR(#REF!&gt;#REF!,#REF!&lt;#REF!),0,IF(AND(#REF!&gt;=#REF!,#REF!&lt;=#REF!),N151*((#REF!-#REF!)*12),IF(AND(#REF!&lt;=#REF!,#REF!&gt;=#REF!),((#REF!-#REF!)*12)*N151,IF(#REF!&gt;#REF!,12*N151,0)))))</f>
        <v>#REF!</v>
      </c>
      <c r="P151" s="152" t="e">
        <f>IF(#REF!=0,0,IF(AND(#REF!&gt;=#REF!,#REF!&lt;=#REF!),((#REF!-#REF!)*12)*N151,0))</f>
        <v>#REF!</v>
      </c>
      <c r="Q151" s="152" t="e">
        <f t="shared" si="44"/>
        <v>#REF!</v>
      </c>
      <c r="R151" s="152">
        <v>1</v>
      </c>
      <c r="S151" s="152" t="e">
        <f t="shared" si="45"/>
        <v>#REF!</v>
      </c>
      <c r="T151" s="152" t="e">
        <f>IF(#REF!&gt;#REF!,0,IF(#REF!&lt;#REF!,M151,IF(AND(#REF!&gt;=#REF!,#REF!&lt;=#REF!),(M151-Q151),IF(AND(#REF!&lt;=#REF!,#REF!&gt;=#REF!),0,IF(#REF!&gt;#REF!,((#REF!-#REF!)*12)*N151,0)))))</f>
        <v>#REF!</v>
      </c>
      <c r="U151" s="19"/>
    </row>
    <row r="152" spans="1:21" hidden="1" x14ac:dyDescent="0.25">
      <c r="A152" s="42"/>
      <c r="B152" s="42"/>
      <c r="C152" s="42" t="s">
        <v>187</v>
      </c>
      <c r="D152" s="42"/>
      <c r="E152" s="43">
        <v>2001</v>
      </c>
      <c r="F152" s="43">
        <v>5</v>
      </c>
      <c r="G152" s="43">
        <v>0</v>
      </c>
      <c r="H152" s="44" t="s">
        <v>42</v>
      </c>
      <c r="I152" s="44">
        <v>5</v>
      </c>
      <c r="J152" s="43">
        <f t="shared" si="41"/>
        <v>2006</v>
      </c>
      <c r="K152" s="43"/>
      <c r="L152" s="151">
        <v>6368.7</v>
      </c>
      <c r="M152" s="152">
        <f t="shared" si="42"/>
        <v>6368.7</v>
      </c>
      <c r="N152" s="152">
        <f t="shared" si="43"/>
        <v>106.145</v>
      </c>
      <c r="O152" s="152" t="e">
        <f>IF(#REF!&gt;0,0,IF(OR(#REF!&gt;#REF!,#REF!&lt;#REF!),0,IF(AND(#REF!&gt;=#REF!,#REF!&lt;=#REF!),N152*((#REF!-#REF!)*12),IF(AND(#REF!&lt;=#REF!,#REF!&gt;=#REF!),((#REF!-#REF!)*12)*N152,IF(#REF!&gt;#REF!,12*N152,0)))))</f>
        <v>#REF!</v>
      </c>
      <c r="P152" s="152" t="e">
        <f>IF(#REF!=0,0,IF(AND(#REF!&gt;=#REF!,#REF!&lt;=#REF!),((#REF!-#REF!)*12)*N152,0))</f>
        <v>#REF!</v>
      </c>
      <c r="Q152" s="152" t="e">
        <f t="shared" si="44"/>
        <v>#REF!</v>
      </c>
      <c r="R152" s="152">
        <v>1</v>
      </c>
      <c r="S152" s="152" t="e">
        <f t="shared" si="45"/>
        <v>#REF!</v>
      </c>
      <c r="T152" s="152" t="e">
        <f>IF(#REF!&gt;#REF!,0,IF(#REF!&lt;#REF!,M152,IF(AND(#REF!&gt;=#REF!,#REF!&lt;=#REF!),(M152-Q152),IF(AND(#REF!&lt;=#REF!,#REF!&gt;=#REF!),0,IF(#REF!&gt;#REF!,((#REF!-#REF!)*12)*N152,0)))))</f>
        <v>#REF!</v>
      </c>
      <c r="U152" s="19"/>
    </row>
    <row r="153" spans="1:21" hidden="1" x14ac:dyDescent="0.25">
      <c r="A153" s="42"/>
      <c r="B153" s="42"/>
      <c r="C153" s="42" t="s">
        <v>188</v>
      </c>
      <c r="D153" s="42"/>
      <c r="E153" s="43">
        <v>2001</v>
      </c>
      <c r="F153" s="43">
        <v>5</v>
      </c>
      <c r="G153" s="43">
        <v>0</v>
      </c>
      <c r="H153" s="44" t="s">
        <v>42</v>
      </c>
      <c r="I153" s="44">
        <v>5</v>
      </c>
      <c r="J153" s="43">
        <f t="shared" si="41"/>
        <v>2006</v>
      </c>
      <c r="K153" s="43"/>
      <c r="L153" s="151">
        <v>6412.69</v>
      </c>
      <c r="M153" s="152">
        <f t="shared" si="42"/>
        <v>6412.69</v>
      </c>
      <c r="N153" s="152">
        <f t="shared" si="43"/>
        <v>106.87816666666667</v>
      </c>
      <c r="O153" s="152" t="e">
        <f>IF(#REF!&gt;0,0,IF(OR(#REF!&gt;#REF!,#REF!&lt;#REF!),0,IF(AND(#REF!&gt;=#REF!,#REF!&lt;=#REF!),N153*((#REF!-#REF!)*12),IF(AND(#REF!&lt;=#REF!,#REF!&gt;=#REF!),((#REF!-#REF!)*12)*N153,IF(#REF!&gt;#REF!,12*N153,0)))))</f>
        <v>#REF!</v>
      </c>
      <c r="P153" s="152" t="e">
        <f>IF(#REF!=0,0,IF(AND(#REF!&gt;=#REF!,#REF!&lt;=#REF!),((#REF!-#REF!)*12)*N153,0))</f>
        <v>#REF!</v>
      </c>
      <c r="Q153" s="152" t="e">
        <f t="shared" si="44"/>
        <v>#REF!</v>
      </c>
      <c r="R153" s="152">
        <v>1</v>
      </c>
      <c r="S153" s="152" t="e">
        <f t="shared" si="45"/>
        <v>#REF!</v>
      </c>
      <c r="T153" s="152" t="e">
        <f>IF(#REF!&gt;#REF!,0,IF(#REF!&lt;#REF!,M153,IF(AND(#REF!&gt;=#REF!,#REF!&lt;=#REF!),(M153-Q153),IF(AND(#REF!&lt;=#REF!,#REF!&gt;=#REF!),0,IF(#REF!&gt;#REF!,((#REF!-#REF!)*12)*N153,0)))))</f>
        <v>#REF!</v>
      </c>
      <c r="U153" s="19"/>
    </row>
    <row r="154" spans="1:21" hidden="1" x14ac:dyDescent="0.25">
      <c r="A154" s="42"/>
      <c r="B154" s="42"/>
      <c r="C154" s="42" t="s">
        <v>189</v>
      </c>
      <c r="D154" s="42"/>
      <c r="E154" s="43">
        <v>2001</v>
      </c>
      <c r="F154" s="43">
        <v>10</v>
      </c>
      <c r="G154" s="43">
        <v>0</v>
      </c>
      <c r="H154" s="44" t="s">
        <v>42</v>
      </c>
      <c r="I154" s="44">
        <v>5</v>
      </c>
      <c r="J154" s="43">
        <f t="shared" si="41"/>
        <v>2006</v>
      </c>
      <c r="K154" s="43"/>
      <c r="L154" s="151">
        <v>4448.5</v>
      </c>
      <c r="M154" s="152">
        <f t="shared" si="42"/>
        <v>4448.5</v>
      </c>
      <c r="N154" s="152">
        <f t="shared" si="43"/>
        <v>74.141666666666666</v>
      </c>
      <c r="O154" s="152" t="e">
        <f>IF(#REF!&gt;0,0,IF(OR(#REF!&gt;#REF!,#REF!&lt;#REF!),0,IF(AND(#REF!&gt;=#REF!,#REF!&lt;=#REF!),N154*((#REF!-#REF!)*12),IF(AND(#REF!&lt;=#REF!,#REF!&gt;=#REF!),((#REF!-#REF!)*12)*N154,IF(#REF!&gt;#REF!,12*N154,0)))))</f>
        <v>#REF!</v>
      </c>
      <c r="P154" s="152" t="e">
        <f>IF(#REF!=0,0,IF(AND(#REF!&gt;=#REF!,#REF!&lt;=#REF!),((#REF!-#REF!)*12)*N154,0))</f>
        <v>#REF!</v>
      </c>
      <c r="Q154" s="152" t="e">
        <f t="shared" si="44"/>
        <v>#REF!</v>
      </c>
      <c r="R154" s="152">
        <v>1</v>
      </c>
      <c r="S154" s="152" t="e">
        <f t="shared" si="45"/>
        <v>#REF!</v>
      </c>
      <c r="T154" s="152" t="e">
        <f>IF(#REF!&gt;#REF!,0,IF(#REF!&lt;#REF!,M154,IF(AND(#REF!&gt;=#REF!,#REF!&lt;=#REF!),(M154-Q154),IF(AND(#REF!&lt;=#REF!,#REF!&gt;=#REF!),0,IF(#REF!&gt;#REF!,((#REF!-#REF!)*12)*N154,0)))))</f>
        <v>#REF!</v>
      </c>
      <c r="U154" s="19"/>
    </row>
    <row r="155" spans="1:21" hidden="1" x14ac:dyDescent="0.25">
      <c r="A155" s="42"/>
      <c r="B155" s="42"/>
      <c r="C155" s="42" t="s">
        <v>190</v>
      </c>
      <c r="D155" s="42"/>
      <c r="E155" s="43">
        <v>2001</v>
      </c>
      <c r="F155" s="43">
        <v>10</v>
      </c>
      <c r="G155" s="43">
        <v>0</v>
      </c>
      <c r="H155" s="44" t="s">
        <v>42</v>
      </c>
      <c r="I155" s="44">
        <v>5</v>
      </c>
      <c r="J155" s="43">
        <f t="shared" si="41"/>
        <v>2006</v>
      </c>
      <c r="K155" s="43"/>
      <c r="L155" s="151">
        <v>5381.88</v>
      </c>
      <c r="M155" s="152">
        <f t="shared" si="42"/>
        <v>5381.88</v>
      </c>
      <c r="N155" s="152">
        <f t="shared" si="43"/>
        <v>89.697999999999993</v>
      </c>
      <c r="O155" s="152" t="e">
        <f>IF(#REF!&gt;0,0,IF(OR(#REF!&gt;#REF!,#REF!&lt;#REF!),0,IF(AND(#REF!&gt;=#REF!,#REF!&lt;=#REF!),N155*((#REF!-#REF!)*12),IF(AND(#REF!&lt;=#REF!,#REF!&gt;=#REF!),((#REF!-#REF!)*12)*N155,IF(#REF!&gt;#REF!,12*N155,0)))))</f>
        <v>#REF!</v>
      </c>
      <c r="P155" s="152" t="e">
        <f>IF(#REF!=0,0,IF(AND(#REF!&gt;=#REF!,#REF!&lt;=#REF!),((#REF!-#REF!)*12)*N155,0))</f>
        <v>#REF!</v>
      </c>
      <c r="Q155" s="152" t="e">
        <f t="shared" si="44"/>
        <v>#REF!</v>
      </c>
      <c r="R155" s="152">
        <v>1</v>
      </c>
      <c r="S155" s="152" t="e">
        <f t="shared" si="45"/>
        <v>#REF!</v>
      </c>
      <c r="T155" s="152" t="e">
        <f>IF(#REF!&gt;#REF!,0,IF(#REF!&lt;#REF!,M155,IF(AND(#REF!&gt;=#REF!,#REF!&lt;=#REF!),(M155-Q155),IF(AND(#REF!&lt;=#REF!,#REF!&gt;=#REF!),0,IF(#REF!&gt;#REF!,((#REF!-#REF!)*12)*N155,0)))))</f>
        <v>#REF!</v>
      </c>
      <c r="U155" s="19"/>
    </row>
    <row r="156" spans="1:21" hidden="1" x14ac:dyDescent="0.25">
      <c r="A156" s="42"/>
      <c r="B156" s="42"/>
      <c r="C156" s="42" t="s">
        <v>191</v>
      </c>
      <c r="D156" s="42"/>
      <c r="E156" s="43">
        <v>2005</v>
      </c>
      <c r="F156" s="43">
        <v>11</v>
      </c>
      <c r="G156" s="43">
        <v>0</v>
      </c>
      <c r="H156" s="44" t="s">
        <v>42</v>
      </c>
      <c r="I156" s="34">
        <v>5</v>
      </c>
      <c r="J156" s="43">
        <f t="shared" si="41"/>
        <v>2010</v>
      </c>
      <c r="K156" s="43"/>
      <c r="L156" s="151">
        <v>17513.259999999998</v>
      </c>
      <c r="M156" s="152">
        <f t="shared" si="42"/>
        <v>17513.259999999998</v>
      </c>
      <c r="N156" s="152">
        <f t="shared" si="43"/>
        <v>291.88766666666663</v>
      </c>
      <c r="O156" s="152" t="e">
        <f>IF(#REF!&gt;0,0,IF(OR(#REF!&gt;#REF!,#REF!&lt;#REF!),0,IF(AND(#REF!&gt;=#REF!,#REF!&lt;=#REF!),N156*((#REF!-#REF!)*12),IF(AND(#REF!&lt;=#REF!,#REF!&gt;=#REF!),((#REF!-#REF!)*12)*N156,IF(#REF!&gt;#REF!,12*N156,0)))))</f>
        <v>#REF!</v>
      </c>
      <c r="P156" s="152" t="e">
        <f>IF(#REF!=0,0,IF(AND(#REF!&gt;=#REF!,#REF!&lt;=#REF!),((#REF!-#REF!)*12)*N156,0))</f>
        <v>#REF!</v>
      </c>
      <c r="Q156" s="152" t="e">
        <f t="shared" si="44"/>
        <v>#REF!</v>
      </c>
      <c r="R156" s="152">
        <v>1</v>
      </c>
      <c r="S156" s="152" t="e">
        <f t="shared" si="45"/>
        <v>#REF!</v>
      </c>
      <c r="T156" s="152" t="e">
        <f>IF(#REF!&gt;#REF!,0,IF(#REF!&lt;#REF!,M156,IF(AND(#REF!&gt;=#REF!,#REF!&lt;=#REF!),(M156-Q156),IF(AND(#REF!&lt;=#REF!,#REF!&gt;=#REF!),0,IF(#REF!&gt;#REF!,((#REF!-#REF!)*12)*N156,0)))))</f>
        <v>#REF!</v>
      </c>
      <c r="U156" s="19"/>
    </row>
    <row r="157" spans="1:21" hidden="1" x14ac:dyDescent="0.25">
      <c r="A157" s="42"/>
      <c r="B157" s="42"/>
      <c r="C157" s="42" t="s">
        <v>191</v>
      </c>
      <c r="D157" s="42"/>
      <c r="E157" s="43">
        <v>2005</v>
      </c>
      <c r="F157" s="43">
        <v>12</v>
      </c>
      <c r="G157" s="43">
        <v>0</v>
      </c>
      <c r="H157" s="44" t="s">
        <v>42</v>
      </c>
      <c r="I157" s="34">
        <v>5</v>
      </c>
      <c r="J157" s="43">
        <f t="shared" si="41"/>
        <v>2010</v>
      </c>
      <c r="K157" s="43"/>
      <c r="L157" s="151">
        <v>46611.59</v>
      </c>
      <c r="M157" s="152">
        <f t="shared" si="42"/>
        <v>46611.59</v>
      </c>
      <c r="N157" s="152">
        <f t="shared" si="43"/>
        <v>776.85983333333331</v>
      </c>
      <c r="O157" s="152" t="e">
        <f>IF(#REF!&gt;0,0,IF(OR(#REF!&gt;#REF!,#REF!&lt;#REF!),0,IF(AND(#REF!&gt;=#REF!,#REF!&lt;=#REF!),N157*((#REF!-#REF!)*12),IF(AND(#REF!&lt;=#REF!,#REF!&gt;=#REF!),((#REF!-#REF!)*12)*N157,IF(#REF!&gt;#REF!,12*N157,0)))))</f>
        <v>#REF!</v>
      </c>
      <c r="P157" s="152" t="e">
        <f>IF(#REF!=0,0,IF(AND(#REF!&gt;=#REF!,#REF!&lt;=#REF!),((#REF!-#REF!)*12)*N157,0))</f>
        <v>#REF!</v>
      </c>
      <c r="Q157" s="152" t="e">
        <f t="shared" si="44"/>
        <v>#REF!</v>
      </c>
      <c r="R157" s="152">
        <v>1</v>
      </c>
      <c r="S157" s="152" t="e">
        <f t="shared" si="45"/>
        <v>#REF!</v>
      </c>
      <c r="T157" s="152" t="e">
        <f>IF(#REF!&gt;#REF!,0,IF(#REF!&lt;#REF!,M157,IF(AND(#REF!&gt;=#REF!,#REF!&lt;=#REF!),(M157-Q157),IF(AND(#REF!&lt;=#REF!,#REF!&gt;=#REF!),0,IF(#REF!&gt;#REF!,((#REF!-#REF!)*12)*N157,0)))))</f>
        <v>#REF!</v>
      </c>
      <c r="U157" s="19"/>
    </row>
    <row r="158" spans="1:21" hidden="1" x14ac:dyDescent="0.25">
      <c r="A158" s="42"/>
      <c r="B158" s="42"/>
      <c r="C158" s="42" t="s">
        <v>192</v>
      </c>
      <c r="D158" s="42"/>
      <c r="E158" s="43">
        <v>2008</v>
      </c>
      <c r="F158" s="43">
        <v>12</v>
      </c>
      <c r="G158" s="43">
        <v>0</v>
      </c>
      <c r="H158" s="44" t="s">
        <v>42</v>
      </c>
      <c r="I158" s="44">
        <v>3</v>
      </c>
      <c r="J158" s="43">
        <f t="shared" si="41"/>
        <v>2011</v>
      </c>
      <c r="K158" s="43"/>
      <c r="L158" s="151">
        <v>2500</v>
      </c>
      <c r="M158" s="152">
        <f t="shared" si="42"/>
        <v>2500</v>
      </c>
      <c r="N158" s="152">
        <f t="shared" si="43"/>
        <v>69.444444444444443</v>
      </c>
      <c r="O158" s="152" t="e">
        <f>IF(#REF!&gt;0,0,IF(OR(#REF!&gt;#REF!,#REF!&lt;#REF!),0,IF(AND(#REF!&gt;=#REF!,#REF!&lt;=#REF!),N158*((#REF!-#REF!)*12),IF(AND(#REF!&lt;=#REF!,#REF!&gt;=#REF!),((#REF!-#REF!)*12)*N158,IF(#REF!&gt;#REF!,12*N158,0)))))</f>
        <v>#REF!</v>
      </c>
      <c r="P158" s="152" t="e">
        <f>IF(#REF!=0,0,IF(AND(#REF!&gt;=#REF!,#REF!&lt;=#REF!),((#REF!-#REF!)*12)*N158,0))</f>
        <v>#REF!</v>
      </c>
      <c r="Q158" s="152" t="e">
        <f t="shared" si="44"/>
        <v>#REF!</v>
      </c>
      <c r="R158" s="152">
        <v>1</v>
      </c>
      <c r="S158" s="152" t="e">
        <f t="shared" si="45"/>
        <v>#REF!</v>
      </c>
      <c r="T158" s="152" t="e">
        <f>IF(#REF!&gt;#REF!,0,IF(#REF!&lt;#REF!,M158,IF(AND(#REF!&gt;=#REF!,#REF!&lt;=#REF!),(M158-Q158),IF(AND(#REF!&lt;=#REF!,#REF!&gt;=#REF!),0,IF(#REF!&gt;#REF!,((#REF!-#REF!)*12)*N158,0)))))</f>
        <v>#REF!</v>
      </c>
      <c r="U158" s="19"/>
    </row>
    <row r="159" spans="1:21" hidden="1" x14ac:dyDescent="0.25">
      <c r="A159" s="42"/>
      <c r="B159" s="42"/>
      <c r="C159" s="42" t="s">
        <v>193</v>
      </c>
      <c r="D159" s="42"/>
      <c r="E159" s="43">
        <v>2009</v>
      </c>
      <c r="F159" s="43">
        <v>10</v>
      </c>
      <c r="G159" s="43">
        <v>0</v>
      </c>
      <c r="H159" s="44" t="s">
        <v>42</v>
      </c>
      <c r="I159" s="44">
        <v>5</v>
      </c>
      <c r="J159" s="43">
        <f t="shared" si="41"/>
        <v>2014</v>
      </c>
      <c r="K159" s="43"/>
      <c r="L159" s="151">
        <v>2951.1</v>
      </c>
      <c r="M159" s="152">
        <f t="shared" si="42"/>
        <v>2951.1</v>
      </c>
      <c r="N159" s="152">
        <f t="shared" si="43"/>
        <v>49.185000000000002</v>
      </c>
      <c r="O159" s="152" t="e">
        <f>IF(#REF!&gt;0,0,IF(OR(#REF!&gt;#REF!,#REF!&lt;#REF!),0,IF(AND(#REF!&gt;=#REF!,#REF!&lt;=#REF!),N159*((#REF!-#REF!)*12),IF(AND(#REF!&lt;=#REF!,#REF!&gt;=#REF!),((#REF!-#REF!)*12)*N159,IF(#REF!&gt;#REF!,12*N159,0)))))</f>
        <v>#REF!</v>
      </c>
      <c r="P159" s="152" t="e">
        <f>IF(#REF!=0,0,IF(AND(#REF!&gt;=#REF!,#REF!&lt;=#REF!),((#REF!-#REF!)*12)*N159,0))</f>
        <v>#REF!</v>
      </c>
      <c r="Q159" s="152" t="e">
        <f t="shared" si="44"/>
        <v>#REF!</v>
      </c>
      <c r="R159" s="152">
        <v>1</v>
      </c>
      <c r="S159" s="152" t="e">
        <f t="shared" si="45"/>
        <v>#REF!</v>
      </c>
      <c r="T159" s="152" t="e">
        <f>IF(#REF!&gt;#REF!,0,IF(#REF!&lt;#REF!,M159,IF(AND(#REF!&gt;=#REF!,#REF!&lt;=#REF!),(M159-Q159),IF(AND(#REF!&lt;=#REF!,#REF!&gt;=#REF!),0,IF(#REF!&gt;#REF!,((#REF!-#REF!)*12)*N159,0)))))</f>
        <v>#REF!</v>
      </c>
      <c r="U159" s="19"/>
    </row>
    <row r="160" spans="1:21" hidden="1" x14ac:dyDescent="0.25">
      <c r="A160" s="42"/>
      <c r="B160" s="42"/>
      <c r="C160" s="42" t="s">
        <v>194</v>
      </c>
      <c r="D160" s="42"/>
      <c r="E160" s="43">
        <v>1996</v>
      </c>
      <c r="F160" s="43">
        <v>1</v>
      </c>
      <c r="G160" s="43">
        <v>0</v>
      </c>
      <c r="H160" s="44" t="s">
        <v>42</v>
      </c>
      <c r="I160" s="44" t="s">
        <v>85</v>
      </c>
      <c r="J160" s="43">
        <f t="shared" si="41"/>
        <v>2001</v>
      </c>
      <c r="K160" s="43"/>
      <c r="L160" s="151">
        <v>14567</v>
      </c>
      <c r="M160" s="152">
        <f t="shared" si="42"/>
        <v>14567</v>
      </c>
      <c r="N160" s="152">
        <f t="shared" si="43"/>
        <v>242.78333333333333</v>
      </c>
      <c r="O160" s="152" t="e">
        <f>IF(#REF!&gt;0,0,IF(OR(#REF!&gt;#REF!,#REF!&lt;#REF!),0,IF(AND(#REF!&gt;=#REF!,#REF!&lt;=#REF!),N160*((#REF!-#REF!)*12),IF(AND(#REF!&lt;=#REF!,#REF!&gt;=#REF!),((#REF!-#REF!)*12)*N160,IF(#REF!&gt;#REF!,12*N160,0)))))</f>
        <v>#REF!</v>
      </c>
      <c r="P160" s="152" t="e">
        <f>IF(#REF!=0,0,IF(AND(#REF!&gt;=#REF!,#REF!&lt;=#REF!),((#REF!-#REF!)*12)*N160,0))</f>
        <v>#REF!</v>
      </c>
      <c r="Q160" s="152" t="e">
        <f t="shared" si="44"/>
        <v>#REF!</v>
      </c>
      <c r="R160" s="152">
        <v>1</v>
      </c>
      <c r="S160" s="152" t="e">
        <f t="shared" si="45"/>
        <v>#REF!</v>
      </c>
      <c r="T160" s="152" t="e">
        <f>IF(#REF!&gt;#REF!,0,IF(#REF!&lt;#REF!,M160,IF(AND(#REF!&gt;=#REF!,#REF!&lt;=#REF!),(M160-Q160),IF(AND(#REF!&lt;=#REF!,#REF!&gt;=#REF!),0,IF(#REF!&gt;#REF!,((#REF!-#REF!)*12)*N160,0)))))</f>
        <v>#REF!</v>
      </c>
      <c r="U160" s="19"/>
    </row>
    <row r="161" spans="1:21" hidden="1" x14ac:dyDescent="0.25">
      <c r="A161" s="42"/>
      <c r="B161" s="42"/>
      <c r="C161" s="42" t="s">
        <v>195</v>
      </c>
      <c r="D161" s="42"/>
      <c r="E161" s="43">
        <v>1996</v>
      </c>
      <c r="F161" s="43">
        <v>5</v>
      </c>
      <c r="G161" s="43">
        <v>0</v>
      </c>
      <c r="H161" s="44" t="s">
        <v>42</v>
      </c>
      <c r="I161" s="44" t="s">
        <v>85</v>
      </c>
      <c r="J161" s="43">
        <f t="shared" si="41"/>
        <v>2001</v>
      </c>
      <c r="K161" s="43"/>
      <c r="L161" s="151">
        <v>7778</v>
      </c>
      <c r="M161" s="152">
        <f t="shared" si="42"/>
        <v>7778</v>
      </c>
      <c r="N161" s="152">
        <f t="shared" si="43"/>
        <v>129.63333333333333</v>
      </c>
      <c r="O161" s="152" t="e">
        <f>IF(#REF!&gt;0,0,IF(OR(#REF!&gt;#REF!,#REF!&lt;#REF!),0,IF(AND(#REF!&gt;=#REF!,#REF!&lt;=#REF!),N161*((#REF!-#REF!)*12),IF(AND(#REF!&lt;=#REF!,#REF!&gt;=#REF!),((#REF!-#REF!)*12)*N161,IF(#REF!&gt;#REF!,12*N161,0)))))</f>
        <v>#REF!</v>
      </c>
      <c r="P161" s="152" t="e">
        <f>IF(#REF!=0,0,IF(AND(#REF!&gt;=#REF!,#REF!&lt;=#REF!),((#REF!-#REF!)*12)*N161,0))</f>
        <v>#REF!</v>
      </c>
      <c r="Q161" s="152" t="e">
        <f t="shared" si="44"/>
        <v>#REF!</v>
      </c>
      <c r="R161" s="152">
        <v>1</v>
      </c>
      <c r="S161" s="152" t="e">
        <f t="shared" si="45"/>
        <v>#REF!</v>
      </c>
      <c r="T161" s="152" t="e">
        <f>IF(#REF!&gt;#REF!,0,IF(#REF!&lt;#REF!,M161,IF(AND(#REF!&gt;=#REF!,#REF!&lt;=#REF!),(M161-Q161),IF(AND(#REF!&lt;=#REF!,#REF!&gt;=#REF!),0,IF(#REF!&gt;#REF!,((#REF!-#REF!)*12)*N161,0)))))</f>
        <v>#REF!</v>
      </c>
      <c r="U161" s="19"/>
    </row>
    <row r="162" spans="1:21" hidden="1" x14ac:dyDescent="0.25">
      <c r="A162" s="42"/>
      <c r="B162" s="42"/>
      <c r="C162" s="42" t="s">
        <v>196</v>
      </c>
      <c r="D162" s="42"/>
      <c r="E162" s="43">
        <v>1996</v>
      </c>
      <c r="F162" s="43">
        <v>5</v>
      </c>
      <c r="G162" s="43">
        <v>0</v>
      </c>
      <c r="H162" s="44" t="s">
        <v>42</v>
      </c>
      <c r="I162" s="44" t="s">
        <v>85</v>
      </c>
      <c r="J162" s="43">
        <f t="shared" si="41"/>
        <v>2001</v>
      </c>
      <c r="K162" s="43"/>
      <c r="L162" s="151">
        <v>1118</v>
      </c>
      <c r="M162" s="152">
        <f t="shared" si="42"/>
        <v>1118</v>
      </c>
      <c r="N162" s="152">
        <f t="shared" si="43"/>
        <v>18.633333333333333</v>
      </c>
      <c r="O162" s="152" t="e">
        <f>IF(#REF!&gt;0,0,IF(OR(#REF!&gt;#REF!,#REF!&lt;#REF!),0,IF(AND(#REF!&gt;=#REF!,#REF!&lt;=#REF!),N162*((#REF!-#REF!)*12),IF(AND(#REF!&lt;=#REF!,#REF!&gt;=#REF!),((#REF!-#REF!)*12)*N162,IF(#REF!&gt;#REF!,12*N162,0)))))</f>
        <v>#REF!</v>
      </c>
      <c r="P162" s="152" t="e">
        <f>IF(#REF!=0,0,IF(AND(#REF!&gt;=#REF!,#REF!&lt;=#REF!),((#REF!-#REF!)*12)*N162,0))</f>
        <v>#REF!</v>
      </c>
      <c r="Q162" s="152" t="e">
        <f t="shared" si="44"/>
        <v>#REF!</v>
      </c>
      <c r="R162" s="152">
        <v>1</v>
      </c>
      <c r="S162" s="152" t="e">
        <f t="shared" si="45"/>
        <v>#REF!</v>
      </c>
      <c r="T162" s="152" t="e">
        <f>IF(#REF!&gt;#REF!,0,IF(#REF!&lt;#REF!,M162,IF(AND(#REF!&gt;=#REF!,#REF!&lt;=#REF!),(M162-Q162),IF(AND(#REF!&lt;=#REF!,#REF!&gt;=#REF!),0,IF(#REF!&gt;#REF!,((#REF!-#REF!)*12)*N162,0)))))</f>
        <v>#REF!</v>
      </c>
      <c r="U162" s="19"/>
    </row>
    <row r="163" spans="1:21" hidden="1" x14ac:dyDescent="0.25">
      <c r="A163" s="42"/>
      <c r="B163" s="42"/>
      <c r="C163" s="42" t="s">
        <v>195</v>
      </c>
      <c r="D163" s="42"/>
      <c r="E163" s="43">
        <v>1996</v>
      </c>
      <c r="F163" s="43">
        <v>6</v>
      </c>
      <c r="G163" s="43">
        <v>0</v>
      </c>
      <c r="H163" s="44" t="s">
        <v>42</v>
      </c>
      <c r="I163" s="44" t="s">
        <v>85</v>
      </c>
      <c r="J163" s="43">
        <f t="shared" si="41"/>
        <v>2001</v>
      </c>
      <c r="K163" s="43"/>
      <c r="L163" s="151">
        <v>5514</v>
      </c>
      <c r="M163" s="152">
        <f t="shared" si="42"/>
        <v>5514</v>
      </c>
      <c r="N163" s="152">
        <f t="shared" si="43"/>
        <v>91.899999999999991</v>
      </c>
      <c r="O163" s="152" t="e">
        <f>IF(#REF!&gt;0,0,IF(OR(#REF!&gt;#REF!,#REF!&lt;#REF!),0,IF(AND(#REF!&gt;=#REF!,#REF!&lt;=#REF!),N163*((#REF!-#REF!)*12),IF(AND(#REF!&lt;=#REF!,#REF!&gt;=#REF!),((#REF!-#REF!)*12)*N163,IF(#REF!&gt;#REF!,12*N163,0)))))</f>
        <v>#REF!</v>
      </c>
      <c r="P163" s="152" t="e">
        <f>IF(#REF!=0,0,IF(AND(#REF!&gt;=#REF!,#REF!&lt;=#REF!),((#REF!-#REF!)*12)*N163,0))</f>
        <v>#REF!</v>
      </c>
      <c r="Q163" s="152" t="e">
        <f t="shared" si="44"/>
        <v>#REF!</v>
      </c>
      <c r="R163" s="152">
        <v>1</v>
      </c>
      <c r="S163" s="152" t="e">
        <f t="shared" si="45"/>
        <v>#REF!</v>
      </c>
      <c r="T163" s="152" t="e">
        <f>IF(#REF!&gt;#REF!,0,IF(#REF!&lt;#REF!,M163,IF(AND(#REF!&gt;=#REF!,#REF!&lt;=#REF!),(M163-Q163),IF(AND(#REF!&lt;=#REF!,#REF!&gt;=#REF!),0,IF(#REF!&gt;#REF!,((#REF!-#REF!)*12)*N163,0)))))</f>
        <v>#REF!</v>
      </c>
      <c r="U163" s="19"/>
    </row>
    <row r="164" spans="1:21" hidden="1" x14ac:dyDescent="0.25">
      <c r="A164" s="42"/>
      <c r="B164" s="42"/>
      <c r="C164" s="42" t="s">
        <v>195</v>
      </c>
      <c r="D164" s="42"/>
      <c r="E164" s="43">
        <v>1997</v>
      </c>
      <c r="F164" s="43">
        <v>3</v>
      </c>
      <c r="G164" s="43">
        <v>0</v>
      </c>
      <c r="H164" s="44" t="s">
        <v>42</v>
      </c>
      <c r="I164" s="44" t="s">
        <v>85</v>
      </c>
      <c r="J164" s="43">
        <f t="shared" si="41"/>
        <v>2002</v>
      </c>
      <c r="K164" s="43"/>
      <c r="L164" s="151">
        <v>633</v>
      </c>
      <c r="M164" s="152">
        <f t="shared" si="42"/>
        <v>633</v>
      </c>
      <c r="N164" s="152">
        <f t="shared" si="43"/>
        <v>10.549999999999999</v>
      </c>
      <c r="O164" s="152" t="e">
        <f>IF(#REF!&gt;0,0,IF(OR(#REF!&gt;#REF!,#REF!&lt;#REF!),0,IF(AND(#REF!&gt;=#REF!,#REF!&lt;=#REF!),N164*((#REF!-#REF!)*12),IF(AND(#REF!&lt;=#REF!,#REF!&gt;=#REF!),((#REF!-#REF!)*12)*N164,IF(#REF!&gt;#REF!,12*N164,0)))))</f>
        <v>#REF!</v>
      </c>
      <c r="P164" s="152" t="e">
        <f>IF(#REF!=0,0,IF(AND(#REF!&gt;=#REF!,#REF!&lt;=#REF!),((#REF!-#REF!)*12)*N164,0))</f>
        <v>#REF!</v>
      </c>
      <c r="Q164" s="152" t="e">
        <f t="shared" si="44"/>
        <v>#REF!</v>
      </c>
      <c r="R164" s="152">
        <v>1</v>
      </c>
      <c r="S164" s="152" t="e">
        <f t="shared" si="45"/>
        <v>#REF!</v>
      </c>
      <c r="T164" s="152" t="e">
        <f>IF(#REF!&gt;#REF!,0,IF(#REF!&lt;#REF!,M164,IF(AND(#REF!&gt;=#REF!,#REF!&lt;=#REF!),(M164-Q164),IF(AND(#REF!&lt;=#REF!,#REF!&gt;=#REF!),0,IF(#REF!&gt;#REF!,((#REF!-#REF!)*12)*N164,0)))))</f>
        <v>#REF!</v>
      </c>
      <c r="U164" s="19"/>
    </row>
    <row r="165" spans="1:21" hidden="1" x14ac:dyDescent="0.25">
      <c r="A165" s="42"/>
      <c r="B165" s="42"/>
      <c r="C165" s="42" t="s">
        <v>195</v>
      </c>
      <c r="D165" s="42"/>
      <c r="E165" s="43">
        <v>1997</v>
      </c>
      <c r="F165" s="43">
        <v>4</v>
      </c>
      <c r="G165" s="43">
        <v>0</v>
      </c>
      <c r="H165" s="44" t="s">
        <v>42</v>
      </c>
      <c r="I165" s="44" t="s">
        <v>85</v>
      </c>
      <c r="J165" s="43">
        <f t="shared" si="41"/>
        <v>2002</v>
      </c>
      <c r="K165" s="43"/>
      <c r="L165" s="151">
        <v>1836</v>
      </c>
      <c r="M165" s="152">
        <f t="shared" si="42"/>
        <v>1836</v>
      </c>
      <c r="N165" s="152">
        <f t="shared" si="43"/>
        <v>30.599999999999998</v>
      </c>
      <c r="O165" s="152" t="e">
        <f>IF(#REF!&gt;0,0,IF(OR(#REF!&gt;#REF!,#REF!&lt;#REF!),0,IF(AND(#REF!&gt;=#REF!,#REF!&lt;=#REF!),N165*((#REF!-#REF!)*12),IF(AND(#REF!&lt;=#REF!,#REF!&gt;=#REF!),((#REF!-#REF!)*12)*N165,IF(#REF!&gt;#REF!,12*N165,0)))))</f>
        <v>#REF!</v>
      </c>
      <c r="P165" s="152" t="e">
        <f>IF(#REF!=0,0,IF(AND(#REF!&gt;=#REF!,#REF!&lt;=#REF!),((#REF!-#REF!)*12)*N165,0))</f>
        <v>#REF!</v>
      </c>
      <c r="Q165" s="152" t="e">
        <f t="shared" si="44"/>
        <v>#REF!</v>
      </c>
      <c r="R165" s="152">
        <v>1</v>
      </c>
      <c r="S165" s="152" t="e">
        <f t="shared" si="45"/>
        <v>#REF!</v>
      </c>
      <c r="T165" s="152" t="e">
        <f>IF(#REF!&gt;#REF!,0,IF(#REF!&lt;#REF!,M165,IF(AND(#REF!&gt;=#REF!,#REF!&lt;=#REF!),(M165-Q165),IF(AND(#REF!&lt;=#REF!,#REF!&gt;=#REF!),0,IF(#REF!&gt;#REF!,((#REF!-#REF!)*12)*N165,0)))))</f>
        <v>#REF!</v>
      </c>
      <c r="U165" s="19"/>
    </row>
    <row r="166" spans="1:21" hidden="1" x14ac:dyDescent="0.25">
      <c r="A166" s="42"/>
      <c r="B166" s="42"/>
      <c r="C166" s="42" t="s">
        <v>197</v>
      </c>
      <c r="D166" s="42"/>
      <c r="E166" s="43">
        <v>1997</v>
      </c>
      <c r="F166" s="43">
        <v>9</v>
      </c>
      <c r="G166" s="43">
        <v>0</v>
      </c>
      <c r="H166" s="44" t="s">
        <v>42</v>
      </c>
      <c r="I166" s="44" t="s">
        <v>85</v>
      </c>
      <c r="J166" s="43">
        <f t="shared" si="41"/>
        <v>2002</v>
      </c>
      <c r="K166" s="43"/>
      <c r="L166" s="151">
        <v>5902.41</v>
      </c>
      <c r="M166" s="152">
        <f t="shared" si="42"/>
        <v>5902.41</v>
      </c>
      <c r="N166" s="152">
        <f t="shared" si="43"/>
        <v>98.373499999999993</v>
      </c>
      <c r="O166" s="152" t="e">
        <f>IF(#REF!&gt;0,0,IF(OR(#REF!&gt;#REF!,#REF!&lt;#REF!),0,IF(AND(#REF!&gt;=#REF!,#REF!&lt;=#REF!),N166*((#REF!-#REF!)*12),IF(AND(#REF!&lt;=#REF!,#REF!&gt;=#REF!),((#REF!-#REF!)*12)*N166,IF(#REF!&gt;#REF!,12*N166,0)))))</f>
        <v>#REF!</v>
      </c>
      <c r="P166" s="152" t="e">
        <f>IF(#REF!=0,0,IF(AND(#REF!&gt;=#REF!,#REF!&lt;=#REF!),((#REF!-#REF!)*12)*N166,0))</f>
        <v>#REF!</v>
      </c>
      <c r="Q166" s="152" t="e">
        <f t="shared" si="44"/>
        <v>#REF!</v>
      </c>
      <c r="R166" s="152">
        <v>1</v>
      </c>
      <c r="S166" s="152" t="e">
        <f t="shared" si="45"/>
        <v>#REF!</v>
      </c>
      <c r="T166" s="152" t="e">
        <f>IF(#REF!&gt;#REF!,0,IF(#REF!&lt;#REF!,M166,IF(AND(#REF!&gt;=#REF!,#REF!&lt;=#REF!),(M166-Q166),IF(AND(#REF!&lt;=#REF!,#REF!&gt;=#REF!),0,IF(#REF!&gt;#REF!,((#REF!-#REF!)*12)*N166,0)))))</f>
        <v>#REF!</v>
      </c>
      <c r="U166" s="19"/>
    </row>
    <row r="167" spans="1:21" hidden="1" x14ac:dyDescent="0.25">
      <c r="A167" s="42"/>
      <c r="B167" s="42"/>
      <c r="C167" s="42" t="s">
        <v>198</v>
      </c>
      <c r="D167" s="42"/>
      <c r="E167" s="43">
        <v>1997</v>
      </c>
      <c r="F167" s="43">
        <v>10</v>
      </c>
      <c r="G167" s="43">
        <v>0</v>
      </c>
      <c r="H167" s="44" t="s">
        <v>42</v>
      </c>
      <c r="I167" s="44" t="s">
        <v>85</v>
      </c>
      <c r="J167" s="43">
        <f t="shared" si="41"/>
        <v>2002</v>
      </c>
      <c r="K167" s="43"/>
      <c r="L167" s="151">
        <v>891.6</v>
      </c>
      <c r="M167" s="152">
        <f t="shared" si="42"/>
        <v>891.6</v>
      </c>
      <c r="N167" s="152">
        <f t="shared" si="43"/>
        <v>14.86</v>
      </c>
      <c r="O167" s="152" t="e">
        <f>IF(#REF!&gt;0,0,IF(OR(#REF!&gt;#REF!,#REF!&lt;#REF!),0,IF(AND(#REF!&gt;=#REF!,#REF!&lt;=#REF!),N167*((#REF!-#REF!)*12),IF(AND(#REF!&lt;=#REF!,#REF!&gt;=#REF!),((#REF!-#REF!)*12)*N167,IF(#REF!&gt;#REF!,12*N167,0)))))</f>
        <v>#REF!</v>
      </c>
      <c r="P167" s="152" t="e">
        <f>IF(#REF!=0,0,IF(AND(#REF!&gt;=#REF!,#REF!&lt;=#REF!),((#REF!-#REF!)*12)*N167,0))</f>
        <v>#REF!</v>
      </c>
      <c r="Q167" s="152" t="e">
        <f t="shared" si="44"/>
        <v>#REF!</v>
      </c>
      <c r="R167" s="152">
        <v>1</v>
      </c>
      <c r="S167" s="152" t="e">
        <f t="shared" si="45"/>
        <v>#REF!</v>
      </c>
      <c r="T167" s="152" t="e">
        <f>IF(#REF!&gt;#REF!,0,IF(#REF!&lt;#REF!,M167,IF(AND(#REF!&gt;=#REF!,#REF!&lt;=#REF!),(M167-Q167),IF(AND(#REF!&lt;=#REF!,#REF!&gt;=#REF!),0,IF(#REF!&gt;#REF!,((#REF!-#REF!)*12)*N167,0)))))</f>
        <v>#REF!</v>
      </c>
      <c r="U167" s="19"/>
    </row>
    <row r="168" spans="1:21" hidden="1" x14ac:dyDescent="0.25">
      <c r="A168" s="42"/>
      <c r="B168" s="42"/>
      <c r="C168" s="42" t="s">
        <v>199</v>
      </c>
      <c r="D168" s="42"/>
      <c r="E168" s="43">
        <v>1997</v>
      </c>
      <c r="F168" s="43">
        <v>12</v>
      </c>
      <c r="G168" s="43">
        <v>0</v>
      </c>
      <c r="H168" s="44" t="s">
        <v>42</v>
      </c>
      <c r="I168" s="44" t="s">
        <v>85</v>
      </c>
      <c r="J168" s="43">
        <f t="shared" si="41"/>
        <v>2002</v>
      </c>
      <c r="K168" s="43"/>
      <c r="L168" s="151">
        <v>269</v>
      </c>
      <c r="M168" s="152">
        <f t="shared" si="42"/>
        <v>269</v>
      </c>
      <c r="N168" s="152">
        <f t="shared" si="43"/>
        <v>4.4833333333333334</v>
      </c>
      <c r="O168" s="152" t="e">
        <f>IF(#REF!&gt;0,0,IF(OR(#REF!&gt;#REF!,#REF!&lt;#REF!),0,IF(AND(#REF!&gt;=#REF!,#REF!&lt;=#REF!),N168*((#REF!-#REF!)*12),IF(AND(#REF!&lt;=#REF!,#REF!&gt;=#REF!),((#REF!-#REF!)*12)*N168,IF(#REF!&gt;#REF!,12*N168,0)))))</f>
        <v>#REF!</v>
      </c>
      <c r="P168" s="152" t="e">
        <f>IF(#REF!=0,0,IF(AND(#REF!&gt;=#REF!,#REF!&lt;=#REF!),((#REF!-#REF!)*12)*N168,0))</f>
        <v>#REF!</v>
      </c>
      <c r="Q168" s="152" t="e">
        <f t="shared" si="44"/>
        <v>#REF!</v>
      </c>
      <c r="R168" s="152">
        <v>1</v>
      </c>
      <c r="S168" s="152" t="e">
        <f t="shared" si="45"/>
        <v>#REF!</v>
      </c>
      <c r="T168" s="152" t="e">
        <f>IF(#REF!&gt;#REF!,0,IF(#REF!&lt;#REF!,M168,IF(AND(#REF!&gt;=#REF!,#REF!&lt;=#REF!),(M168-Q168),IF(AND(#REF!&lt;=#REF!,#REF!&gt;=#REF!),0,IF(#REF!&gt;#REF!,((#REF!-#REF!)*12)*N168,0)))))</f>
        <v>#REF!</v>
      </c>
      <c r="U168" s="19"/>
    </row>
    <row r="169" spans="1:21" hidden="1" x14ac:dyDescent="0.25">
      <c r="A169" s="42"/>
      <c r="B169" s="42"/>
      <c r="C169" s="42" t="s">
        <v>200</v>
      </c>
      <c r="D169" s="42"/>
      <c r="E169" s="43">
        <v>1998</v>
      </c>
      <c r="F169" s="43">
        <v>1</v>
      </c>
      <c r="G169" s="43">
        <v>0</v>
      </c>
      <c r="H169" s="44" t="s">
        <v>42</v>
      </c>
      <c r="I169" s="44" t="s">
        <v>85</v>
      </c>
      <c r="J169" s="43">
        <f t="shared" si="41"/>
        <v>2003</v>
      </c>
      <c r="K169" s="43"/>
      <c r="L169" s="151">
        <v>850.56</v>
      </c>
      <c r="M169" s="152">
        <f t="shared" si="42"/>
        <v>850.56</v>
      </c>
      <c r="N169" s="152">
        <f t="shared" si="43"/>
        <v>14.176</v>
      </c>
      <c r="O169" s="152" t="e">
        <f>IF(#REF!&gt;0,0,IF(OR(#REF!&gt;#REF!,#REF!&lt;#REF!),0,IF(AND(#REF!&gt;=#REF!,#REF!&lt;=#REF!),N169*((#REF!-#REF!)*12),IF(AND(#REF!&lt;=#REF!,#REF!&gt;=#REF!),((#REF!-#REF!)*12)*N169,IF(#REF!&gt;#REF!,12*N169,0)))))</f>
        <v>#REF!</v>
      </c>
      <c r="P169" s="152" t="e">
        <f>IF(#REF!=0,0,IF(AND(#REF!&gt;=#REF!,#REF!&lt;=#REF!),((#REF!-#REF!)*12)*N169,0))</f>
        <v>#REF!</v>
      </c>
      <c r="Q169" s="152" t="e">
        <f t="shared" si="44"/>
        <v>#REF!</v>
      </c>
      <c r="R169" s="152">
        <v>1</v>
      </c>
      <c r="S169" s="152" t="e">
        <f t="shared" si="45"/>
        <v>#REF!</v>
      </c>
      <c r="T169" s="152" t="e">
        <f>IF(#REF!&gt;#REF!,0,IF(#REF!&lt;#REF!,M169,IF(AND(#REF!&gt;=#REF!,#REF!&lt;=#REF!),(M169-Q169),IF(AND(#REF!&lt;=#REF!,#REF!&gt;=#REF!),0,IF(#REF!&gt;#REF!,((#REF!-#REF!)*12)*N169,0)))))</f>
        <v>#REF!</v>
      </c>
      <c r="U169" s="19"/>
    </row>
    <row r="170" spans="1:21" hidden="1" x14ac:dyDescent="0.25">
      <c r="A170" s="42"/>
      <c r="B170" s="42"/>
      <c r="C170" s="42" t="s">
        <v>201</v>
      </c>
      <c r="D170" s="42"/>
      <c r="E170" s="43">
        <v>1998</v>
      </c>
      <c r="F170" s="43">
        <v>2</v>
      </c>
      <c r="G170" s="43">
        <v>0</v>
      </c>
      <c r="H170" s="44" t="s">
        <v>42</v>
      </c>
      <c r="I170" s="44" t="s">
        <v>85</v>
      </c>
      <c r="J170" s="43">
        <f t="shared" si="41"/>
        <v>2003</v>
      </c>
      <c r="K170" s="43"/>
      <c r="L170" s="151">
        <v>1147</v>
      </c>
      <c r="M170" s="152">
        <f t="shared" si="42"/>
        <v>1147</v>
      </c>
      <c r="N170" s="152">
        <f t="shared" si="43"/>
        <v>19.116666666666667</v>
      </c>
      <c r="O170" s="152" t="e">
        <f>IF(#REF!&gt;0,0,IF(OR(#REF!&gt;#REF!,#REF!&lt;#REF!),0,IF(AND(#REF!&gt;=#REF!,#REF!&lt;=#REF!),N170*((#REF!-#REF!)*12),IF(AND(#REF!&lt;=#REF!,#REF!&gt;=#REF!),((#REF!-#REF!)*12)*N170,IF(#REF!&gt;#REF!,12*N170,0)))))</f>
        <v>#REF!</v>
      </c>
      <c r="P170" s="152" t="e">
        <f>IF(#REF!=0,0,IF(AND(#REF!&gt;=#REF!,#REF!&lt;=#REF!),((#REF!-#REF!)*12)*N170,0))</f>
        <v>#REF!</v>
      </c>
      <c r="Q170" s="152" t="e">
        <f t="shared" si="44"/>
        <v>#REF!</v>
      </c>
      <c r="R170" s="152">
        <v>1</v>
      </c>
      <c r="S170" s="152" t="e">
        <f t="shared" si="45"/>
        <v>#REF!</v>
      </c>
      <c r="T170" s="152" t="e">
        <f>IF(#REF!&gt;#REF!,0,IF(#REF!&lt;#REF!,M170,IF(AND(#REF!&gt;=#REF!,#REF!&lt;=#REF!),(M170-Q170),IF(AND(#REF!&lt;=#REF!,#REF!&gt;=#REF!),0,IF(#REF!&gt;#REF!,((#REF!-#REF!)*12)*N170,0)))))</f>
        <v>#REF!</v>
      </c>
      <c r="U170" s="19"/>
    </row>
    <row r="171" spans="1:21" hidden="1" x14ac:dyDescent="0.25">
      <c r="A171" s="42"/>
      <c r="B171" s="42"/>
      <c r="C171" s="42" t="s">
        <v>202</v>
      </c>
      <c r="D171" s="42"/>
      <c r="E171" s="43">
        <v>1998</v>
      </c>
      <c r="F171" s="43">
        <v>2</v>
      </c>
      <c r="G171" s="43">
        <v>0</v>
      </c>
      <c r="H171" s="44" t="s">
        <v>42</v>
      </c>
      <c r="I171" s="44" t="s">
        <v>85</v>
      </c>
      <c r="J171" s="43">
        <f t="shared" si="41"/>
        <v>2003</v>
      </c>
      <c r="K171" s="43"/>
      <c r="L171" s="151">
        <v>2823.75</v>
      </c>
      <c r="M171" s="152">
        <f t="shared" si="42"/>
        <v>2823.75</v>
      </c>
      <c r="N171" s="152">
        <f t="shared" si="43"/>
        <v>47.0625</v>
      </c>
      <c r="O171" s="152" t="e">
        <f>IF(#REF!&gt;0,0,IF(OR(#REF!&gt;#REF!,#REF!&lt;#REF!),0,IF(AND(#REF!&gt;=#REF!,#REF!&lt;=#REF!),N171*((#REF!-#REF!)*12),IF(AND(#REF!&lt;=#REF!,#REF!&gt;=#REF!),((#REF!-#REF!)*12)*N171,IF(#REF!&gt;#REF!,12*N171,0)))))</f>
        <v>#REF!</v>
      </c>
      <c r="P171" s="152" t="e">
        <f>IF(#REF!=0,0,IF(AND(#REF!&gt;=#REF!,#REF!&lt;=#REF!),((#REF!-#REF!)*12)*N171,0))</f>
        <v>#REF!</v>
      </c>
      <c r="Q171" s="152" t="e">
        <f t="shared" si="44"/>
        <v>#REF!</v>
      </c>
      <c r="R171" s="152">
        <v>1</v>
      </c>
      <c r="S171" s="152" t="e">
        <f t="shared" si="45"/>
        <v>#REF!</v>
      </c>
      <c r="T171" s="152" t="e">
        <f>IF(#REF!&gt;#REF!,0,IF(#REF!&lt;#REF!,M171,IF(AND(#REF!&gt;=#REF!,#REF!&lt;=#REF!),(M171-Q171),IF(AND(#REF!&lt;=#REF!,#REF!&gt;=#REF!),0,IF(#REF!&gt;#REF!,((#REF!-#REF!)*12)*N171,0)))))</f>
        <v>#REF!</v>
      </c>
      <c r="U171" s="19"/>
    </row>
    <row r="172" spans="1:21" hidden="1" x14ac:dyDescent="0.25">
      <c r="A172" s="42"/>
      <c r="B172" s="42"/>
      <c r="C172" s="42" t="s">
        <v>203</v>
      </c>
      <c r="D172" s="42"/>
      <c r="E172" s="43">
        <v>1998</v>
      </c>
      <c r="F172" s="43">
        <v>3</v>
      </c>
      <c r="G172" s="43">
        <v>0</v>
      </c>
      <c r="H172" s="44" t="s">
        <v>42</v>
      </c>
      <c r="I172" s="44" t="s">
        <v>85</v>
      </c>
      <c r="J172" s="43">
        <f t="shared" si="41"/>
        <v>2003</v>
      </c>
      <c r="K172" s="43"/>
      <c r="L172" s="151">
        <v>194</v>
      </c>
      <c r="M172" s="152">
        <f t="shared" si="42"/>
        <v>194</v>
      </c>
      <c r="N172" s="152">
        <f t="shared" si="43"/>
        <v>3.2333333333333329</v>
      </c>
      <c r="O172" s="152" t="e">
        <f>IF(#REF!&gt;0,0,IF(OR(#REF!&gt;#REF!,#REF!&lt;#REF!),0,IF(AND(#REF!&gt;=#REF!,#REF!&lt;=#REF!),N172*((#REF!-#REF!)*12),IF(AND(#REF!&lt;=#REF!,#REF!&gt;=#REF!),((#REF!-#REF!)*12)*N172,IF(#REF!&gt;#REF!,12*N172,0)))))</f>
        <v>#REF!</v>
      </c>
      <c r="P172" s="152" t="e">
        <f>IF(#REF!=0,0,IF(AND(#REF!&gt;=#REF!,#REF!&lt;=#REF!),((#REF!-#REF!)*12)*N172,0))</f>
        <v>#REF!</v>
      </c>
      <c r="Q172" s="152" t="e">
        <f t="shared" si="44"/>
        <v>#REF!</v>
      </c>
      <c r="R172" s="152">
        <v>1</v>
      </c>
      <c r="S172" s="152" t="e">
        <f t="shared" si="45"/>
        <v>#REF!</v>
      </c>
      <c r="T172" s="152" t="e">
        <f>IF(#REF!&gt;#REF!,0,IF(#REF!&lt;#REF!,M172,IF(AND(#REF!&gt;=#REF!,#REF!&lt;=#REF!),(M172-Q172),IF(AND(#REF!&lt;=#REF!,#REF!&gt;=#REF!),0,IF(#REF!&gt;#REF!,((#REF!-#REF!)*12)*N172,0)))))</f>
        <v>#REF!</v>
      </c>
      <c r="U172" s="19"/>
    </row>
    <row r="173" spans="1:21" hidden="1" x14ac:dyDescent="0.25">
      <c r="A173" s="42"/>
      <c r="B173" s="42"/>
      <c r="C173" s="42" t="s">
        <v>204</v>
      </c>
      <c r="D173" s="42"/>
      <c r="E173" s="43">
        <v>1998</v>
      </c>
      <c r="F173" s="43">
        <v>3</v>
      </c>
      <c r="G173" s="43">
        <v>0</v>
      </c>
      <c r="H173" s="44" t="s">
        <v>42</v>
      </c>
      <c r="I173" s="44" t="s">
        <v>85</v>
      </c>
      <c r="J173" s="43">
        <f t="shared" si="41"/>
        <v>2003</v>
      </c>
      <c r="K173" s="43"/>
      <c r="L173" s="151">
        <v>1541</v>
      </c>
      <c r="M173" s="152">
        <f t="shared" si="42"/>
        <v>1541</v>
      </c>
      <c r="N173" s="152">
        <f t="shared" si="43"/>
        <v>25.683333333333334</v>
      </c>
      <c r="O173" s="152" t="e">
        <f>IF(#REF!&gt;0,0,IF(OR(#REF!&gt;#REF!,#REF!&lt;#REF!),0,IF(AND(#REF!&gt;=#REF!,#REF!&lt;=#REF!),N173*((#REF!-#REF!)*12),IF(AND(#REF!&lt;=#REF!,#REF!&gt;=#REF!),((#REF!-#REF!)*12)*N173,IF(#REF!&gt;#REF!,12*N173,0)))))</f>
        <v>#REF!</v>
      </c>
      <c r="P173" s="152" t="e">
        <f>IF(#REF!=0,0,IF(AND(#REF!&gt;=#REF!,#REF!&lt;=#REF!),((#REF!-#REF!)*12)*N173,0))</f>
        <v>#REF!</v>
      </c>
      <c r="Q173" s="152" t="e">
        <f t="shared" si="44"/>
        <v>#REF!</v>
      </c>
      <c r="R173" s="152">
        <v>1</v>
      </c>
      <c r="S173" s="152" t="e">
        <f t="shared" si="45"/>
        <v>#REF!</v>
      </c>
      <c r="T173" s="152" t="e">
        <f>IF(#REF!&gt;#REF!,0,IF(#REF!&lt;#REF!,M173,IF(AND(#REF!&gt;=#REF!,#REF!&lt;=#REF!),(M173-Q173),IF(AND(#REF!&lt;=#REF!,#REF!&gt;=#REF!),0,IF(#REF!&gt;#REF!,((#REF!-#REF!)*12)*N173,0)))))</f>
        <v>#REF!</v>
      </c>
      <c r="U173" s="19"/>
    </row>
    <row r="174" spans="1:21" hidden="1" x14ac:dyDescent="0.25">
      <c r="A174" s="42"/>
      <c r="B174" s="42"/>
      <c r="C174" s="42" t="s">
        <v>205</v>
      </c>
      <c r="D174" s="42"/>
      <c r="E174" s="43">
        <v>1998</v>
      </c>
      <c r="F174" s="43">
        <v>3</v>
      </c>
      <c r="G174" s="43">
        <v>0</v>
      </c>
      <c r="H174" s="44" t="s">
        <v>42</v>
      </c>
      <c r="I174" s="44" t="s">
        <v>85</v>
      </c>
      <c r="J174" s="43">
        <f t="shared" si="41"/>
        <v>2003</v>
      </c>
      <c r="K174" s="43"/>
      <c r="L174" s="151">
        <v>999</v>
      </c>
      <c r="M174" s="152">
        <f t="shared" si="42"/>
        <v>999</v>
      </c>
      <c r="N174" s="152">
        <f t="shared" si="43"/>
        <v>16.650000000000002</v>
      </c>
      <c r="O174" s="152" t="e">
        <f>IF(#REF!&gt;0,0,IF(OR(#REF!&gt;#REF!,#REF!&lt;#REF!),0,IF(AND(#REF!&gt;=#REF!,#REF!&lt;=#REF!),N174*((#REF!-#REF!)*12),IF(AND(#REF!&lt;=#REF!,#REF!&gt;=#REF!),((#REF!-#REF!)*12)*N174,IF(#REF!&gt;#REF!,12*N174,0)))))</f>
        <v>#REF!</v>
      </c>
      <c r="P174" s="152" t="e">
        <f>IF(#REF!=0,0,IF(AND(#REF!&gt;=#REF!,#REF!&lt;=#REF!),((#REF!-#REF!)*12)*N174,0))</f>
        <v>#REF!</v>
      </c>
      <c r="Q174" s="152" t="e">
        <f t="shared" si="44"/>
        <v>#REF!</v>
      </c>
      <c r="R174" s="152">
        <v>1</v>
      </c>
      <c r="S174" s="152" t="e">
        <f t="shared" si="45"/>
        <v>#REF!</v>
      </c>
      <c r="T174" s="152" t="e">
        <f>IF(#REF!&gt;#REF!,0,IF(#REF!&lt;#REF!,M174,IF(AND(#REF!&gt;=#REF!,#REF!&lt;=#REF!),(M174-Q174),IF(AND(#REF!&lt;=#REF!,#REF!&gt;=#REF!),0,IF(#REF!&gt;#REF!,((#REF!-#REF!)*12)*N174,0)))))</f>
        <v>#REF!</v>
      </c>
      <c r="U174" s="19"/>
    </row>
    <row r="175" spans="1:21" hidden="1" x14ac:dyDescent="0.25">
      <c r="A175" s="42"/>
      <c r="B175" s="42"/>
      <c r="C175" s="42" t="s">
        <v>206</v>
      </c>
      <c r="D175" s="42"/>
      <c r="E175" s="43">
        <v>1998</v>
      </c>
      <c r="F175" s="43">
        <v>3</v>
      </c>
      <c r="G175" s="43">
        <v>0</v>
      </c>
      <c r="H175" s="44" t="s">
        <v>42</v>
      </c>
      <c r="I175" s="44" t="s">
        <v>85</v>
      </c>
      <c r="J175" s="43">
        <f t="shared" si="41"/>
        <v>2003</v>
      </c>
      <c r="K175" s="43"/>
      <c r="L175" s="151">
        <v>145.74</v>
      </c>
      <c r="M175" s="152">
        <f t="shared" si="42"/>
        <v>145.74</v>
      </c>
      <c r="N175" s="152">
        <f t="shared" si="43"/>
        <v>2.4290000000000003</v>
      </c>
      <c r="O175" s="152" t="e">
        <f>IF(#REF!&gt;0,0,IF(OR(#REF!&gt;#REF!,#REF!&lt;#REF!),0,IF(AND(#REF!&gt;=#REF!,#REF!&lt;=#REF!),N175*((#REF!-#REF!)*12),IF(AND(#REF!&lt;=#REF!,#REF!&gt;=#REF!),((#REF!-#REF!)*12)*N175,IF(#REF!&gt;#REF!,12*N175,0)))))</f>
        <v>#REF!</v>
      </c>
      <c r="P175" s="152" t="e">
        <f>IF(#REF!=0,0,IF(AND(#REF!&gt;=#REF!,#REF!&lt;=#REF!),((#REF!-#REF!)*12)*N175,0))</f>
        <v>#REF!</v>
      </c>
      <c r="Q175" s="152" t="e">
        <f t="shared" si="44"/>
        <v>#REF!</v>
      </c>
      <c r="R175" s="152">
        <v>1</v>
      </c>
      <c r="S175" s="152" t="e">
        <f t="shared" si="45"/>
        <v>#REF!</v>
      </c>
      <c r="T175" s="152" t="e">
        <f>IF(#REF!&gt;#REF!,0,IF(#REF!&lt;#REF!,M175,IF(AND(#REF!&gt;=#REF!,#REF!&lt;=#REF!),(M175-Q175),IF(AND(#REF!&lt;=#REF!,#REF!&gt;=#REF!),0,IF(#REF!&gt;#REF!,((#REF!-#REF!)*12)*N175,0)))))</f>
        <v>#REF!</v>
      </c>
      <c r="U175" s="19"/>
    </row>
    <row r="176" spans="1:21" hidden="1" x14ac:dyDescent="0.25">
      <c r="A176" s="42"/>
      <c r="B176" s="42"/>
      <c r="C176" s="42" t="s">
        <v>207</v>
      </c>
      <c r="D176" s="42"/>
      <c r="E176" s="43">
        <v>1998</v>
      </c>
      <c r="F176" s="43">
        <v>3</v>
      </c>
      <c r="G176" s="43">
        <v>0</v>
      </c>
      <c r="H176" s="44" t="s">
        <v>42</v>
      </c>
      <c r="I176" s="44" t="s">
        <v>85</v>
      </c>
      <c r="J176" s="43">
        <f t="shared" si="41"/>
        <v>2003</v>
      </c>
      <c r="K176" s="43"/>
      <c r="L176" s="151">
        <v>22.01</v>
      </c>
      <c r="M176" s="152">
        <f t="shared" si="42"/>
        <v>22.01</v>
      </c>
      <c r="N176" s="152">
        <f t="shared" si="43"/>
        <v>0.36683333333333334</v>
      </c>
      <c r="O176" s="152" t="e">
        <f>IF(#REF!&gt;0,0,IF(OR(#REF!&gt;#REF!,#REF!&lt;#REF!),0,IF(AND(#REF!&gt;=#REF!,#REF!&lt;=#REF!),N176*((#REF!-#REF!)*12),IF(AND(#REF!&lt;=#REF!,#REF!&gt;=#REF!),((#REF!-#REF!)*12)*N176,IF(#REF!&gt;#REF!,12*N176,0)))))</f>
        <v>#REF!</v>
      </c>
      <c r="P176" s="152" t="e">
        <f>IF(#REF!=0,0,IF(AND(#REF!&gt;=#REF!,#REF!&lt;=#REF!),((#REF!-#REF!)*12)*N176,0))</f>
        <v>#REF!</v>
      </c>
      <c r="Q176" s="152" t="e">
        <f t="shared" si="44"/>
        <v>#REF!</v>
      </c>
      <c r="R176" s="152">
        <v>1</v>
      </c>
      <c r="S176" s="152" t="e">
        <f t="shared" si="45"/>
        <v>#REF!</v>
      </c>
      <c r="T176" s="152" t="e">
        <f>IF(#REF!&gt;#REF!,0,IF(#REF!&lt;#REF!,M176,IF(AND(#REF!&gt;=#REF!,#REF!&lt;=#REF!),(M176-Q176),IF(AND(#REF!&lt;=#REF!,#REF!&gt;=#REF!),0,IF(#REF!&gt;#REF!,((#REF!-#REF!)*12)*N176,0)))))</f>
        <v>#REF!</v>
      </c>
      <c r="U176" s="19"/>
    </row>
    <row r="177" spans="1:21" hidden="1" x14ac:dyDescent="0.25">
      <c r="A177" s="42"/>
      <c r="B177" s="42"/>
      <c r="C177" s="42" t="s">
        <v>208</v>
      </c>
      <c r="D177" s="42"/>
      <c r="E177" s="43">
        <v>1998</v>
      </c>
      <c r="F177" s="43">
        <v>3</v>
      </c>
      <c r="G177" s="43">
        <v>0</v>
      </c>
      <c r="H177" s="44" t="s">
        <v>42</v>
      </c>
      <c r="I177" s="44" t="s">
        <v>85</v>
      </c>
      <c r="J177" s="43">
        <f t="shared" si="41"/>
        <v>2003</v>
      </c>
      <c r="K177" s="43"/>
      <c r="L177" s="151">
        <v>2561</v>
      </c>
      <c r="M177" s="152">
        <f t="shared" si="42"/>
        <v>2561</v>
      </c>
      <c r="N177" s="152">
        <f t="shared" si="43"/>
        <v>42.683333333333337</v>
      </c>
      <c r="O177" s="152" t="e">
        <f>IF(#REF!&gt;0,0,IF(OR(#REF!&gt;#REF!,#REF!&lt;#REF!),0,IF(AND(#REF!&gt;=#REF!,#REF!&lt;=#REF!),N177*((#REF!-#REF!)*12),IF(AND(#REF!&lt;=#REF!,#REF!&gt;=#REF!),((#REF!-#REF!)*12)*N177,IF(#REF!&gt;#REF!,12*N177,0)))))</f>
        <v>#REF!</v>
      </c>
      <c r="P177" s="152" t="e">
        <f>IF(#REF!=0,0,IF(AND(#REF!&gt;=#REF!,#REF!&lt;=#REF!),((#REF!-#REF!)*12)*N177,0))</f>
        <v>#REF!</v>
      </c>
      <c r="Q177" s="152" t="e">
        <f t="shared" si="44"/>
        <v>#REF!</v>
      </c>
      <c r="R177" s="152">
        <v>1</v>
      </c>
      <c r="S177" s="152" t="e">
        <f t="shared" si="45"/>
        <v>#REF!</v>
      </c>
      <c r="T177" s="152" t="e">
        <f>IF(#REF!&gt;#REF!,0,IF(#REF!&lt;#REF!,M177,IF(AND(#REF!&gt;=#REF!,#REF!&lt;=#REF!),(M177-Q177),IF(AND(#REF!&lt;=#REF!,#REF!&gt;=#REF!),0,IF(#REF!&gt;#REF!,((#REF!-#REF!)*12)*N177,0)))))</f>
        <v>#REF!</v>
      </c>
      <c r="U177" s="19"/>
    </row>
    <row r="178" spans="1:21" hidden="1" x14ac:dyDescent="0.25">
      <c r="A178" s="42"/>
      <c r="B178" s="42"/>
      <c r="C178" s="42" t="s">
        <v>209</v>
      </c>
      <c r="D178" s="42"/>
      <c r="E178" s="43">
        <v>1998</v>
      </c>
      <c r="F178" s="43">
        <v>3</v>
      </c>
      <c r="G178" s="43">
        <v>0</v>
      </c>
      <c r="H178" s="44" t="s">
        <v>42</v>
      </c>
      <c r="I178" s="44" t="s">
        <v>85</v>
      </c>
      <c r="J178" s="43">
        <f t="shared" si="41"/>
        <v>2003</v>
      </c>
      <c r="K178" s="43"/>
      <c r="L178" s="151">
        <v>484</v>
      </c>
      <c r="M178" s="152">
        <f t="shared" si="42"/>
        <v>484</v>
      </c>
      <c r="N178" s="152">
        <f t="shared" si="43"/>
        <v>8.0666666666666664</v>
      </c>
      <c r="O178" s="152" t="e">
        <f>IF(#REF!&gt;0,0,IF(OR(#REF!&gt;#REF!,#REF!&lt;#REF!),0,IF(AND(#REF!&gt;=#REF!,#REF!&lt;=#REF!),N178*((#REF!-#REF!)*12),IF(AND(#REF!&lt;=#REF!,#REF!&gt;=#REF!),((#REF!-#REF!)*12)*N178,IF(#REF!&gt;#REF!,12*N178,0)))))</f>
        <v>#REF!</v>
      </c>
      <c r="P178" s="152" t="e">
        <f>IF(#REF!=0,0,IF(AND(#REF!&gt;=#REF!,#REF!&lt;=#REF!),((#REF!-#REF!)*12)*N178,0))</f>
        <v>#REF!</v>
      </c>
      <c r="Q178" s="152" t="e">
        <f t="shared" si="44"/>
        <v>#REF!</v>
      </c>
      <c r="R178" s="152">
        <v>1</v>
      </c>
      <c r="S178" s="152" t="e">
        <f t="shared" si="45"/>
        <v>#REF!</v>
      </c>
      <c r="T178" s="152" t="e">
        <f>IF(#REF!&gt;#REF!,0,IF(#REF!&lt;#REF!,M178,IF(AND(#REF!&gt;=#REF!,#REF!&lt;=#REF!),(M178-Q178),IF(AND(#REF!&lt;=#REF!,#REF!&gt;=#REF!),0,IF(#REF!&gt;#REF!,((#REF!-#REF!)*12)*N178,0)))))</f>
        <v>#REF!</v>
      </c>
      <c r="U178" s="19"/>
    </row>
    <row r="179" spans="1:21" hidden="1" x14ac:dyDescent="0.25">
      <c r="A179" s="42"/>
      <c r="B179" s="42"/>
      <c r="C179" s="42" t="s">
        <v>210</v>
      </c>
      <c r="D179" s="42"/>
      <c r="E179" s="43">
        <v>1998</v>
      </c>
      <c r="F179" s="43">
        <v>3</v>
      </c>
      <c r="G179" s="43">
        <v>0</v>
      </c>
      <c r="H179" s="44" t="s">
        <v>42</v>
      </c>
      <c r="I179" s="44" t="s">
        <v>85</v>
      </c>
      <c r="J179" s="43">
        <f t="shared" si="41"/>
        <v>2003</v>
      </c>
      <c r="K179" s="43"/>
      <c r="L179" s="151">
        <v>100.54</v>
      </c>
      <c r="M179" s="152">
        <f t="shared" si="42"/>
        <v>100.54</v>
      </c>
      <c r="N179" s="152">
        <f t="shared" si="43"/>
        <v>1.6756666666666666</v>
      </c>
      <c r="O179" s="152" t="e">
        <f>IF(#REF!&gt;0,0,IF(OR(#REF!&gt;#REF!,#REF!&lt;#REF!),0,IF(AND(#REF!&gt;=#REF!,#REF!&lt;=#REF!),N179*((#REF!-#REF!)*12),IF(AND(#REF!&lt;=#REF!,#REF!&gt;=#REF!),((#REF!-#REF!)*12)*N179,IF(#REF!&gt;#REF!,12*N179,0)))))</f>
        <v>#REF!</v>
      </c>
      <c r="P179" s="152" t="e">
        <f>IF(#REF!=0,0,IF(AND(#REF!&gt;=#REF!,#REF!&lt;=#REF!),((#REF!-#REF!)*12)*N179,0))</f>
        <v>#REF!</v>
      </c>
      <c r="Q179" s="152" t="e">
        <f t="shared" si="44"/>
        <v>#REF!</v>
      </c>
      <c r="R179" s="152">
        <v>1</v>
      </c>
      <c r="S179" s="152" t="e">
        <f t="shared" si="45"/>
        <v>#REF!</v>
      </c>
      <c r="T179" s="152" t="e">
        <f>IF(#REF!&gt;#REF!,0,IF(#REF!&lt;#REF!,M179,IF(AND(#REF!&gt;=#REF!,#REF!&lt;=#REF!),(M179-Q179),IF(AND(#REF!&lt;=#REF!,#REF!&gt;=#REF!),0,IF(#REF!&gt;#REF!,((#REF!-#REF!)*12)*N179,0)))))</f>
        <v>#REF!</v>
      </c>
      <c r="U179" s="19"/>
    </row>
    <row r="180" spans="1:21" hidden="1" x14ac:dyDescent="0.25">
      <c r="A180" s="42"/>
      <c r="B180" s="42"/>
      <c r="C180" s="42" t="s">
        <v>211</v>
      </c>
      <c r="D180" s="42"/>
      <c r="E180" s="43">
        <v>1998</v>
      </c>
      <c r="F180" s="43">
        <v>5</v>
      </c>
      <c r="G180" s="43">
        <v>0</v>
      </c>
      <c r="H180" s="44" t="s">
        <v>42</v>
      </c>
      <c r="I180" s="44" t="s">
        <v>85</v>
      </c>
      <c r="J180" s="43">
        <f t="shared" si="41"/>
        <v>2003</v>
      </c>
      <c r="K180" s="43"/>
      <c r="L180" s="151">
        <v>4607</v>
      </c>
      <c r="M180" s="152">
        <f t="shared" si="42"/>
        <v>4607</v>
      </c>
      <c r="N180" s="152">
        <f t="shared" si="43"/>
        <v>76.783333333333331</v>
      </c>
      <c r="O180" s="152" t="e">
        <f>IF(#REF!&gt;0,0,IF(OR(#REF!&gt;#REF!,#REF!&lt;#REF!),0,IF(AND(#REF!&gt;=#REF!,#REF!&lt;=#REF!),N180*((#REF!-#REF!)*12),IF(AND(#REF!&lt;=#REF!,#REF!&gt;=#REF!),((#REF!-#REF!)*12)*N180,IF(#REF!&gt;#REF!,12*N180,0)))))</f>
        <v>#REF!</v>
      </c>
      <c r="P180" s="152" t="e">
        <f>IF(#REF!=0,0,IF(AND(#REF!&gt;=#REF!,#REF!&lt;=#REF!),((#REF!-#REF!)*12)*N180,0))</f>
        <v>#REF!</v>
      </c>
      <c r="Q180" s="152" t="e">
        <f t="shared" si="44"/>
        <v>#REF!</v>
      </c>
      <c r="R180" s="152">
        <v>1</v>
      </c>
      <c r="S180" s="152" t="e">
        <f t="shared" si="45"/>
        <v>#REF!</v>
      </c>
      <c r="T180" s="152" t="e">
        <f>IF(#REF!&gt;#REF!,0,IF(#REF!&lt;#REF!,M180,IF(AND(#REF!&gt;=#REF!,#REF!&lt;=#REF!),(M180-Q180),IF(AND(#REF!&lt;=#REF!,#REF!&gt;=#REF!),0,IF(#REF!&gt;#REF!,((#REF!-#REF!)*12)*N180,0)))))</f>
        <v>#REF!</v>
      </c>
      <c r="U180" s="19"/>
    </row>
    <row r="181" spans="1:21" hidden="1" x14ac:dyDescent="0.25">
      <c r="A181" s="42"/>
      <c r="B181" s="42"/>
      <c r="C181" s="42" t="s">
        <v>212</v>
      </c>
      <c r="D181" s="42"/>
      <c r="E181" s="43">
        <v>1999</v>
      </c>
      <c r="F181" s="43">
        <v>3</v>
      </c>
      <c r="G181" s="43">
        <v>0</v>
      </c>
      <c r="H181" s="44" t="s">
        <v>42</v>
      </c>
      <c r="I181" s="44" t="s">
        <v>85</v>
      </c>
      <c r="J181" s="43">
        <f t="shared" si="41"/>
        <v>2004</v>
      </c>
      <c r="K181" s="43"/>
      <c r="L181" s="151">
        <v>4429</v>
      </c>
      <c r="M181" s="152">
        <f t="shared" si="42"/>
        <v>4429</v>
      </c>
      <c r="N181" s="152">
        <f t="shared" si="43"/>
        <v>73.816666666666663</v>
      </c>
      <c r="O181" s="152" t="e">
        <f>IF(#REF!&gt;0,0,IF(OR(#REF!&gt;#REF!,#REF!&lt;#REF!),0,IF(AND(#REF!&gt;=#REF!,#REF!&lt;=#REF!),N181*((#REF!-#REF!)*12),IF(AND(#REF!&lt;=#REF!,#REF!&gt;=#REF!),((#REF!-#REF!)*12)*N181,IF(#REF!&gt;#REF!,12*N181,0)))))</f>
        <v>#REF!</v>
      </c>
      <c r="P181" s="152" t="e">
        <f>IF(#REF!=0,0,IF(AND(#REF!&gt;=#REF!,#REF!&lt;=#REF!),((#REF!-#REF!)*12)*N181,0))</f>
        <v>#REF!</v>
      </c>
      <c r="Q181" s="152" t="e">
        <f t="shared" si="44"/>
        <v>#REF!</v>
      </c>
      <c r="R181" s="152">
        <v>1</v>
      </c>
      <c r="S181" s="152" t="e">
        <f t="shared" si="45"/>
        <v>#REF!</v>
      </c>
      <c r="T181" s="152" t="e">
        <f>IF(#REF!&gt;#REF!,0,IF(#REF!&lt;#REF!,M181,IF(AND(#REF!&gt;=#REF!,#REF!&lt;=#REF!),(M181-Q181),IF(AND(#REF!&lt;=#REF!,#REF!&gt;=#REF!),0,IF(#REF!&gt;#REF!,((#REF!-#REF!)*12)*N181,0)))))</f>
        <v>#REF!</v>
      </c>
      <c r="U181" s="19"/>
    </row>
    <row r="182" spans="1:21" hidden="1" x14ac:dyDescent="0.25">
      <c r="A182" s="42"/>
      <c r="B182" s="42"/>
      <c r="C182" s="42" t="s">
        <v>213</v>
      </c>
      <c r="D182" s="42"/>
      <c r="E182" s="43">
        <v>1999</v>
      </c>
      <c r="F182" s="43">
        <v>6</v>
      </c>
      <c r="G182" s="43">
        <v>0</v>
      </c>
      <c r="H182" s="44" t="s">
        <v>42</v>
      </c>
      <c r="I182" s="44" t="s">
        <v>85</v>
      </c>
      <c r="J182" s="43">
        <f t="shared" si="41"/>
        <v>2004</v>
      </c>
      <c r="K182" s="43"/>
      <c r="L182" s="151">
        <v>4688.28</v>
      </c>
      <c r="M182" s="152">
        <f t="shared" si="42"/>
        <v>4688.28</v>
      </c>
      <c r="N182" s="152">
        <f t="shared" si="43"/>
        <v>78.137999999999991</v>
      </c>
      <c r="O182" s="152" t="e">
        <f>IF(#REF!&gt;0,0,IF(OR(#REF!&gt;#REF!,#REF!&lt;#REF!),0,IF(AND(#REF!&gt;=#REF!,#REF!&lt;=#REF!),N182*((#REF!-#REF!)*12),IF(AND(#REF!&lt;=#REF!,#REF!&gt;=#REF!),((#REF!-#REF!)*12)*N182,IF(#REF!&gt;#REF!,12*N182,0)))))</f>
        <v>#REF!</v>
      </c>
      <c r="P182" s="152" t="e">
        <f>IF(#REF!=0,0,IF(AND(#REF!&gt;=#REF!,#REF!&lt;=#REF!),((#REF!-#REF!)*12)*N182,0))</f>
        <v>#REF!</v>
      </c>
      <c r="Q182" s="152" t="e">
        <f t="shared" si="44"/>
        <v>#REF!</v>
      </c>
      <c r="R182" s="152">
        <v>1</v>
      </c>
      <c r="S182" s="152" t="e">
        <f t="shared" si="45"/>
        <v>#REF!</v>
      </c>
      <c r="T182" s="152" t="e">
        <f>IF(#REF!&gt;#REF!,0,IF(#REF!&lt;#REF!,M182,IF(AND(#REF!&gt;=#REF!,#REF!&lt;=#REF!),(M182-Q182),IF(AND(#REF!&lt;=#REF!,#REF!&gt;=#REF!),0,IF(#REF!&gt;#REF!,((#REF!-#REF!)*12)*N182,0)))))</f>
        <v>#REF!</v>
      </c>
      <c r="U182" s="19"/>
    </row>
    <row r="183" spans="1:21" hidden="1" x14ac:dyDescent="0.25">
      <c r="A183" s="42"/>
      <c r="B183" s="42"/>
      <c r="C183" s="42" t="s">
        <v>183</v>
      </c>
      <c r="D183" s="42"/>
      <c r="E183" s="43">
        <v>1999</v>
      </c>
      <c r="F183" s="43">
        <v>7</v>
      </c>
      <c r="G183" s="43">
        <v>0</v>
      </c>
      <c r="H183" s="44" t="s">
        <v>42</v>
      </c>
      <c r="I183" s="44" t="s">
        <v>85</v>
      </c>
      <c r="J183" s="43">
        <f t="shared" si="41"/>
        <v>2004</v>
      </c>
      <c r="K183" s="43"/>
      <c r="L183" s="151">
        <v>14437</v>
      </c>
      <c r="M183" s="152">
        <f t="shared" si="42"/>
        <v>14437</v>
      </c>
      <c r="N183" s="152">
        <f t="shared" si="43"/>
        <v>240.61666666666667</v>
      </c>
      <c r="O183" s="152" t="e">
        <f>IF(#REF!&gt;0,0,IF(OR(#REF!&gt;#REF!,#REF!&lt;#REF!),0,IF(AND(#REF!&gt;=#REF!,#REF!&lt;=#REF!),N183*((#REF!-#REF!)*12),IF(AND(#REF!&lt;=#REF!,#REF!&gt;=#REF!),((#REF!-#REF!)*12)*N183,IF(#REF!&gt;#REF!,12*N183,0)))))</f>
        <v>#REF!</v>
      </c>
      <c r="P183" s="152" t="e">
        <f>IF(#REF!=0,0,IF(AND(#REF!&gt;=#REF!,#REF!&lt;=#REF!),((#REF!-#REF!)*12)*N183,0))</f>
        <v>#REF!</v>
      </c>
      <c r="Q183" s="152" t="e">
        <f t="shared" si="44"/>
        <v>#REF!</v>
      </c>
      <c r="R183" s="152">
        <v>1</v>
      </c>
      <c r="S183" s="152" t="e">
        <f t="shared" si="45"/>
        <v>#REF!</v>
      </c>
      <c r="T183" s="152" t="e">
        <f>IF(#REF!&gt;#REF!,0,IF(#REF!&lt;#REF!,M183,IF(AND(#REF!&gt;=#REF!,#REF!&lt;=#REF!),(M183-Q183),IF(AND(#REF!&lt;=#REF!,#REF!&gt;=#REF!),0,IF(#REF!&gt;#REF!,((#REF!-#REF!)*12)*N183,0)))))</f>
        <v>#REF!</v>
      </c>
      <c r="U183" s="19"/>
    </row>
    <row r="184" spans="1:21" hidden="1" x14ac:dyDescent="0.25">
      <c r="A184" s="42"/>
      <c r="B184" s="42"/>
      <c r="C184" s="42" t="s">
        <v>214</v>
      </c>
      <c r="D184" s="42"/>
      <c r="E184" s="43">
        <v>1999</v>
      </c>
      <c r="F184" s="43">
        <v>7</v>
      </c>
      <c r="G184" s="43">
        <v>0</v>
      </c>
      <c r="H184" s="44" t="s">
        <v>42</v>
      </c>
      <c r="I184" s="44" t="s">
        <v>85</v>
      </c>
      <c r="J184" s="43">
        <f t="shared" si="41"/>
        <v>2004</v>
      </c>
      <c r="K184" s="43"/>
      <c r="L184" s="151">
        <v>786.36</v>
      </c>
      <c r="M184" s="152">
        <f t="shared" si="42"/>
        <v>786.36</v>
      </c>
      <c r="N184" s="152">
        <f t="shared" si="43"/>
        <v>13.106</v>
      </c>
      <c r="O184" s="152" t="e">
        <f>IF(#REF!&gt;0,0,IF(OR(#REF!&gt;#REF!,#REF!&lt;#REF!),0,IF(AND(#REF!&gt;=#REF!,#REF!&lt;=#REF!),N184*((#REF!-#REF!)*12),IF(AND(#REF!&lt;=#REF!,#REF!&gt;=#REF!),((#REF!-#REF!)*12)*N184,IF(#REF!&gt;#REF!,12*N184,0)))))</f>
        <v>#REF!</v>
      </c>
      <c r="P184" s="152" t="e">
        <f>IF(#REF!=0,0,IF(AND(#REF!&gt;=#REF!,#REF!&lt;=#REF!),((#REF!-#REF!)*12)*N184,0))</f>
        <v>#REF!</v>
      </c>
      <c r="Q184" s="152" t="e">
        <f t="shared" si="44"/>
        <v>#REF!</v>
      </c>
      <c r="R184" s="152">
        <v>1</v>
      </c>
      <c r="S184" s="152" t="e">
        <f t="shared" si="45"/>
        <v>#REF!</v>
      </c>
      <c r="T184" s="152" t="e">
        <f>IF(#REF!&gt;#REF!,0,IF(#REF!&lt;#REF!,M184,IF(AND(#REF!&gt;=#REF!,#REF!&lt;=#REF!),(M184-Q184),IF(AND(#REF!&lt;=#REF!,#REF!&gt;=#REF!),0,IF(#REF!&gt;#REF!,((#REF!-#REF!)*12)*N184,0)))))</f>
        <v>#REF!</v>
      </c>
      <c r="U184" s="19"/>
    </row>
    <row r="185" spans="1:21" hidden="1" x14ac:dyDescent="0.25">
      <c r="A185" s="42"/>
      <c r="B185" s="42"/>
      <c r="C185" s="42" t="s">
        <v>215</v>
      </c>
      <c r="D185" s="42"/>
      <c r="E185" s="43">
        <v>1999</v>
      </c>
      <c r="F185" s="43">
        <v>9</v>
      </c>
      <c r="G185" s="43">
        <v>0</v>
      </c>
      <c r="H185" s="44" t="s">
        <v>42</v>
      </c>
      <c r="I185" s="44" t="s">
        <v>85</v>
      </c>
      <c r="J185" s="43">
        <f t="shared" si="41"/>
        <v>2004</v>
      </c>
      <c r="K185" s="43"/>
      <c r="L185" s="151">
        <v>21314.57</v>
      </c>
      <c r="M185" s="152">
        <f t="shared" si="42"/>
        <v>21314.57</v>
      </c>
      <c r="N185" s="152">
        <f t="shared" si="43"/>
        <v>355.24283333333329</v>
      </c>
      <c r="O185" s="152" t="e">
        <f>IF(#REF!&gt;0,0,IF(OR(#REF!&gt;#REF!,#REF!&lt;#REF!),0,IF(AND(#REF!&gt;=#REF!,#REF!&lt;=#REF!),N185*((#REF!-#REF!)*12),IF(AND(#REF!&lt;=#REF!,#REF!&gt;=#REF!),((#REF!-#REF!)*12)*N185,IF(#REF!&gt;#REF!,12*N185,0)))))</f>
        <v>#REF!</v>
      </c>
      <c r="P185" s="152" t="e">
        <f>IF(#REF!=0,0,IF(AND(#REF!&gt;=#REF!,#REF!&lt;=#REF!),((#REF!-#REF!)*12)*N185,0))</f>
        <v>#REF!</v>
      </c>
      <c r="Q185" s="152" t="e">
        <f t="shared" si="44"/>
        <v>#REF!</v>
      </c>
      <c r="R185" s="152">
        <v>1</v>
      </c>
      <c r="S185" s="152" t="e">
        <f t="shared" si="45"/>
        <v>#REF!</v>
      </c>
      <c r="T185" s="152" t="e">
        <f>IF(#REF!&gt;#REF!,0,IF(#REF!&lt;#REF!,M185,IF(AND(#REF!&gt;=#REF!,#REF!&lt;=#REF!),(M185-Q185),IF(AND(#REF!&lt;=#REF!,#REF!&gt;=#REF!),0,IF(#REF!&gt;#REF!,((#REF!-#REF!)*12)*N185,0)))))</f>
        <v>#REF!</v>
      </c>
      <c r="U185" s="19"/>
    </row>
    <row r="186" spans="1:21" hidden="1" x14ac:dyDescent="0.25">
      <c r="A186" s="42"/>
      <c r="B186" s="42"/>
      <c r="C186" s="42" t="s">
        <v>216</v>
      </c>
      <c r="D186" s="42"/>
      <c r="E186" s="43">
        <v>1999</v>
      </c>
      <c r="F186" s="43">
        <v>12</v>
      </c>
      <c r="G186" s="43">
        <v>0</v>
      </c>
      <c r="H186" s="44" t="s">
        <v>42</v>
      </c>
      <c r="I186" s="44" t="s">
        <v>85</v>
      </c>
      <c r="J186" s="43">
        <f t="shared" si="41"/>
        <v>2004</v>
      </c>
      <c r="K186" s="43"/>
      <c r="L186" s="151">
        <v>3261.3</v>
      </c>
      <c r="M186" s="152">
        <f t="shared" si="42"/>
        <v>3261.3</v>
      </c>
      <c r="N186" s="152">
        <f t="shared" si="43"/>
        <v>54.354999999999997</v>
      </c>
      <c r="O186" s="152" t="e">
        <f>IF(#REF!&gt;0,0,IF(OR(#REF!&gt;#REF!,#REF!&lt;#REF!),0,IF(AND(#REF!&gt;=#REF!,#REF!&lt;=#REF!),N186*((#REF!-#REF!)*12),IF(AND(#REF!&lt;=#REF!,#REF!&gt;=#REF!),((#REF!-#REF!)*12)*N186,IF(#REF!&gt;#REF!,12*N186,0)))))</f>
        <v>#REF!</v>
      </c>
      <c r="P186" s="152" t="e">
        <f>IF(#REF!=0,0,IF(AND(#REF!&gt;=#REF!,#REF!&lt;=#REF!),((#REF!-#REF!)*12)*N186,0))</f>
        <v>#REF!</v>
      </c>
      <c r="Q186" s="152" t="e">
        <f t="shared" si="44"/>
        <v>#REF!</v>
      </c>
      <c r="R186" s="152">
        <v>1</v>
      </c>
      <c r="S186" s="152" t="e">
        <f t="shared" si="45"/>
        <v>#REF!</v>
      </c>
      <c r="T186" s="152" t="e">
        <f>IF(#REF!&gt;#REF!,0,IF(#REF!&lt;#REF!,M186,IF(AND(#REF!&gt;=#REF!,#REF!&lt;=#REF!),(M186-Q186),IF(AND(#REF!&lt;=#REF!,#REF!&gt;=#REF!),0,IF(#REF!&gt;#REF!,((#REF!-#REF!)*12)*N186,0)))))</f>
        <v>#REF!</v>
      </c>
      <c r="U186" s="19"/>
    </row>
    <row r="187" spans="1:21" hidden="1" x14ac:dyDescent="0.25">
      <c r="A187" s="42"/>
      <c r="B187" s="42"/>
      <c r="C187" s="42" t="s">
        <v>217</v>
      </c>
      <c r="D187" s="42"/>
      <c r="E187" s="43">
        <v>2000</v>
      </c>
      <c r="F187" s="43">
        <v>1</v>
      </c>
      <c r="G187" s="43">
        <v>0</v>
      </c>
      <c r="H187" s="44" t="s">
        <v>42</v>
      </c>
      <c r="I187" s="44" t="s">
        <v>85</v>
      </c>
      <c r="J187" s="43">
        <f t="shared" si="41"/>
        <v>2005</v>
      </c>
      <c r="K187" s="43"/>
      <c r="L187" s="151">
        <v>6474</v>
      </c>
      <c r="M187" s="152">
        <f t="shared" si="42"/>
        <v>6474</v>
      </c>
      <c r="N187" s="152">
        <f t="shared" si="43"/>
        <v>107.89999999999999</v>
      </c>
      <c r="O187" s="152" t="e">
        <f>IF(#REF!&gt;0,0,IF(OR(#REF!&gt;#REF!,#REF!&lt;#REF!),0,IF(AND(#REF!&gt;=#REF!,#REF!&lt;=#REF!),N187*((#REF!-#REF!)*12),IF(AND(#REF!&lt;=#REF!,#REF!&gt;=#REF!),((#REF!-#REF!)*12)*N187,IF(#REF!&gt;#REF!,12*N187,0)))))</f>
        <v>#REF!</v>
      </c>
      <c r="P187" s="152" t="e">
        <f>IF(#REF!=0,0,IF(AND(#REF!&gt;=#REF!,#REF!&lt;=#REF!),((#REF!-#REF!)*12)*N187,0))</f>
        <v>#REF!</v>
      </c>
      <c r="Q187" s="152" t="e">
        <f t="shared" si="44"/>
        <v>#REF!</v>
      </c>
      <c r="R187" s="152">
        <v>1</v>
      </c>
      <c r="S187" s="152" t="e">
        <f t="shared" si="45"/>
        <v>#REF!</v>
      </c>
      <c r="T187" s="152" t="e">
        <f>IF(#REF!&gt;#REF!,0,IF(#REF!&lt;#REF!,M187,IF(AND(#REF!&gt;=#REF!,#REF!&lt;=#REF!),(M187-Q187),IF(AND(#REF!&lt;=#REF!,#REF!&gt;=#REF!),0,IF(#REF!&gt;#REF!,((#REF!-#REF!)*12)*N187,0)))))</f>
        <v>#REF!</v>
      </c>
      <c r="U187" s="19"/>
    </row>
    <row r="188" spans="1:21" hidden="1" x14ac:dyDescent="0.25">
      <c r="A188" s="42"/>
      <c r="B188" s="42"/>
      <c r="C188" s="42" t="s">
        <v>218</v>
      </c>
      <c r="D188" s="42"/>
      <c r="E188" s="43">
        <v>2001</v>
      </c>
      <c r="F188" s="43">
        <v>4</v>
      </c>
      <c r="G188" s="43">
        <v>0</v>
      </c>
      <c r="H188" s="44" t="s">
        <v>42</v>
      </c>
      <c r="I188" s="44" t="s">
        <v>85</v>
      </c>
      <c r="J188" s="43">
        <f t="shared" si="41"/>
        <v>2006</v>
      </c>
      <c r="K188" s="43"/>
      <c r="L188" s="151">
        <v>5962.9</v>
      </c>
      <c r="M188" s="152">
        <f t="shared" si="42"/>
        <v>5962.9</v>
      </c>
      <c r="N188" s="152">
        <f t="shared" si="43"/>
        <v>99.381666666666661</v>
      </c>
      <c r="O188" s="152" t="e">
        <f>IF(#REF!&gt;0,0,IF(OR(#REF!&gt;#REF!,#REF!&lt;#REF!),0,IF(AND(#REF!&gt;=#REF!,#REF!&lt;=#REF!),N188*((#REF!-#REF!)*12),IF(AND(#REF!&lt;=#REF!,#REF!&gt;=#REF!),((#REF!-#REF!)*12)*N188,IF(#REF!&gt;#REF!,12*N188,0)))))</f>
        <v>#REF!</v>
      </c>
      <c r="P188" s="152" t="e">
        <f>IF(#REF!=0,0,IF(AND(#REF!&gt;=#REF!,#REF!&lt;=#REF!),((#REF!-#REF!)*12)*N188,0))</f>
        <v>#REF!</v>
      </c>
      <c r="Q188" s="152" t="e">
        <f t="shared" si="44"/>
        <v>#REF!</v>
      </c>
      <c r="R188" s="152">
        <v>1</v>
      </c>
      <c r="S188" s="152" t="e">
        <f t="shared" si="45"/>
        <v>#REF!</v>
      </c>
      <c r="T188" s="152" t="e">
        <f>IF(#REF!&gt;#REF!,0,IF(#REF!&lt;#REF!,M188,IF(AND(#REF!&gt;=#REF!,#REF!&lt;=#REF!),(M188-Q188),IF(AND(#REF!&lt;=#REF!,#REF!&gt;=#REF!),0,IF(#REF!&gt;#REF!,((#REF!-#REF!)*12)*N188,0)))))</f>
        <v>#REF!</v>
      </c>
      <c r="U188" s="19"/>
    </row>
    <row r="189" spans="1:21" hidden="1" x14ac:dyDescent="0.25">
      <c r="A189" s="42"/>
      <c r="B189" s="42"/>
      <c r="C189" s="42" t="s">
        <v>219</v>
      </c>
      <c r="D189" s="42"/>
      <c r="E189" s="43">
        <v>2001</v>
      </c>
      <c r="F189" s="43">
        <v>5</v>
      </c>
      <c r="G189" s="43">
        <v>0</v>
      </c>
      <c r="H189" s="44" t="s">
        <v>42</v>
      </c>
      <c r="I189" s="44" t="s">
        <v>85</v>
      </c>
      <c r="J189" s="43">
        <f t="shared" si="41"/>
        <v>2006</v>
      </c>
      <c r="K189" s="43"/>
      <c r="L189" s="151">
        <v>236.59</v>
      </c>
      <c r="M189" s="152">
        <f t="shared" si="42"/>
        <v>236.59</v>
      </c>
      <c r="N189" s="152">
        <f t="shared" si="43"/>
        <v>3.9431666666666665</v>
      </c>
      <c r="O189" s="152" t="e">
        <f>IF(#REF!&gt;0,0,IF(OR(#REF!&gt;#REF!,#REF!&lt;#REF!),0,IF(AND(#REF!&gt;=#REF!,#REF!&lt;=#REF!),N189*((#REF!-#REF!)*12),IF(AND(#REF!&lt;=#REF!,#REF!&gt;=#REF!),((#REF!-#REF!)*12)*N189,IF(#REF!&gt;#REF!,12*N189,0)))))</f>
        <v>#REF!</v>
      </c>
      <c r="P189" s="152" t="e">
        <f>IF(#REF!=0,0,IF(AND(#REF!&gt;=#REF!,#REF!&lt;=#REF!),((#REF!-#REF!)*12)*N189,0))</f>
        <v>#REF!</v>
      </c>
      <c r="Q189" s="152" t="e">
        <f t="shared" si="44"/>
        <v>#REF!</v>
      </c>
      <c r="R189" s="152">
        <v>1</v>
      </c>
      <c r="S189" s="152" t="e">
        <f t="shared" si="45"/>
        <v>#REF!</v>
      </c>
      <c r="T189" s="152" t="e">
        <f>IF(#REF!&gt;#REF!,0,IF(#REF!&lt;#REF!,M189,IF(AND(#REF!&gt;=#REF!,#REF!&lt;=#REF!),(M189-Q189),IF(AND(#REF!&lt;=#REF!,#REF!&gt;=#REF!),0,IF(#REF!&gt;#REF!,((#REF!-#REF!)*12)*N189,0)))))</f>
        <v>#REF!</v>
      </c>
      <c r="U189" s="19"/>
    </row>
    <row r="190" spans="1:21" hidden="1" x14ac:dyDescent="0.25">
      <c r="A190" s="42"/>
      <c r="B190" s="42"/>
      <c r="C190" s="42" t="s">
        <v>220</v>
      </c>
      <c r="D190" s="42"/>
      <c r="E190" s="43">
        <v>2001</v>
      </c>
      <c r="F190" s="43">
        <v>10</v>
      </c>
      <c r="G190" s="43">
        <v>0</v>
      </c>
      <c r="H190" s="44" t="s">
        <v>42</v>
      </c>
      <c r="I190" s="44" t="s">
        <v>85</v>
      </c>
      <c r="J190" s="43">
        <f t="shared" si="41"/>
        <v>2006</v>
      </c>
      <c r="K190" s="43"/>
      <c r="L190" s="151">
        <v>4133.8500000000004</v>
      </c>
      <c r="M190" s="152">
        <f t="shared" si="42"/>
        <v>4133.8500000000004</v>
      </c>
      <c r="N190" s="152">
        <f t="shared" si="43"/>
        <v>68.897500000000008</v>
      </c>
      <c r="O190" s="152" t="e">
        <f>IF(#REF!&gt;0,0,IF(OR(#REF!&gt;#REF!,#REF!&lt;#REF!),0,IF(AND(#REF!&gt;=#REF!,#REF!&lt;=#REF!),N190*((#REF!-#REF!)*12),IF(AND(#REF!&lt;=#REF!,#REF!&gt;=#REF!),((#REF!-#REF!)*12)*N190,IF(#REF!&gt;#REF!,12*N190,0)))))</f>
        <v>#REF!</v>
      </c>
      <c r="P190" s="152" t="e">
        <f>IF(#REF!=0,0,IF(AND(#REF!&gt;=#REF!,#REF!&lt;=#REF!),((#REF!-#REF!)*12)*N190,0))</f>
        <v>#REF!</v>
      </c>
      <c r="Q190" s="152" t="e">
        <f t="shared" si="44"/>
        <v>#REF!</v>
      </c>
      <c r="R190" s="152">
        <v>1</v>
      </c>
      <c r="S190" s="152" t="e">
        <f t="shared" si="45"/>
        <v>#REF!</v>
      </c>
      <c r="T190" s="152" t="e">
        <f>IF(#REF!&gt;#REF!,0,IF(#REF!&lt;#REF!,M190,IF(AND(#REF!&gt;=#REF!,#REF!&lt;=#REF!),(M190-Q190),IF(AND(#REF!&lt;=#REF!,#REF!&gt;=#REF!),0,IF(#REF!&gt;#REF!,((#REF!-#REF!)*12)*N190,0)))))</f>
        <v>#REF!</v>
      </c>
      <c r="U190" s="19"/>
    </row>
    <row r="191" spans="1:21" hidden="1" x14ac:dyDescent="0.25">
      <c r="A191" s="42"/>
      <c r="B191" s="42"/>
      <c r="C191" s="42" t="s">
        <v>221</v>
      </c>
      <c r="D191" s="42"/>
      <c r="E191" s="43">
        <v>2002</v>
      </c>
      <c r="F191" s="43">
        <v>1</v>
      </c>
      <c r="G191" s="43">
        <v>0</v>
      </c>
      <c r="H191" s="44" t="s">
        <v>42</v>
      </c>
      <c r="I191" s="44" t="s">
        <v>85</v>
      </c>
      <c r="J191" s="43">
        <f t="shared" si="41"/>
        <v>2007</v>
      </c>
      <c r="K191" s="43"/>
      <c r="L191" s="151">
        <v>2064.7600000000002</v>
      </c>
      <c r="M191" s="152">
        <f t="shared" si="42"/>
        <v>2064.7600000000002</v>
      </c>
      <c r="N191" s="152">
        <f t="shared" si="43"/>
        <v>34.412666666666674</v>
      </c>
      <c r="O191" s="152" t="e">
        <f>IF(#REF!&gt;0,0,IF(OR(#REF!&gt;#REF!,#REF!&lt;#REF!),0,IF(AND(#REF!&gt;=#REF!,#REF!&lt;=#REF!),N191*((#REF!-#REF!)*12),IF(AND(#REF!&lt;=#REF!,#REF!&gt;=#REF!),((#REF!-#REF!)*12)*N191,IF(#REF!&gt;#REF!,12*N191,0)))))</f>
        <v>#REF!</v>
      </c>
      <c r="P191" s="152" t="e">
        <f>IF(#REF!=0,0,IF(AND(#REF!&gt;=#REF!,#REF!&lt;=#REF!),((#REF!-#REF!)*12)*N191,0))</f>
        <v>#REF!</v>
      </c>
      <c r="Q191" s="152" t="e">
        <f t="shared" si="44"/>
        <v>#REF!</v>
      </c>
      <c r="R191" s="152">
        <v>1</v>
      </c>
      <c r="S191" s="152" t="e">
        <f t="shared" si="45"/>
        <v>#REF!</v>
      </c>
      <c r="T191" s="152" t="e">
        <f>IF(#REF!&gt;#REF!,0,IF(#REF!&lt;#REF!,M191,IF(AND(#REF!&gt;=#REF!,#REF!&lt;=#REF!),(M191-Q191),IF(AND(#REF!&lt;=#REF!,#REF!&gt;=#REF!),0,IF(#REF!&gt;#REF!,((#REF!-#REF!)*12)*N191,0)))))</f>
        <v>#REF!</v>
      </c>
      <c r="U191" s="19"/>
    </row>
    <row r="192" spans="1:21" hidden="1" x14ac:dyDescent="0.25">
      <c r="A192" s="42"/>
      <c r="B192" s="42"/>
      <c r="C192" s="42" t="s">
        <v>222</v>
      </c>
      <c r="D192" s="42"/>
      <c r="E192" s="43">
        <v>2002</v>
      </c>
      <c r="F192" s="43">
        <v>12</v>
      </c>
      <c r="G192" s="43">
        <v>0</v>
      </c>
      <c r="H192" s="44" t="s">
        <v>42</v>
      </c>
      <c r="I192" s="44" t="s">
        <v>85</v>
      </c>
      <c r="J192" s="43">
        <f t="shared" si="41"/>
        <v>2007</v>
      </c>
      <c r="K192" s="43"/>
      <c r="L192" s="151">
        <v>1641.78</v>
      </c>
      <c r="M192" s="152">
        <f t="shared" si="42"/>
        <v>1641.78</v>
      </c>
      <c r="N192" s="152">
        <f t="shared" si="43"/>
        <v>27.363</v>
      </c>
      <c r="O192" s="152" t="e">
        <f>IF(#REF!&gt;0,0,IF(OR(#REF!&gt;#REF!,#REF!&lt;#REF!),0,IF(AND(#REF!&gt;=#REF!,#REF!&lt;=#REF!),N192*((#REF!-#REF!)*12),IF(AND(#REF!&lt;=#REF!,#REF!&gt;=#REF!),((#REF!-#REF!)*12)*N192,IF(#REF!&gt;#REF!,12*N192,0)))))</f>
        <v>#REF!</v>
      </c>
      <c r="P192" s="152" t="e">
        <f>IF(#REF!=0,0,IF(AND(#REF!&gt;=#REF!,#REF!&lt;=#REF!),((#REF!-#REF!)*12)*N192,0))</f>
        <v>#REF!</v>
      </c>
      <c r="Q192" s="152" t="e">
        <f t="shared" si="44"/>
        <v>#REF!</v>
      </c>
      <c r="R192" s="152">
        <v>1</v>
      </c>
      <c r="S192" s="152" t="e">
        <f t="shared" si="45"/>
        <v>#REF!</v>
      </c>
      <c r="T192" s="152" t="e">
        <f>IF(#REF!&gt;#REF!,0,IF(#REF!&lt;#REF!,M192,IF(AND(#REF!&gt;=#REF!,#REF!&lt;=#REF!),(M192-Q192),IF(AND(#REF!&lt;=#REF!,#REF!&gt;=#REF!),0,IF(#REF!&gt;#REF!,((#REF!-#REF!)*12)*N192,0)))))</f>
        <v>#REF!</v>
      </c>
      <c r="U192" s="19"/>
    </row>
    <row r="193" spans="1:76" hidden="1" x14ac:dyDescent="0.25">
      <c r="A193" s="42"/>
      <c r="B193" s="42"/>
      <c r="C193" s="42" t="s">
        <v>223</v>
      </c>
      <c r="D193" s="42"/>
      <c r="E193" s="43">
        <v>2003</v>
      </c>
      <c r="F193" s="43">
        <v>1</v>
      </c>
      <c r="G193" s="43">
        <v>0</v>
      </c>
      <c r="H193" s="44" t="s">
        <v>42</v>
      </c>
      <c r="I193" s="44" t="s">
        <v>85</v>
      </c>
      <c r="J193" s="43">
        <f t="shared" si="41"/>
        <v>2008</v>
      </c>
      <c r="K193" s="43"/>
      <c r="L193" s="151">
        <v>13028.8</v>
      </c>
      <c r="M193" s="152">
        <f t="shared" si="42"/>
        <v>13028.8</v>
      </c>
      <c r="N193" s="152">
        <f t="shared" si="43"/>
        <v>217.14666666666665</v>
      </c>
      <c r="O193" s="152" t="e">
        <f>IF(#REF!&gt;0,0,IF(OR(#REF!&gt;#REF!,#REF!&lt;#REF!),0,IF(AND(#REF!&gt;=#REF!,#REF!&lt;=#REF!),N193*((#REF!-#REF!)*12),IF(AND(#REF!&lt;=#REF!,#REF!&gt;=#REF!),((#REF!-#REF!)*12)*N193,IF(#REF!&gt;#REF!,12*N193,0)))))</f>
        <v>#REF!</v>
      </c>
      <c r="P193" s="152" t="e">
        <f>IF(#REF!=0,0,IF(AND(#REF!&gt;=#REF!,#REF!&lt;=#REF!),((#REF!-#REF!)*12)*N193,0))</f>
        <v>#REF!</v>
      </c>
      <c r="Q193" s="152" t="e">
        <f t="shared" si="44"/>
        <v>#REF!</v>
      </c>
      <c r="R193" s="152">
        <v>1</v>
      </c>
      <c r="S193" s="152" t="e">
        <f t="shared" si="45"/>
        <v>#REF!</v>
      </c>
      <c r="T193" s="152" t="e">
        <f>IF(#REF!&gt;#REF!,0,IF(#REF!&lt;#REF!,M193,IF(AND(#REF!&gt;=#REF!,#REF!&lt;=#REF!),(M193-Q193),IF(AND(#REF!&lt;=#REF!,#REF!&gt;=#REF!),0,IF(#REF!&gt;#REF!,((#REF!-#REF!)*12)*N193,0)))))</f>
        <v>#REF!</v>
      </c>
      <c r="U193" s="19"/>
    </row>
    <row r="194" spans="1:76" hidden="1" x14ac:dyDescent="0.25">
      <c r="A194" s="42"/>
      <c r="B194" s="42"/>
      <c r="C194" s="42" t="s">
        <v>224</v>
      </c>
      <c r="D194" s="42"/>
      <c r="E194" s="43">
        <v>2003</v>
      </c>
      <c r="F194" s="43">
        <v>7</v>
      </c>
      <c r="G194" s="43">
        <v>0</v>
      </c>
      <c r="H194" s="44" t="s">
        <v>42</v>
      </c>
      <c r="I194" s="44" t="s">
        <v>85</v>
      </c>
      <c r="J194" s="43">
        <f t="shared" si="41"/>
        <v>2008</v>
      </c>
      <c r="K194" s="43"/>
      <c r="L194" s="151">
        <v>2816.37</v>
      </c>
      <c r="M194" s="152">
        <f t="shared" si="42"/>
        <v>2816.37</v>
      </c>
      <c r="N194" s="152">
        <f t="shared" si="43"/>
        <v>46.939500000000002</v>
      </c>
      <c r="O194" s="152" t="e">
        <f>IF(#REF!&gt;0,0,IF(OR(#REF!&gt;#REF!,#REF!&lt;#REF!),0,IF(AND(#REF!&gt;=#REF!,#REF!&lt;=#REF!),N194*((#REF!-#REF!)*12),IF(AND(#REF!&lt;=#REF!,#REF!&gt;=#REF!),((#REF!-#REF!)*12)*N194,IF(#REF!&gt;#REF!,12*N194,0)))))</f>
        <v>#REF!</v>
      </c>
      <c r="P194" s="152" t="e">
        <f>IF(#REF!=0,0,IF(AND(#REF!&gt;=#REF!,#REF!&lt;=#REF!),((#REF!-#REF!)*12)*N194,0))</f>
        <v>#REF!</v>
      </c>
      <c r="Q194" s="152" t="e">
        <f t="shared" si="44"/>
        <v>#REF!</v>
      </c>
      <c r="R194" s="152">
        <v>1</v>
      </c>
      <c r="S194" s="152" t="e">
        <f t="shared" si="45"/>
        <v>#REF!</v>
      </c>
      <c r="T194" s="152" t="e">
        <f>IF(#REF!&gt;#REF!,0,IF(#REF!&lt;#REF!,M194,IF(AND(#REF!&gt;=#REF!,#REF!&lt;=#REF!),(M194-Q194),IF(AND(#REF!&lt;=#REF!,#REF!&gt;=#REF!),0,IF(#REF!&gt;#REF!,((#REF!-#REF!)*12)*N194,0)))))</f>
        <v>#REF!</v>
      </c>
      <c r="U194" s="19"/>
    </row>
    <row r="195" spans="1:76" hidden="1" x14ac:dyDescent="0.25">
      <c r="A195" s="42"/>
      <c r="B195" s="42"/>
      <c r="C195" s="42" t="s">
        <v>225</v>
      </c>
      <c r="D195" s="42"/>
      <c r="E195" s="43">
        <v>2004</v>
      </c>
      <c r="F195" s="43">
        <v>3</v>
      </c>
      <c r="G195" s="43">
        <v>0</v>
      </c>
      <c r="H195" s="44" t="s">
        <v>42</v>
      </c>
      <c r="I195" s="44" t="s">
        <v>85</v>
      </c>
      <c r="J195" s="43">
        <f t="shared" si="41"/>
        <v>2009</v>
      </c>
      <c r="K195" s="43"/>
      <c r="L195" s="151">
        <v>1960.94</v>
      </c>
      <c r="M195" s="152">
        <f t="shared" si="42"/>
        <v>1960.94</v>
      </c>
      <c r="N195" s="152">
        <f t="shared" si="43"/>
        <v>32.682333333333332</v>
      </c>
      <c r="O195" s="152" t="e">
        <f>IF(#REF!&gt;0,0,IF(OR(#REF!&gt;#REF!,#REF!&lt;#REF!),0,IF(AND(#REF!&gt;=#REF!,#REF!&lt;=#REF!),N195*((#REF!-#REF!)*12),IF(AND(#REF!&lt;=#REF!,#REF!&gt;=#REF!),((#REF!-#REF!)*12)*N195,IF(#REF!&gt;#REF!,12*N195,0)))))</f>
        <v>#REF!</v>
      </c>
      <c r="P195" s="152" t="e">
        <f>IF(#REF!=0,0,IF(AND(#REF!&gt;=#REF!,#REF!&lt;=#REF!),((#REF!-#REF!)*12)*N195,0))</f>
        <v>#REF!</v>
      </c>
      <c r="Q195" s="152" t="e">
        <f t="shared" si="44"/>
        <v>#REF!</v>
      </c>
      <c r="R195" s="152">
        <v>1</v>
      </c>
      <c r="S195" s="152" t="e">
        <f t="shared" si="45"/>
        <v>#REF!</v>
      </c>
      <c r="T195" s="152" t="e">
        <f>IF(#REF!&gt;#REF!,0,IF(#REF!&lt;#REF!,M195,IF(AND(#REF!&gt;=#REF!,#REF!&lt;=#REF!),(M195-Q195),IF(AND(#REF!&lt;=#REF!,#REF!&gt;=#REF!),0,IF(#REF!&gt;#REF!,((#REF!-#REF!)*12)*N195,0)))))</f>
        <v>#REF!</v>
      </c>
      <c r="U195" s="19"/>
    </row>
    <row r="196" spans="1:76" hidden="1" x14ac:dyDescent="0.25">
      <c r="A196" s="42"/>
      <c r="B196" s="42"/>
      <c r="C196" s="42" t="s">
        <v>226</v>
      </c>
      <c r="D196" s="42"/>
      <c r="E196" s="43">
        <v>2005</v>
      </c>
      <c r="F196" s="43">
        <v>6</v>
      </c>
      <c r="G196" s="43">
        <v>0</v>
      </c>
      <c r="H196" s="44" t="s">
        <v>42</v>
      </c>
      <c r="I196" s="44" t="s">
        <v>85</v>
      </c>
      <c r="J196" s="43">
        <f>E196+I196</f>
        <v>2010</v>
      </c>
      <c r="K196" s="43"/>
      <c r="L196" s="151">
        <v>2166</v>
      </c>
      <c r="M196" s="152">
        <f t="shared" si="42"/>
        <v>2166</v>
      </c>
      <c r="N196" s="152">
        <f t="shared" si="43"/>
        <v>36.1</v>
      </c>
      <c r="O196" s="152" t="e">
        <f>IF(#REF!&gt;0,0,IF(OR(#REF!&gt;#REF!,#REF!&lt;#REF!),0,IF(AND(#REF!&gt;=#REF!,#REF!&lt;=#REF!),N196*((#REF!-#REF!)*12),IF(AND(#REF!&lt;=#REF!,#REF!&gt;=#REF!),((#REF!-#REF!)*12)*N196,IF(#REF!&gt;#REF!,12*N196,0)))))</f>
        <v>#REF!</v>
      </c>
      <c r="P196" s="152" t="e">
        <f>IF(#REF!=0,0,IF(AND(#REF!&gt;=#REF!,#REF!&lt;=#REF!),((#REF!-#REF!)*12)*N196,0))</f>
        <v>#REF!</v>
      </c>
      <c r="Q196" s="152" t="e">
        <f>IF(P196&gt;0,P196,O196)</f>
        <v>#REF!</v>
      </c>
      <c r="R196" s="152">
        <v>1</v>
      </c>
      <c r="S196" s="152" t="e">
        <f>R196*SUM(O196:P196)</f>
        <v>#REF!</v>
      </c>
      <c r="T196" s="152" t="e">
        <f>IF(#REF!&gt;#REF!,0,IF(#REF!&lt;#REF!,M196,IF(AND(#REF!&gt;=#REF!,#REF!&lt;=#REF!),(M196-Q196),IF(AND(#REF!&lt;=#REF!,#REF!&gt;=#REF!),0,IF(#REF!&gt;#REF!,((#REF!-#REF!)*12)*N196,0)))))</f>
        <v>#REF!</v>
      </c>
      <c r="U196" s="19"/>
    </row>
    <row r="197" spans="1:76" hidden="1" x14ac:dyDescent="0.25">
      <c r="A197" s="42"/>
      <c r="B197" s="42"/>
      <c r="C197" s="42" t="s">
        <v>227</v>
      </c>
      <c r="D197" s="42"/>
      <c r="E197" s="43">
        <v>2005</v>
      </c>
      <c r="F197" s="43">
        <v>12</v>
      </c>
      <c r="G197" s="43">
        <v>0</v>
      </c>
      <c r="H197" s="44" t="s">
        <v>42</v>
      </c>
      <c r="I197" s="44" t="s">
        <v>85</v>
      </c>
      <c r="J197" s="43">
        <f>E197+I197</f>
        <v>2010</v>
      </c>
      <c r="K197" s="43"/>
      <c r="L197" s="151">
        <v>3699.16</v>
      </c>
      <c r="M197" s="152">
        <f t="shared" si="42"/>
        <v>3699.16</v>
      </c>
      <c r="N197" s="152">
        <f t="shared" si="43"/>
        <v>61.652666666666669</v>
      </c>
      <c r="O197" s="152" t="e">
        <f>IF(#REF!&gt;0,0,IF(OR(#REF!&gt;#REF!,#REF!&lt;#REF!),0,IF(AND(#REF!&gt;=#REF!,#REF!&lt;=#REF!),N197*((#REF!-#REF!)*12),IF(AND(#REF!&lt;=#REF!,#REF!&gt;=#REF!),((#REF!-#REF!)*12)*N197,IF(#REF!&gt;#REF!,12*N197,0)))))</f>
        <v>#REF!</v>
      </c>
      <c r="P197" s="152" t="e">
        <f>IF(#REF!=0,0,IF(AND(#REF!&gt;=#REF!,#REF!&lt;=#REF!),((#REF!-#REF!)*12)*N197,0))</f>
        <v>#REF!</v>
      </c>
      <c r="Q197" s="152" t="e">
        <f>IF(P197&gt;0,P197,O197)</f>
        <v>#REF!</v>
      </c>
      <c r="R197" s="152">
        <v>1</v>
      </c>
      <c r="S197" s="152" t="e">
        <f>R197*SUM(O197:P197)</f>
        <v>#REF!</v>
      </c>
      <c r="T197" s="152" t="e">
        <f>IF(#REF!&gt;#REF!,0,IF(#REF!&lt;#REF!,M197,IF(AND(#REF!&gt;=#REF!,#REF!&lt;=#REF!),(M197-Q197),IF(AND(#REF!&lt;=#REF!,#REF!&gt;=#REF!),0,IF(#REF!&gt;#REF!,((#REF!-#REF!)*12)*N197,0)))))</f>
        <v>#REF!</v>
      </c>
      <c r="U197" s="19"/>
    </row>
    <row r="198" spans="1:76" hidden="1" x14ac:dyDescent="0.25"/>
    <row r="199" spans="1:76" hidden="1" x14ac:dyDescent="0.25">
      <c r="J199" s="10"/>
      <c r="K199" s="10"/>
    </row>
    <row r="200" spans="1:76" x14ac:dyDescent="0.25">
      <c r="C200" s="39" t="s">
        <v>228</v>
      </c>
    </row>
    <row r="201" spans="1:76" x14ac:dyDescent="0.25">
      <c r="A201" s="34"/>
      <c r="B201" s="34">
        <v>6003</v>
      </c>
      <c r="C201" s="35" t="s">
        <v>229</v>
      </c>
      <c r="D201" s="34"/>
      <c r="E201" s="36">
        <v>1995</v>
      </c>
      <c r="F201" s="36">
        <v>9</v>
      </c>
      <c r="G201" s="76">
        <v>0</v>
      </c>
      <c r="H201" s="34" t="s">
        <v>42</v>
      </c>
      <c r="I201" s="34">
        <v>7</v>
      </c>
      <c r="J201" s="49">
        <f>E201+I201</f>
        <v>2002</v>
      </c>
      <c r="K201" s="49"/>
      <c r="L201" s="38">
        <v>3000</v>
      </c>
      <c r="M201" s="38">
        <f>L201-L201*G201</f>
        <v>3000</v>
      </c>
      <c r="N201" s="38">
        <f>M201/I201/12</f>
        <v>35.714285714285715</v>
      </c>
      <c r="O201" s="47">
        <f>+N201*12</f>
        <v>428.57142857142856</v>
      </c>
      <c r="P201" s="47">
        <f>+IF(K201&lt;=$N$5,0,IF(J201&gt;$N$4,O201,(N201*F201)))</f>
        <v>0</v>
      </c>
      <c r="Q201" s="47"/>
      <c r="R201" s="47">
        <f>+IF(P201=0,M201,IF($N$3-E201&lt;1,0,(($N$3-E201)*O201)))</f>
        <v>3000</v>
      </c>
      <c r="S201" s="47">
        <f>+IF(P201=0,R201,R201+P201)</f>
        <v>3000</v>
      </c>
      <c r="T201" s="38" t="e">
        <f>IF(#REF!&gt;#REF!,0,IF(#REF!&lt;#REF!,M201,IF(AND(#REF!&gt;=#REF!,#REF!&lt;=#REF!),(M201-Q201),IF(AND(#REF!&lt;=#REF!,#REF!&gt;=#REF!),0,IF(#REF!&gt;#REF!,((#REF!-#REF!)*12)*N201,0)))))</f>
        <v>#REF!</v>
      </c>
      <c r="U201" s="19"/>
      <c r="V201" s="19"/>
    </row>
    <row r="202" spans="1:76" s="93" customFormat="1" x14ac:dyDescent="0.25">
      <c r="A202" s="77"/>
      <c r="B202" s="78">
        <v>6003</v>
      </c>
      <c r="C202" s="79" t="s">
        <v>230</v>
      </c>
      <c r="D202" s="80"/>
      <c r="E202" s="81">
        <v>2017</v>
      </c>
      <c r="F202" s="82">
        <v>3</v>
      </c>
      <c r="G202" s="83">
        <v>0</v>
      </c>
      <c r="H202" s="82" t="s">
        <v>42</v>
      </c>
      <c r="I202" s="82">
        <f>+IF(J201-$M$4&gt;=3,J201-$M$4,3)</f>
        <v>2002</v>
      </c>
      <c r="J202" s="84">
        <f>+E202+I202</f>
        <v>4019</v>
      </c>
      <c r="K202" s="84"/>
      <c r="L202" s="85">
        <v>750</v>
      </c>
      <c r="M202" s="153">
        <f>+L202-L202*G202</f>
        <v>750</v>
      </c>
      <c r="N202" s="86">
        <f>+M202/I202/12</f>
        <v>3.121878121878122E-2</v>
      </c>
      <c r="O202" s="154">
        <f>+N202*12</f>
        <v>0.37462537462537465</v>
      </c>
      <c r="P202" s="154">
        <f>+IF(K202&lt;=$N$5,0,IF(J202&gt;$N$4,O202,(N202*F202)))</f>
        <v>0</v>
      </c>
      <c r="Q202" s="154"/>
      <c r="R202" s="154">
        <f>+IF(P202=0,M202,IF($N$3-E202&lt;1,0,(($N$3-E202)*O202)))</f>
        <v>750</v>
      </c>
      <c r="S202" s="154">
        <f>+IF(P202=0,R202,R202+P202)</f>
        <v>750</v>
      </c>
      <c r="T202" s="85" t="e">
        <f>+IF(T201=0,0,IF(P202=0,0,((L202-R202)+(L202-S202))/2))</f>
        <v>#REF!</v>
      </c>
      <c r="U202" s="88"/>
      <c r="V202" s="89"/>
      <c r="W202" s="90"/>
      <c r="X202" s="90"/>
      <c r="Y202" s="90"/>
      <c r="Z202" s="90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  <c r="BH202" s="91"/>
      <c r="BI202" s="91"/>
      <c r="BJ202" s="91"/>
      <c r="BK202" s="91"/>
      <c r="BL202" s="91"/>
      <c r="BM202" s="91"/>
      <c r="BN202" s="91"/>
      <c r="BO202" s="91"/>
      <c r="BP202" s="91"/>
      <c r="BQ202" s="91"/>
      <c r="BR202" s="91"/>
      <c r="BS202" s="91"/>
      <c r="BT202" s="91"/>
      <c r="BU202" s="91"/>
      <c r="BV202" s="91"/>
      <c r="BW202" s="91"/>
      <c r="BX202" s="92"/>
    </row>
    <row r="203" spans="1:76" x14ac:dyDescent="0.25">
      <c r="A203" s="155"/>
      <c r="B203" s="34">
        <v>111311</v>
      </c>
      <c r="C203" s="35" t="s">
        <v>231</v>
      </c>
      <c r="D203" s="34"/>
      <c r="E203" s="36">
        <v>2014</v>
      </c>
      <c r="F203" s="36">
        <v>1</v>
      </c>
      <c r="G203" s="76">
        <v>0</v>
      </c>
      <c r="H203" s="34" t="s">
        <v>42</v>
      </c>
      <c r="I203" s="34">
        <v>5</v>
      </c>
      <c r="J203" s="43">
        <f>E203+I203</f>
        <v>2019</v>
      </c>
      <c r="K203" s="43"/>
      <c r="L203" s="38">
        <v>0</v>
      </c>
      <c r="M203" s="38">
        <f>L203-L203*G203</f>
        <v>0</v>
      </c>
      <c r="N203" s="38">
        <f>M203/I203/12</f>
        <v>0</v>
      </c>
      <c r="O203" s="47">
        <f>+N203*12</f>
        <v>0</v>
      </c>
      <c r="P203" s="47">
        <f>+IF(K203&lt;=$N$5,0,IF(J203&gt;$N$4,O203,(N203*F203)))</f>
        <v>0</v>
      </c>
      <c r="Q203" s="47"/>
      <c r="R203" s="47">
        <f>+IF(P203=0,M203,IF($N$3-E203&lt;1,0,(($N$3-E203)*O203)))</f>
        <v>0</v>
      </c>
      <c r="S203" s="47">
        <f>+IF(P203=0,R203,R203+P203)</f>
        <v>0</v>
      </c>
      <c r="T203" s="38" t="e">
        <f>IF(#REF!&gt;#REF!,0,IF(#REF!&lt;#REF!,M203,IF(AND(#REF!&gt;=#REF!,#REF!&lt;=#REF!),(M203-Q203),IF(AND(#REF!&lt;=#REF!,#REF!&gt;=#REF!),0,IF(#REF!&gt;#REF!,((#REF!-#REF!)*12)*N203,0)))))</f>
        <v>#REF!</v>
      </c>
      <c r="U203" s="19"/>
      <c r="V203" s="19"/>
    </row>
    <row r="206" spans="1:76" x14ac:dyDescent="0.25">
      <c r="C206" s="39" t="s">
        <v>232</v>
      </c>
    </row>
    <row r="207" spans="1:76" x14ac:dyDescent="0.25">
      <c r="A207" s="34"/>
      <c r="B207" s="34">
        <v>9194</v>
      </c>
      <c r="C207" s="35" t="s">
        <v>233</v>
      </c>
      <c r="D207" s="34"/>
      <c r="E207" s="36">
        <v>1993</v>
      </c>
      <c r="F207" s="36">
        <v>3</v>
      </c>
      <c r="G207" s="76">
        <v>0</v>
      </c>
      <c r="H207" s="34" t="s">
        <v>42</v>
      </c>
      <c r="I207" s="34">
        <v>5</v>
      </c>
      <c r="J207" s="49">
        <f>E207+I207</f>
        <v>1998</v>
      </c>
      <c r="K207" s="41">
        <f t="shared" ref="K207:K213" si="46">J207+(F207/12)</f>
        <v>1998.25</v>
      </c>
      <c r="L207" s="47">
        <v>4255.17</v>
      </c>
      <c r="M207" s="47">
        <f>L207-L207*G207</f>
        <v>4255.17</v>
      </c>
      <c r="N207" s="47">
        <f>M207/I207/12</f>
        <v>70.919499999999999</v>
      </c>
      <c r="O207" s="47">
        <f t="shared" ref="O207:O213" si="47">+N207*12</f>
        <v>851.03399999999999</v>
      </c>
      <c r="P207" s="47">
        <f t="shared" ref="P207:P213" si="48">+IF(K207&lt;=$N$5,0,IF(J207&gt;$N$4,O207,(N207*F207)))</f>
        <v>0</v>
      </c>
      <c r="Q207" s="47"/>
      <c r="R207" s="47">
        <f t="shared" ref="R207:R213" si="49">+IF(P207=0,M207,IF($N$3-E207&lt;1,0,(($N$3-E207)*O207)))</f>
        <v>4255.17</v>
      </c>
      <c r="S207" s="47">
        <f t="shared" ref="S207:S213" si="50">+IF(P207=0,R207,R207+P207)</f>
        <v>4255.17</v>
      </c>
      <c r="T207" s="47">
        <f>+IF(P207=0,0,((L207-R207)+(L207-S207))/2)</f>
        <v>0</v>
      </c>
      <c r="U207" s="19"/>
      <c r="V207" s="19"/>
    </row>
    <row r="208" spans="1:76" s="93" customFormat="1" x14ac:dyDescent="0.25">
      <c r="A208" s="77"/>
      <c r="B208" s="78">
        <v>9194</v>
      </c>
      <c r="C208" s="79" t="s">
        <v>234</v>
      </c>
      <c r="D208" s="80"/>
      <c r="E208" s="81">
        <v>2017</v>
      </c>
      <c r="F208" s="82">
        <v>3</v>
      </c>
      <c r="G208" s="83">
        <v>0</v>
      </c>
      <c r="H208" s="82" t="s">
        <v>42</v>
      </c>
      <c r="I208" s="82">
        <f>+IF(J207-$N$3&gt;=3,J207-$N$3,3)</f>
        <v>3</v>
      </c>
      <c r="J208" s="84">
        <f>+E208+I208</f>
        <v>2020</v>
      </c>
      <c r="K208" s="85">
        <f t="shared" si="46"/>
        <v>2020.25</v>
      </c>
      <c r="L208" s="86">
        <v>2095.83</v>
      </c>
      <c r="M208" s="87">
        <f>+L208-L208*G208</f>
        <v>2095.83</v>
      </c>
      <c r="N208" s="86">
        <f>+M208/I208/12</f>
        <v>58.217500000000001</v>
      </c>
      <c r="O208" s="154">
        <f t="shared" si="47"/>
        <v>698.61</v>
      </c>
      <c r="P208" s="154">
        <f t="shared" si="48"/>
        <v>698.61</v>
      </c>
      <c r="Q208" s="154"/>
      <c r="R208" s="154">
        <f t="shared" si="49"/>
        <v>0</v>
      </c>
      <c r="S208" s="154">
        <f t="shared" si="50"/>
        <v>698.61</v>
      </c>
      <c r="T208" s="85">
        <f>+IF(T207=0,0,IF(P208=0,0,((L208-R208)+(L208-S208))/2))</f>
        <v>0</v>
      </c>
      <c r="U208" s="88"/>
      <c r="V208" s="89"/>
      <c r="W208" s="90"/>
      <c r="X208" s="90"/>
      <c r="Y208" s="90"/>
      <c r="Z208" s="90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  <c r="AV208" s="91"/>
      <c r="AW208" s="91"/>
      <c r="AX208" s="91"/>
      <c r="AY208" s="91"/>
      <c r="AZ208" s="91"/>
      <c r="BA208" s="91"/>
      <c r="BB208" s="91"/>
      <c r="BC208" s="91"/>
      <c r="BD208" s="91"/>
      <c r="BE208" s="91"/>
      <c r="BF208" s="91"/>
      <c r="BG208" s="91"/>
      <c r="BH208" s="91"/>
      <c r="BI208" s="91"/>
      <c r="BJ208" s="91"/>
      <c r="BK208" s="91"/>
      <c r="BL208" s="91"/>
      <c r="BM208" s="91"/>
      <c r="BN208" s="91"/>
      <c r="BO208" s="91"/>
      <c r="BP208" s="91"/>
      <c r="BQ208" s="91"/>
      <c r="BR208" s="91"/>
      <c r="BS208" s="91"/>
      <c r="BT208" s="91"/>
      <c r="BU208" s="91"/>
      <c r="BV208" s="91"/>
      <c r="BW208" s="91"/>
      <c r="BX208" s="92"/>
    </row>
    <row r="209" spans="1:76" x14ac:dyDescent="0.25">
      <c r="A209" s="34"/>
      <c r="B209" s="34">
        <v>7022</v>
      </c>
      <c r="C209" s="35" t="s">
        <v>235</v>
      </c>
      <c r="D209" s="34"/>
      <c r="E209" s="36">
        <v>1999</v>
      </c>
      <c r="F209" s="36">
        <v>7</v>
      </c>
      <c r="G209" s="76">
        <v>0.33</v>
      </c>
      <c r="H209" s="34" t="s">
        <v>42</v>
      </c>
      <c r="I209" s="34">
        <v>5</v>
      </c>
      <c r="J209" s="49">
        <f>E209+I209</f>
        <v>2004</v>
      </c>
      <c r="K209" s="41">
        <f t="shared" si="46"/>
        <v>2004.5833333333333</v>
      </c>
      <c r="L209" s="47">
        <v>3000</v>
      </c>
      <c r="M209" s="47">
        <f>L209-L209*G209</f>
        <v>2010</v>
      </c>
      <c r="N209" s="47">
        <f>M209/I209/12</f>
        <v>33.5</v>
      </c>
      <c r="O209" s="47">
        <f t="shared" si="47"/>
        <v>402</v>
      </c>
      <c r="P209" s="47">
        <f t="shared" si="48"/>
        <v>0</v>
      </c>
      <c r="Q209" s="47"/>
      <c r="R209" s="47">
        <f t="shared" si="49"/>
        <v>2010</v>
      </c>
      <c r="S209" s="47">
        <f t="shared" si="50"/>
        <v>2010</v>
      </c>
      <c r="T209" s="47">
        <f>+IF(P209=0,0,((L209-R209)+(L209-S209))/2)</f>
        <v>0</v>
      </c>
      <c r="U209" s="19"/>
    </row>
    <row r="210" spans="1:76" x14ac:dyDescent="0.25">
      <c r="A210" s="155" t="s">
        <v>236</v>
      </c>
      <c r="B210" s="34">
        <v>8977</v>
      </c>
      <c r="C210" s="35" t="s">
        <v>237</v>
      </c>
      <c r="D210" s="34"/>
      <c r="E210" s="36">
        <v>2001</v>
      </c>
      <c r="F210" s="36">
        <v>7</v>
      </c>
      <c r="G210" s="76">
        <v>0.33</v>
      </c>
      <c r="H210" s="34" t="s">
        <v>42</v>
      </c>
      <c r="I210" s="34">
        <v>5</v>
      </c>
      <c r="J210" s="49">
        <f>E210+I210</f>
        <v>2006</v>
      </c>
      <c r="K210" s="41">
        <f t="shared" si="46"/>
        <v>2006.5833333333333</v>
      </c>
      <c r="L210" s="47">
        <v>2441.25</v>
      </c>
      <c r="M210" s="47">
        <f>L210-L210*G210</f>
        <v>1635.6374999999998</v>
      </c>
      <c r="N210" s="47">
        <f>M210/I210/12</f>
        <v>27.260624999999994</v>
      </c>
      <c r="O210" s="47">
        <f t="shared" si="47"/>
        <v>327.12749999999994</v>
      </c>
      <c r="P210" s="47">
        <f t="shared" si="48"/>
        <v>0</v>
      </c>
      <c r="Q210" s="47"/>
      <c r="R210" s="47">
        <f t="shared" si="49"/>
        <v>1635.6374999999998</v>
      </c>
      <c r="S210" s="47">
        <f t="shared" si="50"/>
        <v>1635.6374999999998</v>
      </c>
      <c r="T210" s="47">
        <f>+IF(P210=0,0,((L210-R210)+(L210-S210))/2)</f>
        <v>0</v>
      </c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</row>
    <row r="211" spans="1:76" s="74" customFormat="1" x14ac:dyDescent="0.25">
      <c r="B211" s="34">
        <v>9194</v>
      </c>
      <c r="C211" s="35" t="s">
        <v>233</v>
      </c>
      <c r="D211" s="34"/>
      <c r="E211" s="36">
        <v>2008</v>
      </c>
      <c r="F211" s="36">
        <v>12</v>
      </c>
      <c r="G211" s="76">
        <v>0</v>
      </c>
      <c r="H211" s="34" t="s">
        <v>42</v>
      </c>
      <c r="I211" s="34">
        <v>5</v>
      </c>
      <c r="J211" s="49">
        <f>E211+I211</f>
        <v>2013</v>
      </c>
      <c r="K211" s="38">
        <f t="shared" si="46"/>
        <v>2014</v>
      </c>
      <c r="L211" s="47">
        <v>2345</v>
      </c>
      <c r="M211" s="47">
        <f>L211-L211*G211</f>
        <v>2345</v>
      </c>
      <c r="N211" s="47">
        <f>M211/I211/12</f>
        <v>39.083333333333336</v>
      </c>
      <c r="O211" s="47">
        <f t="shared" si="47"/>
        <v>469</v>
      </c>
      <c r="P211" s="47">
        <f t="shared" si="48"/>
        <v>0</v>
      </c>
      <c r="Q211" s="47"/>
      <c r="R211" s="47">
        <f t="shared" si="49"/>
        <v>2345</v>
      </c>
      <c r="S211" s="47">
        <f t="shared" si="50"/>
        <v>2345</v>
      </c>
      <c r="T211" s="47">
        <f>+IF(P211=0,0,((L211-R211)+(L211-S211))/2)</f>
        <v>0</v>
      </c>
      <c r="U211" s="19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  <c r="AV211" s="73"/>
      <c r="AW211" s="73"/>
      <c r="AX211" s="73"/>
      <c r="AY211" s="73"/>
      <c r="AZ211" s="73"/>
      <c r="BA211" s="73"/>
      <c r="BB211" s="73"/>
      <c r="BC211" s="73"/>
      <c r="BD211" s="73"/>
      <c r="BE211" s="73"/>
      <c r="BF211" s="73"/>
      <c r="BG211" s="73"/>
      <c r="BH211" s="73"/>
      <c r="BI211" s="73"/>
      <c r="BJ211" s="73"/>
      <c r="BK211" s="73"/>
      <c r="BL211" s="73"/>
      <c r="BM211" s="73"/>
      <c r="BN211" s="73"/>
      <c r="BO211" s="73"/>
      <c r="BP211" s="73"/>
      <c r="BQ211" s="73"/>
      <c r="BR211" s="73"/>
      <c r="BS211" s="73"/>
      <c r="BT211" s="73"/>
      <c r="BU211" s="73"/>
      <c r="BV211" s="73"/>
      <c r="BW211" s="73"/>
      <c r="BX211" s="73"/>
    </row>
    <row r="212" spans="1:76" s="93" customFormat="1" x14ac:dyDescent="0.25">
      <c r="A212" s="77"/>
      <c r="B212" s="78">
        <v>9194</v>
      </c>
      <c r="C212" s="79" t="s">
        <v>234</v>
      </c>
      <c r="D212" s="80"/>
      <c r="E212" s="81">
        <v>2017</v>
      </c>
      <c r="F212" s="82">
        <v>3</v>
      </c>
      <c r="G212" s="83">
        <v>0</v>
      </c>
      <c r="H212" s="82" t="s">
        <v>42</v>
      </c>
      <c r="I212" s="82">
        <f>+IF(J211-$N$3&gt;=3,J211-$N$3,3)</f>
        <v>3</v>
      </c>
      <c r="J212" s="84">
        <f>+E212+I212</f>
        <v>2020</v>
      </c>
      <c r="K212" s="85">
        <f t="shared" si="46"/>
        <v>2020.25</v>
      </c>
      <c r="L212" s="86">
        <v>1155</v>
      </c>
      <c r="M212" s="87">
        <f>+L212-L212*G212</f>
        <v>1155</v>
      </c>
      <c r="N212" s="86">
        <f>+M212/I212/12</f>
        <v>32.083333333333336</v>
      </c>
      <c r="O212" s="154">
        <f t="shared" si="47"/>
        <v>385</v>
      </c>
      <c r="P212" s="154">
        <f t="shared" si="48"/>
        <v>385</v>
      </c>
      <c r="Q212" s="154"/>
      <c r="R212" s="154">
        <f t="shared" si="49"/>
        <v>0</v>
      </c>
      <c r="S212" s="154">
        <f t="shared" si="50"/>
        <v>385</v>
      </c>
      <c r="T212" s="85">
        <f>+IF(T211=0,0,IF(P212=0,0,((L212-R212)+(L212-S212))/2))</f>
        <v>0</v>
      </c>
      <c r="U212" s="88"/>
      <c r="V212" s="89"/>
      <c r="W212" s="90"/>
      <c r="X212" s="90"/>
      <c r="Y212" s="90"/>
      <c r="Z212" s="90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  <c r="BH212" s="91"/>
      <c r="BI212" s="91"/>
      <c r="BJ212" s="91"/>
      <c r="BK212" s="91"/>
      <c r="BL212" s="91"/>
      <c r="BM212" s="91"/>
      <c r="BN212" s="91"/>
      <c r="BO212" s="91"/>
      <c r="BP212" s="91"/>
      <c r="BQ212" s="91"/>
      <c r="BR212" s="91"/>
      <c r="BS212" s="91"/>
      <c r="BT212" s="91"/>
      <c r="BU212" s="91"/>
      <c r="BV212" s="91"/>
      <c r="BW212" s="91"/>
      <c r="BX212" s="92"/>
    </row>
    <row r="213" spans="1:76" s="51" customFormat="1" x14ac:dyDescent="0.25">
      <c r="A213" s="155" t="s">
        <v>238</v>
      </c>
      <c r="B213" s="34">
        <v>8402</v>
      </c>
      <c r="C213" s="94" t="s">
        <v>239</v>
      </c>
      <c r="D213" s="34"/>
      <c r="E213" s="36">
        <v>2004</v>
      </c>
      <c r="F213" s="36">
        <v>4</v>
      </c>
      <c r="G213" s="48">
        <v>0</v>
      </c>
      <c r="H213" s="34" t="s">
        <v>42</v>
      </c>
      <c r="I213" s="34">
        <v>7</v>
      </c>
      <c r="J213" s="43">
        <f>E213+I213</f>
        <v>2011</v>
      </c>
      <c r="K213" s="41">
        <f t="shared" si="46"/>
        <v>2011.3333333333333</v>
      </c>
      <c r="L213" s="47">
        <v>79916.95</v>
      </c>
      <c r="M213" s="47">
        <f>L213-L213*G213</f>
        <v>79916.95</v>
      </c>
      <c r="N213" s="47">
        <f>M213/I213/12</f>
        <v>951.39226190476177</v>
      </c>
      <c r="O213" s="47">
        <f t="shared" si="47"/>
        <v>11416.707142857142</v>
      </c>
      <c r="P213" s="47">
        <f t="shared" si="48"/>
        <v>0</v>
      </c>
      <c r="Q213" s="47"/>
      <c r="R213" s="47">
        <f t="shared" si="49"/>
        <v>79916.95</v>
      </c>
      <c r="S213" s="47">
        <f t="shared" si="50"/>
        <v>79916.95</v>
      </c>
      <c r="T213" s="47">
        <f>+IF(P213=0,0,((L213-R213)+(L213-S213))/2)</f>
        <v>0</v>
      </c>
      <c r="U213" s="19"/>
      <c r="V213" s="19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</row>
  </sheetData>
  <mergeCells count="9">
    <mergeCell ref="W202:Z202"/>
    <mergeCell ref="W208:Z208"/>
    <mergeCell ref="W212:Z212"/>
    <mergeCell ref="A3:C3"/>
    <mergeCell ref="E11:F11"/>
    <mergeCell ref="E12:F12"/>
    <mergeCell ref="W42:Z42"/>
    <mergeCell ref="W45:Z45"/>
    <mergeCell ref="W48:Z48"/>
  </mergeCells>
  <pageMargins left="0.7" right="0.7" top="0.75" bottom="0.75" header="0.3" footer="0.3"/>
  <pageSetup scale="60" fitToHeight="2" pageOrder="overThenDown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09117244F7F14FBE3D1B792C60CDC9" ma:contentTypeVersion="76" ma:contentTypeDescription="" ma:contentTypeScope="" ma:versionID="e7db6cb7dc5cc47079c9e407914af7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2018-04-16T07:00:00+00:00</OpenedDate>
    <SignificantOrder xmlns="dc463f71-b30c-4ab2-9473-d307f9d35888">false</SignificantOrder>
    <Date1 xmlns="dc463f71-b30c-4ab2-9473-d307f9d35888">2018-05-07T07:00:00+00:00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180323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94AF18-610D-4155-AFF2-363EABB01C75}"/>
</file>

<file path=customXml/itemProps2.xml><?xml version="1.0" encoding="utf-8"?>
<ds:datastoreItem xmlns:ds="http://schemas.openxmlformats.org/officeDocument/2006/customXml" ds:itemID="{70A52DA3-93C4-4E9E-988A-BAC0AEE82BCD}"/>
</file>

<file path=customXml/itemProps3.xml><?xml version="1.0" encoding="utf-8"?>
<ds:datastoreItem xmlns:ds="http://schemas.openxmlformats.org/officeDocument/2006/customXml" ds:itemID="{1F43CB83-1DF5-461D-890C-1B9E1A492AF1}"/>
</file>

<file path=customXml/itemProps4.xml><?xml version="1.0" encoding="utf-8"?>
<ds:datastoreItem xmlns:ds="http://schemas.openxmlformats.org/officeDocument/2006/customXml" ds:itemID="{88367DE1-A29A-45FF-B376-578BAD7E25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2186 Other - Salvage</vt:lpstr>
      <vt:lpstr>'2186 Other - Salvage'!Print_Area</vt:lpstr>
      <vt:lpstr>'2186 Other - Salvage'!Print_Titles</vt:lpstr>
    </vt:vector>
  </TitlesOfParts>
  <Company>R360 Environmental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Waldram</dc:creator>
  <cp:lastModifiedBy>Lindsay Waldram</cp:lastModifiedBy>
  <dcterms:created xsi:type="dcterms:W3CDTF">2018-05-07T20:48:04Z</dcterms:created>
  <dcterms:modified xsi:type="dcterms:W3CDTF">2018-05-07T20:48:30Z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0x0101006E56B4D1795A2E4DB2F0B01679ED314A004909117244F7F14FBE3D1B792C60CDC9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